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24000" windowHeight="9135" activeTab="8"/>
  </bookViews>
  <sheets>
    <sheet name="Souhrn příjmů a výdajů 2018" sheetId="73" r:id="rId1"/>
    <sheet name="List4" sheetId="100" state="hidden" r:id="rId2"/>
    <sheet name="Graf" sheetId="99" state="hidden" r:id="rId3"/>
    <sheet name="Souhrn dle odborů a kap." sheetId="95" state="hidden" r:id="rId4"/>
    <sheet name="počet zaměstnanců" sheetId="90" state="hidden" r:id="rId5"/>
    <sheet name="List2" sheetId="89" state="hidden" r:id="rId6"/>
    <sheet name="Graf_analýza nákladovost na RUD" sheetId="83" state="hidden" r:id="rId7"/>
    <sheet name="Sumář příjmů kapitol" sheetId="1" r:id="rId8"/>
    <sheet name="Sumář  výdaje kapitol" sheetId="4" r:id="rId9"/>
    <sheet name="List3" sheetId="97" state="hidden" r:id="rId10"/>
    <sheet name="TSÚ_personální náklady" sheetId="81" state="hidden" r:id="rId11"/>
    <sheet name="srovnání " sheetId="91" state="hidden" r:id="rId12"/>
    <sheet name="voda-kalkulace" sheetId="77" state="hidden" r:id="rId13"/>
    <sheet name="Konsolidace " sheetId="76" state="hidden" r:id="rId14"/>
    <sheet name="Příjmy z pronájmu" sheetId="17" state="hidden" r:id="rId15"/>
    <sheet name="TSÚ" sheetId="75" r:id="rId16"/>
    <sheet name="SIMU" sheetId="101" r:id="rId17"/>
    <sheet name="Investice  2018" sheetId="94" r:id="rId18"/>
    <sheet name="Opravy a udrzování" sheetId="72" r:id="rId19"/>
    <sheet name="5169_nákup služeb" sheetId="87" r:id="rId20"/>
    <sheet name="Investice celkem" sheetId="2" state="hidden" r:id="rId21"/>
    <sheet name="6111 - Programové vybavení" sheetId="29" state="hidden" r:id="rId22"/>
    <sheet name="6121 - Budovy haly a stavby" sheetId="35" state="hidden" r:id="rId23"/>
    <sheet name="6121 - Projektová dok" sheetId="30" state="hidden" r:id="rId24"/>
    <sheet name="6122 -Stroje a zařízení" sheetId="31" state="hidden" r:id="rId25"/>
    <sheet name="6123 - Dopravní prostředky" sheetId="32" state="hidden" r:id="rId26"/>
    <sheet name="6125 - Výpočetní techniky" sheetId="33" state="hidden" r:id="rId27"/>
    <sheet name="6130 - Pozemky" sheetId="34" state="hidden" r:id="rId28"/>
    <sheet name="Úvěr" sheetId="96" r:id="rId29"/>
    <sheet name="Cash flow - Peněžní tok" sheetId="85" state="hidden" r:id="rId30"/>
    <sheet name="Podkladová tabulka -CF" sheetId="92" state="hidden" r:id="rId31"/>
    <sheet name="výhled do 2023" sheetId="98" r:id="rId32"/>
    <sheet name="Výhled 2018-2022" sheetId="86" state="hidden" r:id="rId33"/>
    <sheet name="Zásobník projektů 2016-2020" sheetId="84" state="hidden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Titles" localSheetId="8">'Sumář  výdaje kapitol'!$A:$C,'Sumář  výdaje kapitol'!$1:$7</definedName>
    <definedName name="_xlnm.Print_Area" localSheetId="14">'Příjmy z pronájmu'!$B$1:$F$30</definedName>
    <definedName name="_xlnm.Print_Area" localSheetId="7">'Sumář příjmů kapitol'!$A$2:$K$139</definedName>
  </definedNames>
  <calcPr calcId="152511"/>
</workbook>
</file>

<file path=xl/calcChain.xml><?xml version="1.0" encoding="utf-8"?>
<calcChain xmlns="http://schemas.openxmlformats.org/spreadsheetml/2006/main">
  <c r="K171" i="94" l="1"/>
  <c r="BQ68" i="4" l="1"/>
  <c r="K170" i="94" l="1"/>
  <c r="K168" i="94" l="1"/>
  <c r="K165" i="94"/>
  <c r="L165" i="94" s="1"/>
  <c r="K52" i="94" l="1"/>
  <c r="K51" i="94"/>
  <c r="K50" i="94"/>
  <c r="J74" i="73" l="1"/>
  <c r="K48" i="73"/>
  <c r="K49" i="73"/>
  <c r="J48" i="73"/>
  <c r="J39" i="73"/>
  <c r="K39" i="73" s="1"/>
  <c r="K22" i="1" l="1"/>
  <c r="F8" i="72" l="1"/>
  <c r="K73" i="94" l="1"/>
  <c r="CO63" i="4" l="1"/>
  <c r="K196" i="94" l="1"/>
  <c r="J196" i="94" l="1"/>
  <c r="L196" i="94" s="1"/>
  <c r="P16" i="101" l="1"/>
  <c r="P17" i="101"/>
  <c r="P18" i="101"/>
  <c r="Q16" i="101"/>
  <c r="Q17" i="101"/>
  <c r="Q18" i="101"/>
  <c r="Q9" i="101"/>
  <c r="D12" i="101"/>
  <c r="D13" i="101" s="1"/>
  <c r="D14" i="101" s="1"/>
  <c r="D15" i="101" s="1"/>
  <c r="D16" i="101" s="1"/>
  <c r="D17" i="101" s="1"/>
  <c r="D18" i="101" s="1"/>
  <c r="D19" i="101" s="1"/>
  <c r="D20" i="101" s="1"/>
  <c r="D21" i="101" s="1"/>
  <c r="D11" i="101"/>
  <c r="M11" i="4"/>
  <c r="C42" i="96" l="1"/>
  <c r="E26" i="96" l="1"/>
  <c r="E19" i="96"/>
  <c r="E34" i="96"/>
  <c r="F34" i="96"/>
  <c r="G34" i="96" s="1"/>
  <c r="H34" i="96" s="1"/>
  <c r="I34" i="96" s="1"/>
  <c r="J34" i="96" s="1"/>
  <c r="D34" i="96"/>
  <c r="C25" i="96"/>
  <c r="C11" i="96"/>
  <c r="B27" i="96"/>
  <c r="C27" i="96"/>
  <c r="C31" i="96" s="1"/>
  <c r="D25" i="96"/>
  <c r="B35" i="96"/>
  <c r="C30" i="96"/>
  <c r="K34" i="96" l="1"/>
  <c r="C35" i="96"/>
  <c r="B11" i="96"/>
  <c r="C10" i="96"/>
  <c r="L34" i="96" l="1"/>
  <c r="K228" i="73"/>
  <c r="K226" i="73"/>
  <c r="K222" i="73"/>
  <c r="K206" i="73"/>
  <c r="K169" i="73"/>
  <c r="K153" i="73"/>
  <c r="K151" i="73"/>
  <c r="K150" i="73"/>
  <c r="K149" i="73"/>
  <c r="K148" i="73"/>
  <c r="K144" i="73"/>
  <c r="K140" i="73"/>
  <c r="K139" i="73"/>
  <c r="K138" i="73"/>
  <c r="K137" i="73"/>
  <c r="K136" i="73"/>
  <c r="K135" i="73"/>
  <c r="K133" i="73"/>
  <c r="K132" i="73"/>
  <c r="K131" i="73"/>
  <c r="K130" i="73"/>
  <c r="K129" i="73"/>
  <c r="K128" i="73"/>
  <c r="K127" i="73"/>
  <c r="K123" i="73"/>
  <c r="K122" i="73"/>
  <c r="K117" i="73"/>
  <c r="K113" i="73"/>
  <c r="K111" i="73"/>
  <c r="K110" i="73"/>
  <c r="K109" i="73"/>
  <c r="K108" i="73"/>
  <c r="K107" i="73"/>
  <c r="K106" i="73"/>
  <c r="K99" i="73"/>
  <c r="K98" i="73"/>
  <c r="K93" i="73"/>
  <c r="K91" i="73"/>
  <c r="K90" i="73"/>
  <c r="K89" i="73"/>
  <c r="K80" i="73"/>
  <c r="K79" i="73"/>
  <c r="K78" i="73"/>
  <c r="K77" i="73"/>
  <c r="K76" i="73"/>
  <c r="K74" i="73"/>
  <c r="K72" i="73"/>
  <c r="K44" i="73"/>
  <c r="K36" i="73"/>
  <c r="K35" i="73"/>
  <c r="K33" i="73"/>
  <c r="K25" i="73"/>
  <c r="G153" i="87"/>
  <c r="G152" i="87"/>
  <c r="G151" i="87"/>
  <c r="G150" i="87"/>
  <c r="G143" i="87"/>
  <c r="G133" i="87"/>
  <c r="G120" i="87"/>
  <c r="G119" i="87"/>
  <c r="G118" i="87"/>
  <c r="G117" i="87"/>
  <c r="G115" i="87"/>
  <c r="G114" i="87"/>
  <c r="G89" i="87"/>
  <c r="G88" i="87"/>
  <c r="G87" i="87"/>
  <c r="G85" i="87"/>
  <c r="G61" i="87"/>
  <c r="G57" i="87"/>
  <c r="G56" i="87"/>
  <c r="G54" i="87"/>
  <c r="G53" i="87"/>
  <c r="G52" i="87"/>
  <c r="G30" i="87"/>
  <c r="G21" i="87"/>
  <c r="G18" i="87"/>
  <c r="G11" i="87"/>
  <c r="G8" i="87"/>
  <c r="G100" i="72"/>
  <c r="G99" i="72"/>
  <c r="G96" i="72"/>
  <c r="G67" i="72"/>
  <c r="G59" i="72"/>
  <c r="G42" i="72"/>
  <c r="G19" i="72"/>
  <c r="G16" i="72"/>
  <c r="G9" i="72"/>
  <c r="G8" i="72"/>
  <c r="L208" i="94"/>
  <c r="L207" i="94"/>
  <c r="L206" i="94"/>
  <c r="L205" i="94"/>
  <c r="L203" i="94"/>
  <c r="L202" i="94"/>
  <c r="L201" i="94"/>
  <c r="L200" i="94"/>
  <c r="L178" i="94"/>
  <c r="L177" i="94"/>
  <c r="L175" i="94"/>
  <c r="L117" i="94"/>
  <c r="L116" i="94"/>
  <c r="L115" i="94"/>
  <c r="L112" i="94"/>
  <c r="L95" i="94"/>
  <c r="L94" i="94"/>
  <c r="L92" i="94"/>
  <c r="L82" i="94"/>
  <c r="L69" i="94"/>
  <c r="L62" i="94"/>
  <c r="L61" i="94"/>
  <c r="L59" i="94"/>
  <c r="L58" i="94"/>
  <c r="L56" i="94"/>
  <c r="L55" i="94"/>
  <c r="L49" i="94"/>
  <c r="L31" i="94"/>
  <c r="L30" i="94"/>
  <c r="M34" i="96" l="1"/>
  <c r="J249" i="73"/>
  <c r="H249" i="73"/>
  <c r="N34" i="96" l="1"/>
  <c r="L47" i="4"/>
  <c r="O34" i="96" l="1"/>
  <c r="F216" i="98"/>
  <c r="D216" i="98"/>
  <c r="P34" i="96" l="1"/>
  <c r="F142" i="87"/>
  <c r="G142" i="87" s="1"/>
  <c r="CV34" i="4"/>
  <c r="Q34" i="96" l="1"/>
  <c r="F114" i="72"/>
  <c r="G114" i="72" s="1"/>
  <c r="R34" i="96" l="1"/>
  <c r="F146" i="87"/>
  <c r="G146" i="87" s="1"/>
  <c r="F113" i="72"/>
  <c r="G113" i="72" s="1"/>
  <c r="S34" i="96" l="1"/>
  <c r="BY35" i="4"/>
  <c r="AU35" i="4"/>
  <c r="F110" i="72"/>
  <c r="G110" i="72" s="1"/>
  <c r="F109" i="72"/>
  <c r="G109" i="72" s="1"/>
  <c r="F105" i="72"/>
  <c r="G105" i="72" s="1"/>
  <c r="F104" i="72"/>
  <c r="G104" i="72" s="1"/>
  <c r="F103" i="72"/>
  <c r="G103" i="72" s="1"/>
  <c r="F102" i="72"/>
  <c r="G102" i="72" s="1"/>
  <c r="T34" i="96" l="1"/>
  <c r="CT62" i="4"/>
  <c r="U34" i="96" l="1"/>
  <c r="BY25" i="4"/>
  <c r="V34" i="96" l="1"/>
  <c r="CV25" i="4"/>
  <c r="D116" i="72" l="1"/>
  <c r="F84" i="87"/>
  <c r="G84" i="87" s="1"/>
  <c r="F74" i="87" l="1"/>
  <c r="G74" i="87" s="1"/>
  <c r="BC34" i="4"/>
  <c r="BE35" i="4"/>
  <c r="BD35" i="4"/>
  <c r="F58" i="72" l="1"/>
  <c r="G58" i="72" s="1"/>
  <c r="F57" i="72"/>
  <c r="G57" i="72" s="1"/>
  <c r="F56" i="72"/>
  <c r="G56" i="72" s="1"/>
  <c r="F55" i="72"/>
  <c r="G55" i="72" s="1"/>
  <c r="F54" i="72"/>
  <c r="G54" i="72" s="1"/>
  <c r="K192" i="94" l="1"/>
  <c r="L192" i="94" s="1"/>
  <c r="BC30" i="4" l="1"/>
  <c r="H18" i="101" l="1"/>
  <c r="I18" i="101"/>
  <c r="O18" i="101"/>
  <c r="U18" i="101"/>
  <c r="H19" i="101"/>
  <c r="I19" i="101"/>
  <c r="O19" i="101"/>
  <c r="P19" i="101"/>
  <c r="Q19" i="101"/>
  <c r="U19" i="101"/>
  <c r="H20" i="101"/>
  <c r="I20" i="101" s="1"/>
  <c r="O20" i="101"/>
  <c r="Q20" i="101" s="1"/>
  <c r="P20" i="101"/>
  <c r="U20" i="101"/>
  <c r="H21" i="101"/>
  <c r="I21" i="101"/>
  <c r="O21" i="101"/>
  <c r="Q21" i="101" s="1"/>
  <c r="P21" i="101"/>
  <c r="U21" i="101"/>
  <c r="U17" i="101"/>
  <c r="U16" i="101"/>
  <c r="U15" i="101"/>
  <c r="U14" i="101"/>
  <c r="U13" i="101"/>
  <c r="U12" i="101"/>
  <c r="U11" i="101"/>
  <c r="U10" i="101"/>
  <c r="U9" i="101"/>
  <c r="P15" i="101"/>
  <c r="P14" i="101"/>
  <c r="P13" i="101"/>
  <c r="P12" i="101"/>
  <c r="P11" i="101"/>
  <c r="P10" i="101"/>
  <c r="P9" i="101"/>
  <c r="O17" i="101"/>
  <c r="O16" i="101"/>
  <c r="O15" i="101"/>
  <c r="Q15" i="101" s="1"/>
  <c r="O14" i="101"/>
  <c r="Q14" i="101" s="1"/>
  <c r="O13" i="101"/>
  <c r="Q13" i="101" s="1"/>
  <c r="Q12" i="101"/>
  <c r="O11" i="101"/>
  <c r="Q11" i="101" s="1"/>
  <c r="O10" i="101"/>
  <c r="Q10" i="101" s="1"/>
  <c r="O9" i="101"/>
  <c r="H17" i="101"/>
  <c r="I17" i="101" s="1"/>
  <c r="H16" i="101"/>
  <c r="I16" i="101" s="1"/>
  <c r="H15" i="101"/>
  <c r="H14" i="101"/>
  <c r="H13" i="101"/>
  <c r="I13" i="101" s="1"/>
  <c r="H12" i="101"/>
  <c r="I12" i="101" s="1"/>
  <c r="H11" i="101"/>
  <c r="I11" i="101" s="1"/>
  <c r="H10" i="101"/>
  <c r="I10" i="101" s="1"/>
  <c r="H9" i="101"/>
  <c r="I9" i="101" s="1"/>
  <c r="I15" i="101"/>
  <c r="I14" i="101"/>
  <c r="F18" i="96"/>
  <c r="B12" i="96"/>
  <c r="D16" i="96" s="1"/>
  <c r="C6" i="96"/>
  <c r="C5" i="96"/>
  <c r="C4" i="96"/>
  <c r="C9" i="96"/>
  <c r="BQ30" i="4" l="1"/>
  <c r="BM63" i="4" l="1"/>
  <c r="BM34" i="4"/>
  <c r="BM33" i="4"/>
  <c r="F112" i="72" l="1"/>
  <c r="F108" i="72"/>
  <c r="G108" i="72" s="1"/>
  <c r="F107" i="72"/>
  <c r="G107" i="72" s="1"/>
  <c r="F98" i="72"/>
  <c r="F95" i="72"/>
  <c r="G95" i="72" s="1"/>
  <c r="F94" i="72"/>
  <c r="G94" i="72" s="1"/>
  <c r="F92" i="72"/>
  <c r="G92" i="72" s="1"/>
  <c r="F91" i="72"/>
  <c r="G91" i="72" s="1"/>
  <c r="F89" i="72"/>
  <c r="G89" i="72" s="1"/>
  <c r="F88" i="72"/>
  <c r="G88" i="72" s="1"/>
  <c r="F87" i="72"/>
  <c r="G87" i="72" s="1"/>
  <c r="F86" i="72"/>
  <c r="G86" i="72" s="1"/>
  <c r="F85" i="72"/>
  <c r="G85" i="72" s="1"/>
  <c r="F84" i="72"/>
  <c r="G84" i="72" s="1"/>
  <c r="F83" i="72"/>
  <c r="G83" i="72" s="1"/>
  <c r="F82" i="72"/>
  <c r="G82" i="72" s="1"/>
  <c r="F81" i="72"/>
  <c r="G81" i="72" s="1"/>
  <c r="F80" i="72"/>
  <c r="G80" i="72" s="1"/>
  <c r="F78" i="72"/>
  <c r="G78" i="72" s="1"/>
  <c r="F77" i="72"/>
  <c r="G77" i="72" s="1"/>
  <c r="F76" i="72"/>
  <c r="G76" i="72" s="1"/>
  <c r="F75" i="72"/>
  <c r="G75" i="72" s="1"/>
  <c r="F73" i="72"/>
  <c r="G73" i="72" s="1"/>
  <c r="F72" i="72"/>
  <c r="G72" i="72" s="1"/>
  <c r="F70" i="72"/>
  <c r="G70" i="72" s="1"/>
  <c r="F69" i="72"/>
  <c r="G69" i="72" s="1"/>
  <c r="F66" i="72"/>
  <c r="G66" i="72" s="1"/>
  <c r="F65" i="72"/>
  <c r="G65" i="72" s="1"/>
  <c r="F64" i="72"/>
  <c r="G64" i="72" s="1"/>
  <c r="F62" i="72"/>
  <c r="G62" i="72" s="1"/>
  <c r="F61" i="72"/>
  <c r="G61" i="72" s="1"/>
  <c r="F52" i="72"/>
  <c r="G52" i="72" s="1"/>
  <c r="F51" i="72"/>
  <c r="G51" i="72" s="1"/>
  <c r="F49" i="72"/>
  <c r="G49" i="72" s="1"/>
  <c r="F48" i="72"/>
  <c r="G48" i="72" s="1"/>
  <c r="F46" i="72"/>
  <c r="G46" i="72" s="1"/>
  <c r="F45" i="72"/>
  <c r="G45" i="72" s="1"/>
  <c r="F44" i="72"/>
  <c r="G44" i="72" s="1"/>
  <c r="F41" i="72"/>
  <c r="F39" i="72"/>
  <c r="G39" i="72" s="1"/>
  <c r="F38" i="72"/>
  <c r="G38" i="72" s="1"/>
  <c r="F36" i="72"/>
  <c r="G36" i="72" s="1"/>
  <c r="F35" i="72"/>
  <c r="G35" i="72" s="1"/>
  <c r="F33" i="72"/>
  <c r="G33" i="72" s="1"/>
  <c r="F32" i="72"/>
  <c r="G32" i="72" s="1"/>
  <c r="F31" i="72"/>
  <c r="G31" i="72" s="1"/>
  <c r="F29" i="72"/>
  <c r="G29" i="72" s="1"/>
  <c r="F28" i="72"/>
  <c r="G28" i="72" s="1"/>
  <c r="F27" i="72"/>
  <c r="G27" i="72" s="1"/>
  <c r="F26" i="72"/>
  <c r="G26" i="72" s="1"/>
  <c r="F24" i="72"/>
  <c r="G24" i="72" s="1"/>
  <c r="F23" i="72"/>
  <c r="G23" i="72" s="1"/>
  <c r="F22" i="72"/>
  <c r="G22" i="72" s="1"/>
  <c r="F21" i="72"/>
  <c r="G21" i="72" s="1"/>
  <c r="F18" i="72"/>
  <c r="F15" i="72"/>
  <c r="F13" i="72"/>
  <c r="G13" i="72" s="1"/>
  <c r="F12" i="72"/>
  <c r="G12" i="72" s="1"/>
  <c r="F11" i="72"/>
  <c r="G11" i="72" s="1"/>
  <c r="F7" i="72"/>
  <c r="F123" i="87"/>
  <c r="G123" i="87" s="1"/>
  <c r="F10" i="72" l="1"/>
  <c r="G10" i="72" s="1"/>
  <c r="G7" i="72"/>
  <c r="F101" i="72"/>
  <c r="G101" i="72" s="1"/>
  <c r="G98" i="72"/>
  <c r="F20" i="72"/>
  <c r="G20" i="72" s="1"/>
  <c r="G18" i="72"/>
  <c r="F43" i="72"/>
  <c r="G43" i="72" s="1"/>
  <c r="G41" i="72"/>
  <c r="F17" i="72"/>
  <c r="G17" i="72" s="1"/>
  <c r="G15" i="72"/>
  <c r="F115" i="72"/>
  <c r="G115" i="72" s="1"/>
  <c r="G112" i="72"/>
  <c r="F40" i="72"/>
  <c r="G40" i="72" s="1"/>
  <c r="F63" i="72"/>
  <c r="G63" i="72" s="1"/>
  <c r="F71" i="72"/>
  <c r="G71" i="72" s="1"/>
  <c r="F53" i="72"/>
  <c r="G53" i="72" s="1"/>
  <c r="F14" i="72"/>
  <c r="G14" i="72" s="1"/>
  <c r="F106" i="72"/>
  <c r="G106" i="72" s="1"/>
  <c r="F111" i="72"/>
  <c r="G111" i="72" s="1"/>
  <c r="F25" i="72"/>
  <c r="G25" i="72" s="1"/>
  <c r="F37" i="72"/>
  <c r="G37" i="72" s="1"/>
  <c r="F90" i="72"/>
  <c r="G90" i="72" s="1"/>
  <c r="F47" i="72"/>
  <c r="G47" i="72" s="1"/>
  <c r="F68" i="72"/>
  <c r="G68" i="72" s="1"/>
  <c r="F74" i="72"/>
  <c r="G74" i="72" s="1"/>
  <c r="F93" i="72"/>
  <c r="G93" i="72" s="1"/>
  <c r="F30" i="72"/>
  <c r="G30" i="72" s="1"/>
  <c r="F79" i="72"/>
  <c r="G79" i="72" s="1"/>
  <c r="F34" i="72"/>
  <c r="G34" i="72" s="1"/>
  <c r="F50" i="72"/>
  <c r="G50" i="72" s="1"/>
  <c r="F60" i="72"/>
  <c r="G60" i="72" s="1"/>
  <c r="F97" i="72"/>
  <c r="G97" i="72" s="1"/>
  <c r="F153" i="87"/>
  <c r="F148" i="87"/>
  <c r="G148" i="87" s="1"/>
  <c r="F147" i="87"/>
  <c r="G147" i="87" s="1"/>
  <c r="F145" i="87"/>
  <c r="G145" i="87" s="1"/>
  <c r="F144" i="87"/>
  <c r="G144" i="87" s="1"/>
  <c r="F140" i="87"/>
  <c r="G140" i="87" s="1"/>
  <c r="F139" i="87"/>
  <c r="G139" i="87" s="1"/>
  <c r="F137" i="87"/>
  <c r="G137" i="87" s="1"/>
  <c r="F136" i="87"/>
  <c r="G136" i="87" s="1"/>
  <c r="F135" i="87"/>
  <c r="G135" i="87" s="1"/>
  <c r="F132" i="87"/>
  <c r="F130" i="87"/>
  <c r="G130" i="87" s="1"/>
  <c r="F129" i="87"/>
  <c r="G129" i="87" s="1"/>
  <c r="F128" i="87"/>
  <c r="G128" i="87" s="1"/>
  <c r="F126" i="87"/>
  <c r="G126" i="87" s="1"/>
  <c r="F125" i="87"/>
  <c r="G125" i="87" s="1"/>
  <c r="F122" i="87"/>
  <c r="G122" i="87" s="1"/>
  <c r="F121" i="87"/>
  <c r="G121" i="87" s="1"/>
  <c r="F120" i="87"/>
  <c r="F113" i="87"/>
  <c r="F111" i="87"/>
  <c r="G111" i="87" s="1"/>
  <c r="F110" i="87"/>
  <c r="G110" i="87" s="1"/>
  <c r="F109" i="87"/>
  <c r="G109" i="87" s="1"/>
  <c r="F108" i="87"/>
  <c r="G108" i="87" s="1"/>
  <c r="F107" i="87"/>
  <c r="G107" i="87" s="1"/>
  <c r="F105" i="87"/>
  <c r="G105" i="87" s="1"/>
  <c r="F104" i="87"/>
  <c r="G104" i="87" s="1"/>
  <c r="F102" i="87"/>
  <c r="G102" i="87" s="1"/>
  <c r="F101" i="87"/>
  <c r="G101" i="87" s="1"/>
  <c r="F99" i="87"/>
  <c r="G99" i="87" s="1"/>
  <c r="F98" i="87"/>
  <c r="G98" i="87" s="1"/>
  <c r="F96" i="87"/>
  <c r="G96" i="87" s="1"/>
  <c r="F95" i="87"/>
  <c r="G95" i="87" s="1"/>
  <c r="F94" i="87"/>
  <c r="G94" i="87" s="1"/>
  <c r="F93" i="87"/>
  <c r="G93" i="87" s="1"/>
  <c r="F91" i="87"/>
  <c r="G91" i="87" s="1"/>
  <c r="F90" i="87"/>
  <c r="G90" i="87" s="1"/>
  <c r="F89" i="87"/>
  <c r="F86" i="87"/>
  <c r="G86" i="87" s="1"/>
  <c r="F82" i="87"/>
  <c r="G82" i="87" s="1"/>
  <c r="F81" i="87"/>
  <c r="G81" i="87" s="1"/>
  <c r="F80" i="87"/>
  <c r="G80" i="87" s="1"/>
  <c r="F78" i="87"/>
  <c r="G78" i="87" s="1"/>
  <c r="F77" i="87"/>
  <c r="G77" i="87" s="1"/>
  <c r="F75" i="87"/>
  <c r="F72" i="87"/>
  <c r="G72" i="87" s="1"/>
  <c r="F71" i="87"/>
  <c r="G71" i="87" s="1"/>
  <c r="F69" i="87"/>
  <c r="G69" i="87" s="1"/>
  <c r="F68" i="87"/>
  <c r="G68" i="87" s="1"/>
  <c r="F67" i="87"/>
  <c r="G67" i="87" s="1"/>
  <c r="F66" i="87"/>
  <c r="G66" i="87" s="1"/>
  <c r="F64" i="87"/>
  <c r="G64" i="87" s="1"/>
  <c r="F63" i="87"/>
  <c r="G63" i="87" s="1"/>
  <c r="F60" i="87"/>
  <c r="G60" i="87" s="1"/>
  <c r="F59" i="87"/>
  <c r="G59" i="87" s="1"/>
  <c r="F55" i="87"/>
  <c r="F54" i="87"/>
  <c r="F50" i="87"/>
  <c r="G50" i="87" s="1"/>
  <c r="F49" i="87"/>
  <c r="G49" i="87" s="1"/>
  <c r="F47" i="87"/>
  <c r="G47" i="87" s="1"/>
  <c r="F46" i="87"/>
  <c r="G46" i="87" s="1"/>
  <c r="F44" i="87"/>
  <c r="G44" i="87" s="1"/>
  <c r="F43" i="87"/>
  <c r="G43" i="87" s="1"/>
  <c r="F41" i="87"/>
  <c r="G41" i="87" s="1"/>
  <c r="F40" i="87"/>
  <c r="G40" i="87" s="1"/>
  <c r="F38" i="87"/>
  <c r="G38" i="87" s="1"/>
  <c r="F37" i="87"/>
  <c r="G37" i="87" s="1"/>
  <c r="F36" i="87"/>
  <c r="G36" i="87" s="1"/>
  <c r="F35" i="87"/>
  <c r="G35" i="87" s="1"/>
  <c r="F34" i="87"/>
  <c r="G34" i="87" s="1"/>
  <c r="F32" i="87"/>
  <c r="F29" i="87"/>
  <c r="F27" i="87"/>
  <c r="G27" i="87" s="1"/>
  <c r="F26" i="87"/>
  <c r="G26" i="87" s="1"/>
  <c r="F24" i="87"/>
  <c r="G24" i="87" s="1"/>
  <c r="F23" i="87"/>
  <c r="G23" i="87" s="1"/>
  <c r="F20" i="87"/>
  <c r="F17" i="87"/>
  <c r="F15" i="87"/>
  <c r="G15" i="87" s="1"/>
  <c r="F14" i="87"/>
  <c r="G14" i="87" s="1"/>
  <c r="F13" i="87"/>
  <c r="G13" i="87" s="1"/>
  <c r="F10" i="87"/>
  <c r="F7" i="87"/>
  <c r="D155" i="87"/>
  <c r="F58" i="87" l="1"/>
  <c r="G58" i="87" s="1"/>
  <c r="G55" i="87"/>
  <c r="F9" i="87"/>
  <c r="G9" i="87" s="1"/>
  <c r="G7" i="87"/>
  <c r="F33" i="87"/>
  <c r="G33" i="87" s="1"/>
  <c r="G32" i="87"/>
  <c r="F134" i="87"/>
  <c r="G134" i="87" s="1"/>
  <c r="G132" i="87"/>
  <c r="F19" i="87"/>
  <c r="G19" i="87" s="1"/>
  <c r="G17" i="87"/>
  <c r="F31" i="87"/>
  <c r="G31" i="87" s="1"/>
  <c r="G29" i="87"/>
  <c r="F116" i="87"/>
  <c r="G116" i="87" s="1"/>
  <c r="G113" i="87"/>
  <c r="F12" i="87"/>
  <c r="G12" i="87" s="1"/>
  <c r="G10" i="87"/>
  <c r="F22" i="87"/>
  <c r="G22" i="87" s="1"/>
  <c r="G20" i="87"/>
  <c r="F76" i="87"/>
  <c r="G76" i="87" s="1"/>
  <c r="G75" i="87"/>
  <c r="F124" i="87"/>
  <c r="G124" i="87" s="1"/>
  <c r="F83" i="87"/>
  <c r="G83" i="87" s="1"/>
  <c r="F103" i="87"/>
  <c r="G103" i="87" s="1"/>
  <c r="F28" i="87"/>
  <c r="G28" i="87" s="1"/>
  <c r="F106" i="87"/>
  <c r="G106" i="87" s="1"/>
  <c r="F45" i="87"/>
  <c r="G45" i="87" s="1"/>
  <c r="F51" i="87"/>
  <c r="G51" i="87" s="1"/>
  <c r="F62" i="87"/>
  <c r="G62" i="87" s="1"/>
  <c r="F48" i="87"/>
  <c r="G48" i="87" s="1"/>
  <c r="F138" i="87"/>
  <c r="G138" i="87" s="1"/>
  <c r="F16" i="87"/>
  <c r="G16" i="87" s="1"/>
  <c r="F97" i="87"/>
  <c r="G97" i="87" s="1"/>
  <c r="F127" i="87"/>
  <c r="G127" i="87" s="1"/>
  <c r="F65" i="87"/>
  <c r="G65" i="87" s="1"/>
  <c r="F100" i="87"/>
  <c r="G100" i="87" s="1"/>
  <c r="F70" i="87"/>
  <c r="G70" i="87" s="1"/>
  <c r="F149" i="87"/>
  <c r="G149" i="87" s="1"/>
  <c r="F25" i="87"/>
  <c r="G25" i="87" s="1"/>
  <c r="F39" i="87"/>
  <c r="G39" i="87" s="1"/>
  <c r="F42" i="87"/>
  <c r="G42" i="87" s="1"/>
  <c r="F73" i="87"/>
  <c r="G73" i="87" s="1"/>
  <c r="F79" i="87"/>
  <c r="G79" i="87" s="1"/>
  <c r="F92" i="87"/>
  <c r="G92" i="87" s="1"/>
  <c r="F112" i="87"/>
  <c r="G112" i="87" s="1"/>
  <c r="F131" i="87"/>
  <c r="G131" i="87" s="1"/>
  <c r="F141" i="87"/>
  <c r="G141" i="87" s="1"/>
  <c r="F154" i="87" l="1"/>
  <c r="G154" i="87" s="1"/>
  <c r="I216" i="94"/>
  <c r="K212" i="94" l="1"/>
  <c r="L212" i="94" s="1"/>
  <c r="K210" i="94"/>
  <c r="L210" i="94" s="1"/>
  <c r="K209" i="94"/>
  <c r="L209" i="94" s="1"/>
  <c r="K204" i="94"/>
  <c r="K199" i="94"/>
  <c r="L199" i="94" s="1"/>
  <c r="K197" i="94"/>
  <c r="L197" i="94" s="1"/>
  <c r="K194" i="94"/>
  <c r="L194" i="94" s="1"/>
  <c r="K193" i="94"/>
  <c r="L193" i="94" s="1"/>
  <c r="K190" i="94"/>
  <c r="L190" i="94" s="1"/>
  <c r="K189" i="94"/>
  <c r="L189" i="94" s="1"/>
  <c r="K187" i="94"/>
  <c r="L187" i="94" s="1"/>
  <c r="K186" i="94"/>
  <c r="L186" i="94" s="1"/>
  <c r="K185" i="94"/>
  <c r="L185" i="94" s="1"/>
  <c r="K184" i="94"/>
  <c r="L184" i="94" s="1"/>
  <c r="K183" i="94"/>
  <c r="L183" i="94" s="1"/>
  <c r="K181" i="94"/>
  <c r="L181" i="94" s="1"/>
  <c r="K180" i="94"/>
  <c r="L180" i="94" s="1"/>
  <c r="K176" i="94"/>
  <c r="L176" i="94" s="1"/>
  <c r="K174" i="94"/>
  <c r="L174" i="94" s="1"/>
  <c r="K169" i="94"/>
  <c r="K114" i="94"/>
  <c r="L114" i="94" s="1"/>
  <c r="K113" i="94"/>
  <c r="L113" i="94" s="1"/>
  <c r="K111" i="94"/>
  <c r="L111" i="94" s="1"/>
  <c r="K110" i="94"/>
  <c r="L110" i="94" s="1"/>
  <c r="K109" i="94"/>
  <c r="L109" i="94" s="1"/>
  <c r="K108" i="94"/>
  <c r="L108" i="94" s="1"/>
  <c r="K106" i="94"/>
  <c r="L106" i="94" s="1"/>
  <c r="K103" i="94"/>
  <c r="L103" i="94" s="1"/>
  <c r="K102" i="94"/>
  <c r="L102" i="94" s="1"/>
  <c r="K101" i="94"/>
  <c r="L101" i="94" s="1"/>
  <c r="K98" i="94"/>
  <c r="L98" i="94" s="1"/>
  <c r="K97" i="94"/>
  <c r="L97" i="94" s="1"/>
  <c r="K93" i="94"/>
  <c r="L93" i="94" s="1"/>
  <c r="K91" i="94"/>
  <c r="L91" i="94" s="1"/>
  <c r="K89" i="94"/>
  <c r="L89" i="94" s="1"/>
  <c r="K88" i="94"/>
  <c r="L88" i="94" s="1"/>
  <c r="K87" i="94"/>
  <c r="L87" i="94" s="1"/>
  <c r="K86" i="94"/>
  <c r="L86" i="94" s="1"/>
  <c r="K85" i="94"/>
  <c r="L85" i="94" s="1"/>
  <c r="K84" i="94"/>
  <c r="L84" i="94" s="1"/>
  <c r="K83" i="94"/>
  <c r="L83" i="94" s="1"/>
  <c r="K81" i="94"/>
  <c r="L81" i="94" s="1"/>
  <c r="K80" i="94"/>
  <c r="L80" i="94" s="1"/>
  <c r="K77" i="94"/>
  <c r="L77" i="94" s="1"/>
  <c r="K76" i="94"/>
  <c r="L76" i="94" s="1"/>
  <c r="K74" i="94"/>
  <c r="L74" i="94" s="1"/>
  <c r="L73" i="94"/>
  <c r="K72" i="94"/>
  <c r="L72" i="94" s="1"/>
  <c r="K70" i="94"/>
  <c r="L70" i="94" s="1"/>
  <c r="K68" i="94"/>
  <c r="L68" i="94" s="1"/>
  <c r="K66" i="94"/>
  <c r="L66" i="94" s="1"/>
  <c r="K65" i="94"/>
  <c r="L65" i="94" s="1"/>
  <c r="K63" i="94"/>
  <c r="K60" i="94"/>
  <c r="L60" i="94" s="1"/>
  <c r="K54" i="94"/>
  <c r="L52" i="94"/>
  <c r="L50" i="94"/>
  <c r="K47" i="94"/>
  <c r="L47" i="94" s="1"/>
  <c r="K45" i="94"/>
  <c r="L45" i="94" s="1"/>
  <c r="K44" i="94"/>
  <c r="L44" i="94" s="1"/>
  <c r="K42" i="94"/>
  <c r="L42" i="94" s="1"/>
  <c r="K41" i="94"/>
  <c r="L41" i="94" s="1"/>
  <c r="K40" i="94"/>
  <c r="L40" i="94" s="1"/>
  <c r="K39" i="94"/>
  <c r="L39" i="94" s="1"/>
  <c r="K38" i="94"/>
  <c r="L38" i="94" s="1"/>
  <c r="K37" i="94"/>
  <c r="L37" i="94" s="1"/>
  <c r="K36" i="94"/>
  <c r="L36" i="94" s="1"/>
  <c r="K35" i="94"/>
  <c r="L35" i="94" s="1"/>
  <c r="K34" i="94"/>
  <c r="L34" i="94" s="1"/>
  <c r="K33" i="94"/>
  <c r="L33" i="94" s="1"/>
  <c r="K32" i="94"/>
  <c r="L32" i="94" s="1"/>
  <c r="K29" i="94"/>
  <c r="L29" i="94" s="1"/>
  <c r="K28" i="94"/>
  <c r="L28" i="94" s="1"/>
  <c r="K26" i="94"/>
  <c r="L26" i="94" s="1"/>
  <c r="K25" i="94"/>
  <c r="L25" i="94" s="1"/>
  <c r="K23" i="94"/>
  <c r="L23" i="94" s="1"/>
  <c r="K22" i="94"/>
  <c r="L22" i="94" s="1"/>
  <c r="K21" i="94"/>
  <c r="L21" i="94" s="1"/>
  <c r="K19" i="94"/>
  <c r="L19" i="94" s="1"/>
  <c r="K18" i="94"/>
  <c r="L18" i="94" s="1"/>
  <c r="K17" i="94"/>
  <c r="L17" i="94" s="1"/>
  <c r="K15" i="94"/>
  <c r="L15" i="94" s="1"/>
  <c r="K14" i="94"/>
  <c r="L14" i="94" s="1"/>
  <c r="K13" i="94"/>
  <c r="L13" i="94" s="1"/>
  <c r="K12" i="94"/>
  <c r="L12" i="94" s="1"/>
  <c r="K11" i="94"/>
  <c r="L11" i="94" s="1"/>
  <c r="K10" i="94"/>
  <c r="L10" i="94" s="1"/>
  <c r="K138" i="1"/>
  <c r="J146" i="73"/>
  <c r="K146" i="73" s="1"/>
  <c r="L204" i="94" l="1"/>
  <c r="L169" i="94"/>
  <c r="L173" i="94"/>
  <c r="K57" i="94"/>
  <c r="L57" i="94" s="1"/>
  <c r="L54" i="94"/>
  <c r="K64" i="94"/>
  <c r="L64" i="94" s="1"/>
  <c r="L63" i="94"/>
  <c r="K27" i="94"/>
  <c r="L27" i="94" s="1"/>
  <c r="K75" i="94"/>
  <c r="L75" i="94" s="1"/>
  <c r="K96" i="94"/>
  <c r="L96" i="94" s="1"/>
  <c r="K191" i="94"/>
  <c r="L191" i="94" s="1"/>
  <c r="K67" i="94"/>
  <c r="L67" i="94" s="1"/>
  <c r="K198" i="94"/>
  <c r="L198" i="94" s="1"/>
  <c r="K24" i="94"/>
  <c r="L24" i="94" s="1"/>
  <c r="K118" i="94"/>
  <c r="L118" i="94" s="1"/>
  <c r="K20" i="94"/>
  <c r="L20" i="94" s="1"/>
  <c r="K71" i="94"/>
  <c r="L71" i="94" s="1"/>
  <c r="K195" i="94"/>
  <c r="L195" i="94" s="1"/>
  <c r="K43" i="94"/>
  <c r="L43" i="94" s="1"/>
  <c r="K90" i="94"/>
  <c r="L90" i="94" s="1"/>
  <c r="K104" i="94"/>
  <c r="L104" i="94" s="1"/>
  <c r="K16" i="94"/>
  <c r="L16" i="94" s="1"/>
  <c r="H227" i="73"/>
  <c r="H225" i="73"/>
  <c r="H221" i="73"/>
  <c r="H220" i="73"/>
  <c r="H219" i="73"/>
  <c r="H217" i="73"/>
  <c r="H216" i="73"/>
  <c r="H215" i="73"/>
  <c r="H218" i="73"/>
  <c r="H214" i="73"/>
  <c r="H213" i="73"/>
  <c r="H210" i="73"/>
  <c r="H209" i="73"/>
  <c r="H174" i="73"/>
  <c r="H175" i="73"/>
  <c r="H176" i="73"/>
  <c r="H177" i="73"/>
  <c r="H178" i="73"/>
  <c r="H179" i="73"/>
  <c r="H180" i="73"/>
  <c r="H181" i="73"/>
  <c r="H182" i="73"/>
  <c r="H183" i="73"/>
  <c r="H184" i="73"/>
  <c r="H185" i="73"/>
  <c r="H186" i="73"/>
  <c r="H187" i="73"/>
  <c r="H188" i="73"/>
  <c r="H189" i="73"/>
  <c r="H190" i="73"/>
  <c r="H191" i="73"/>
  <c r="H192" i="73"/>
  <c r="H193" i="73"/>
  <c r="H194" i="73"/>
  <c r="H195" i="73"/>
  <c r="H196" i="73"/>
  <c r="H197" i="73"/>
  <c r="H198" i="73"/>
  <c r="H199" i="73"/>
  <c r="J199" i="73"/>
  <c r="K199" i="73" s="1"/>
  <c r="H200" i="73"/>
  <c r="H201" i="73"/>
  <c r="H202" i="73"/>
  <c r="J202" i="73"/>
  <c r="K202" i="73" s="1"/>
  <c r="H203" i="73"/>
  <c r="H204" i="73"/>
  <c r="H205" i="73"/>
  <c r="H173" i="73"/>
  <c r="H168" i="73"/>
  <c r="H167" i="73"/>
  <c r="H166" i="73"/>
  <c r="H165" i="73"/>
  <c r="H164" i="73"/>
  <c r="H163" i="73"/>
  <c r="H162" i="73"/>
  <c r="H161" i="73"/>
  <c r="J143" i="73"/>
  <c r="K143" i="73" s="1"/>
  <c r="J142" i="73"/>
  <c r="K142" i="73" s="1"/>
  <c r="J141" i="73"/>
  <c r="K141" i="73" s="1"/>
  <c r="J134" i="73"/>
  <c r="K134" i="73" s="1"/>
  <c r="J126" i="73"/>
  <c r="K126" i="73" s="1"/>
  <c r="J125" i="73"/>
  <c r="K125" i="73" s="1"/>
  <c r="J124" i="73"/>
  <c r="K124" i="73" s="1"/>
  <c r="J121" i="73"/>
  <c r="K121" i="73" s="1"/>
  <c r="J120" i="73"/>
  <c r="K120" i="73" s="1"/>
  <c r="J118" i="73"/>
  <c r="K118" i="73" s="1"/>
  <c r="J116" i="73"/>
  <c r="K116" i="73" s="1"/>
  <c r="J115" i="73"/>
  <c r="K115" i="73" s="1"/>
  <c r="J102" i="73"/>
  <c r="K102" i="73" s="1"/>
  <c r="J101" i="73"/>
  <c r="K101" i="73" s="1"/>
  <c r="J96" i="73"/>
  <c r="K96" i="73" s="1"/>
  <c r="J88" i="73"/>
  <c r="K88" i="73" s="1"/>
  <c r="J84" i="73"/>
  <c r="K84" i="73" s="1"/>
  <c r="J83" i="73"/>
  <c r="K83" i="73" s="1"/>
  <c r="J73" i="73"/>
  <c r="K73" i="73" s="1"/>
  <c r="J69" i="73"/>
  <c r="K69" i="73" s="1"/>
  <c r="J68" i="73"/>
  <c r="K68" i="73" s="1"/>
  <c r="J62" i="73"/>
  <c r="K62" i="73" s="1"/>
  <c r="J60" i="73"/>
  <c r="K60" i="73" s="1"/>
  <c r="J59" i="73"/>
  <c r="K59" i="73" s="1"/>
  <c r="J56" i="73"/>
  <c r="K56" i="73" s="1"/>
  <c r="J54" i="73"/>
  <c r="K54" i="73" s="1"/>
  <c r="J53" i="73"/>
  <c r="K53" i="73" s="1"/>
  <c r="J52" i="73"/>
  <c r="K52" i="73" s="1"/>
  <c r="J51" i="73"/>
  <c r="K51" i="73" s="1"/>
  <c r="J50" i="73"/>
  <c r="K50" i="73" s="1"/>
  <c r="J43" i="73"/>
  <c r="K43" i="73" s="1"/>
  <c r="J42" i="73"/>
  <c r="K42" i="73" s="1"/>
  <c r="J32" i="73"/>
  <c r="K32" i="73" s="1"/>
  <c r="J31" i="73"/>
  <c r="K31" i="73" s="1"/>
  <c r="J30" i="73"/>
  <c r="K30" i="73" s="1"/>
  <c r="J29" i="73"/>
  <c r="K29" i="73" s="1"/>
  <c r="J28" i="73"/>
  <c r="K28" i="73" s="1"/>
  <c r="J27" i="73"/>
  <c r="K27" i="73" s="1"/>
  <c r="J34" i="73"/>
  <c r="K34" i="73" s="1"/>
  <c r="J152" i="73"/>
  <c r="K152" i="73" s="1"/>
  <c r="J119" i="73"/>
  <c r="K119" i="73" s="1"/>
  <c r="J114" i="73"/>
  <c r="K114" i="73" s="1"/>
  <c r="J112" i="73"/>
  <c r="K112" i="73" s="1"/>
  <c r="J105" i="73"/>
  <c r="K105" i="73" s="1"/>
  <c r="J104" i="73"/>
  <c r="K104" i="73" s="1"/>
  <c r="J103" i="73"/>
  <c r="K103" i="73" s="1"/>
  <c r="J97" i="73"/>
  <c r="K97" i="73" s="1"/>
  <c r="J95" i="73"/>
  <c r="K95" i="73" s="1"/>
  <c r="J92" i="73"/>
  <c r="K92" i="73" s="1"/>
  <c r="J87" i="73"/>
  <c r="K87" i="73" s="1"/>
  <c r="J86" i="73"/>
  <c r="K86" i="73" s="1"/>
  <c r="J85" i="73"/>
  <c r="K85" i="73" s="1"/>
  <c r="J82" i="73"/>
  <c r="K82" i="73" s="1"/>
  <c r="J81" i="73"/>
  <c r="K81" i="73" s="1"/>
  <c r="J75" i="73"/>
  <c r="K75" i="73" s="1"/>
  <c r="J71" i="73"/>
  <c r="K71" i="73" s="1"/>
  <c r="J70" i="73"/>
  <c r="K70" i="73" s="1"/>
  <c r="J67" i="73"/>
  <c r="K67" i="73" s="1"/>
  <c r="J66" i="73"/>
  <c r="K66" i="73" s="1"/>
  <c r="J65" i="73"/>
  <c r="K65" i="73" s="1"/>
  <c r="J64" i="73"/>
  <c r="K64" i="73" s="1"/>
  <c r="J63" i="73"/>
  <c r="K63" i="73" s="1"/>
  <c r="J61" i="73"/>
  <c r="K61" i="73" s="1"/>
  <c r="J58" i="73"/>
  <c r="K58" i="73" s="1"/>
  <c r="J57" i="73"/>
  <c r="K57" i="73" s="1"/>
  <c r="J55" i="73"/>
  <c r="K55" i="73" s="1"/>
  <c r="J47" i="73"/>
  <c r="K47" i="73" s="1"/>
  <c r="J46" i="73"/>
  <c r="K46" i="73" s="1"/>
  <c r="J45" i="73"/>
  <c r="K45" i="73" s="1"/>
  <c r="J41" i="73"/>
  <c r="K41" i="73" s="1"/>
  <c r="J40" i="73"/>
  <c r="K40" i="73" s="1"/>
  <c r="J38" i="73"/>
  <c r="K38" i="73" s="1"/>
  <c r="J37" i="73"/>
  <c r="K37" i="73" s="1"/>
  <c r="J8" i="73"/>
  <c r="K8" i="73" s="1"/>
  <c r="J9" i="73"/>
  <c r="K9" i="73" s="1"/>
  <c r="J10" i="73"/>
  <c r="K10" i="73" s="1"/>
  <c r="J11" i="73"/>
  <c r="K11" i="73" s="1"/>
  <c r="J12" i="73"/>
  <c r="K12" i="73" s="1"/>
  <c r="J13" i="73"/>
  <c r="K13" i="73" s="1"/>
  <c r="J14" i="73"/>
  <c r="K14" i="73" s="1"/>
  <c r="J15" i="73"/>
  <c r="K15" i="73" s="1"/>
  <c r="J16" i="73"/>
  <c r="K16" i="73" s="1"/>
  <c r="J17" i="73"/>
  <c r="K17" i="73" s="1"/>
  <c r="J18" i="73"/>
  <c r="K18" i="73" s="1"/>
  <c r="J19" i="73"/>
  <c r="K19" i="73" s="1"/>
  <c r="J20" i="73"/>
  <c r="K20" i="73" s="1"/>
  <c r="J21" i="73"/>
  <c r="K21" i="73" s="1"/>
  <c r="J22" i="73"/>
  <c r="K22" i="73" s="1"/>
  <c r="J23" i="73"/>
  <c r="K23" i="73" s="1"/>
  <c r="J24" i="73"/>
  <c r="K24" i="73" s="1"/>
  <c r="J7" i="73"/>
  <c r="K7" i="73" s="1"/>
  <c r="K132" i="1" l="1"/>
  <c r="K72" i="1"/>
  <c r="K71" i="1"/>
  <c r="K130" i="1"/>
  <c r="J243" i="73"/>
  <c r="J239" i="73"/>
  <c r="J224" i="73"/>
  <c r="K224" i="73" s="1"/>
  <c r="J218" i="73"/>
  <c r="K218" i="73" s="1"/>
  <c r="J212" i="73"/>
  <c r="K212" i="73" s="1"/>
  <c r="J208" i="73"/>
  <c r="K208" i="73" s="1"/>
  <c r="J207" i="73"/>
  <c r="K207" i="73" s="1"/>
  <c r="J172" i="73"/>
  <c r="K172" i="73" s="1"/>
  <c r="J171" i="73"/>
  <c r="K171" i="73" s="1"/>
  <c r="J147" i="73"/>
  <c r="K147" i="73" s="1"/>
  <c r="J100" i="73"/>
  <c r="K100" i="73" s="1"/>
  <c r="J26" i="73"/>
  <c r="K26" i="73" s="1"/>
  <c r="J247" i="73" l="1"/>
  <c r="J258" i="73"/>
  <c r="K139" i="1"/>
  <c r="J257" i="73"/>
  <c r="J94" i="73"/>
  <c r="K94" i="73" s="1"/>
  <c r="J145" i="73"/>
  <c r="K145" i="73" s="1"/>
  <c r="F40" i="96" l="1"/>
  <c r="E40" i="96"/>
  <c r="D40" i="96"/>
  <c r="AO16" i="85"/>
  <c r="AO14" i="85"/>
  <c r="AO8" i="85"/>
  <c r="M20" i="4"/>
  <c r="H119" i="73"/>
  <c r="F119" i="95"/>
  <c r="G119" i="95" s="1"/>
  <c r="AR24" i="85"/>
  <c r="AT24" i="85" s="1"/>
  <c r="AO24" i="85"/>
  <c r="AI24" i="85"/>
  <c r="AK24" i="85" s="1"/>
  <c r="AF24" i="85"/>
  <c r="AH24" i="85" s="1"/>
  <c r="AC24" i="85"/>
  <c r="G16" i="85"/>
  <c r="AR12" i="85"/>
  <c r="AR7" i="85"/>
  <c r="O21" i="90"/>
  <c r="N21" i="90"/>
  <c r="M21" i="90"/>
  <c r="M22" i="90"/>
  <c r="L21" i="90"/>
  <c r="L22" i="90" s="1"/>
  <c r="K21" i="90"/>
  <c r="K22" i="90" s="1"/>
  <c r="J21" i="90"/>
  <c r="J22" i="90" s="1"/>
  <c r="I21" i="90"/>
  <c r="I22" i="90" s="1"/>
  <c r="H21" i="90"/>
  <c r="H22" i="90" s="1"/>
  <c r="G21" i="90"/>
  <c r="G22" i="90" s="1"/>
  <c r="F21" i="90"/>
  <c r="F22" i="90" s="1"/>
  <c r="E21" i="90"/>
  <c r="E22" i="90" s="1"/>
  <c r="D21" i="90"/>
  <c r="D22" i="90" s="1"/>
  <c r="C21" i="90"/>
  <c r="L52" i="75"/>
  <c r="L18" i="75"/>
  <c r="L10" i="75"/>
  <c r="L11" i="75"/>
  <c r="L12" i="75"/>
  <c r="L13" i="75"/>
  <c r="L14" i="75"/>
  <c r="K125" i="100"/>
  <c r="K124" i="100"/>
  <c r="J125" i="100"/>
  <c r="J124" i="100"/>
  <c r="E145" i="100"/>
  <c r="F149" i="100"/>
  <c r="G149" i="100"/>
  <c r="AR16" i="85"/>
  <c r="AR15" i="85"/>
  <c r="AR14" i="85"/>
  <c r="D149" i="100"/>
  <c r="C149" i="100"/>
  <c r="B149" i="100"/>
  <c r="D145" i="100"/>
  <c r="C145" i="100"/>
  <c r="B145" i="100"/>
  <c r="L128" i="100"/>
  <c r="K132" i="100" s="1"/>
  <c r="K128" i="100"/>
  <c r="L127" i="100"/>
  <c r="K127" i="100"/>
  <c r="K133" i="100" s="1"/>
  <c r="L125" i="100"/>
  <c r="J135" i="100" s="1"/>
  <c r="N11" i="100"/>
  <c r="M11" i="100"/>
  <c r="J11" i="100"/>
  <c r="I11" i="100"/>
  <c r="D11" i="100"/>
  <c r="C11" i="100"/>
  <c r="N10" i="100"/>
  <c r="M10" i="100"/>
  <c r="J10" i="100"/>
  <c r="I10" i="100"/>
  <c r="D10" i="100"/>
  <c r="C10" i="100"/>
  <c r="N9" i="100"/>
  <c r="J9" i="100"/>
  <c r="I9" i="100"/>
  <c r="D9" i="100"/>
  <c r="C9" i="100"/>
  <c r="S8" i="100"/>
  <c r="M8" i="100"/>
  <c r="H8" i="100"/>
  <c r="J8" i="100"/>
  <c r="B8" i="100"/>
  <c r="C8" i="100"/>
  <c r="R5" i="100"/>
  <c r="M5" i="100"/>
  <c r="I5" i="100"/>
  <c r="C5" i="100"/>
  <c r="M22" i="1"/>
  <c r="AL29" i="85"/>
  <c r="AL24" i="85" s="1"/>
  <c r="W49" i="85"/>
  <c r="F36" i="98"/>
  <c r="G36" i="98" s="1"/>
  <c r="H36" i="98" s="1"/>
  <c r="I36" i="98" s="1"/>
  <c r="F37" i="98"/>
  <c r="G37" i="98" s="1"/>
  <c r="H37" i="98" s="1"/>
  <c r="I37" i="98" s="1"/>
  <c r="E37" i="98"/>
  <c r="E36" i="98"/>
  <c r="D214" i="98"/>
  <c r="D195" i="98"/>
  <c r="D144" i="98"/>
  <c r="D143" i="98"/>
  <c r="D142" i="98"/>
  <c r="D141" i="98"/>
  <c r="D134" i="98"/>
  <c r="D133" i="98"/>
  <c r="D132" i="98"/>
  <c r="D131" i="98"/>
  <c r="D130" i="98"/>
  <c r="D129" i="98"/>
  <c r="D127" i="98"/>
  <c r="D126" i="98"/>
  <c r="D125" i="98"/>
  <c r="D124" i="98"/>
  <c r="D123" i="98"/>
  <c r="D122" i="98"/>
  <c r="D121" i="98"/>
  <c r="D117" i="98"/>
  <c r="D111" i="98"/>
  <c r="D107" i="98"/>
  <c r="D105" i="98"/>
  <c r="D104" i="98"/>
  <c r="D103" i="98"/>
  <c r="D102" i="98"/>
  <c r="D101" i="98"/>
  <c r="D100" i="98"/>
  <c r="D87" i="98"/>
  <c r="E87" i="98" s="1"/>
  <c r="F87" i="98" s="1"/>
  <c r="G87" i="98" s="1"/>
  <c r="H87" i="98" s="1"/>
  <c r="I87" i="98" s="1"/>
  <c r="D86" i="98"/>
  <c r="E86" i="98" s="1"/>
  <c r="F86" i="98" s="1"/>
  <c r="G86" i="98" s="1"/>
  <c r="H86" i="98" s="1"/>
  <c r="I86" i="98" s="1"/>
  <c r="D77" i="98"/>
  <c r="E77" i="98" s="1"/>
  <c r="F77" i="98" s="1"/>
  <c r="G77" i="98" s="1"/>
  <c r="H77" i="98" s="1"/>
  <c r="I77" i="98" s="1"/>
  <c r="D76" i="98"/>
  <c r="E76" i="98" s="1"/>
  <c r="F76" i="98" s="1"/>
  <c r="G76" i="98" s="1"/>
  <c r="H76" i="98" s="1"/>
  <c r="I76" i="98" s="1"/>
  <c r="D75" i="98"/>
  <c r="E75" i="98" s="1"/>
  <c r="F75" i="98" s="1"/>
  <c r="G75" i="98" s="1"/>
  <c r="H75" i="98" s="1"/>
  <c r="I75" i="98" s="1"/>
  <c r="D74" i="98"/>
  <c r="E74" i="98" s="1"/>
  <c r="F74" i="98" s="1"/>
  <c r="G74" i="98" s="1"/>
  <c r="H74" i="98" s="1"/>
  <c r="I74" i="98" s="1"/>
  <c r="D73" i="98"/>
  <c r="E73" i="98" s="1"/>
  <c r="F73" i="98" s="1"/>
  <c r="G73" i="98" s="1"/>
  <c r="H73" i="98" s="1"/>
  <c r="I73" i="98" s="1"/>
  <c r="D71" i="98"/>
  <c r="E71" i="98" s="1"/>
  <c r="F71" i="98" s="1"/>
  <c r="G71" i="98" s="1"/>
  <c r="H71" i="98" s="1"/>
  <c r="I71" i="98" s="1"/>
  <c r="D70" i="98"/>
  <c r="E70" i="98" s="1"/>
  <c r="F70" i="98" s="1"/>
  <c r="G70" i="98" s="1"/>
  <c r="H70" i="98" s="1"/>
  <c r="I70" i="98" s="1"/>
  <c r="D69" i="98"/>
  <c r="E69" i="98" s="1"/>
  <c r="F69" i="98" s="1"/>
  <c r="G69" i="98" s="1"/>
  <c r="H69" i="98" s="1"/>
  <c r="I69" i="98" s="1"/>
  <c r="D46" i="98"/>
  <c r="E46" i="98" s="1"/>
  <c r="F46" i="98" s="1"/>
  <c r="G46" i="98" s="1"/>
  <c r="H46" i="98" s="1"/>
  <c r="I46" i="98" s="1"/>
  <c r="D42" i="98"/>
  <c r="E42" i="98" s="1"/>
  <c r="F42" i="98" s="1"/>
  <c r="G42" i="98" s="1"/>
  <c r="H42" i="98" s="1"/>
  <c r="I42" i="98" s="1"/>
  <c r="D35" i="98"/>
  <c r="E35" i="98" s="1"/>
  <c r="F35" i="98" s="1"/>
  <c r="G35" i="98" s="1"/>
  <c r="H35" i="98" s="1"/>
  <c r="I35" i="98" s="1"/>
  <c r="D34" i="98"/>
  <c r="E34" i="98" s="1"/>
  <c r="F34" i="98" s="1"/>
  <c r="G34" i="98" s="1"/>
  <c r="H34" i="98" s="1"/>
  <c r="I34" i="98" s="1"/>
  <c r="D32" i="98"/>
  <c r="E32" i="98" s="1"/>
  <c r="F32" i="98" s="1"/>
  <c r="G32" i="98" s="1"/>
  <c r="H32" i="98" s="1"/>
  <c r="I32" i="98" s="1"/>
  <c r="I212" i="98"/>
  <c r="H212" i="98"/>
  <c r="G212" i="98"/>
  <c r="F212" i="98"/>
  <c r="E212" i="98"/>
  <c r="I161" i="98"/>
  <c r="H161" i="98"/>
  <c r="G161" i="98"/>
  <c r="F161" i="98"/>
  <c r="E161" i="98"/>
  <c r="I160" i="98"/>
  <c r="H160" i="98"/>
  <c r="G160" i="98"/>
  <c r="F160" i="98"/>
  <c r="E160" i="98"/>
  <c r="H138" i="98"/>
  <c r="I138" i="98"/>
  <c r="F138" i="98"/>
  <c r="E138" i="98"/>
  <c r="G138" i="98"/>
  <c r="I26" i="98"/>
  <c r="H26" i="98"/>
  <c r="G26" i="98"/>
  <c r="F26" i="98"/>
  <c r="E26" i="98"/>
  <c r="D212" i="98"/>
  <c r="D161" i="98"/>
  <c r="D160" i="98"/>
  <c r="D26" i="98"/>
  <c r="N31" i="85"/>
  <c r="N24" i="85" s="1"/>
  <c r="Z33" i="85"/>
  <c r="AF28" i="85"/>
  <c r="T29" i="85"/>
  <c r="T24" i="85" s="1"/>
  <c r="V24" i="85" s="1"/>
  <c r="Z29" i="85"/>
  <c r="Z24" i="85" s="1"/>
  <c r="W29" i="85"/>
  <c r="W24" i="85" s="1"/>
  <c r="Y24" i="85" s="1"/>
  <c r="AF16" i="85"/>
  <c r="G15" i="85"/>
  <c r="W14" i="85"/>
  <c r="G13" i="85"/>
  <c r="AR11" i="85"/>
  <c r="Z11" i="85"/>
  <c r="H153" i="87"/>
  <c r="I153" i="87" s="1"/>
  <c r="H120" i="87"/>
  <c r="I120" i="87" s="1"/>
  <c r="H89" i="87"/>
  <c r="I89" i="87" s="1"/>
  <c r="H54" i="87"/>
  <c r="I54" i="87" s="1"/>
  <c r="K14" i="75"/>
  <c r="G14" i="75" s="1"/>
  <c r="E14" i="75" s="1"/>
  <c r="K13" i="75"/>
  <c r="K12" i="75"/>
  <c r="G12" i="75" s="1"/>
  <c r="E12" i="75" s="1"/>
  <c r="H11" i="75"/>
  <c r="G11" i="75" s="1"/>
  <c r="E11" i="75" s="1"/>
  <c r="J9" i="75"/>
  <c r="F209" i="98" s="1"/>
  <c r="BR22" i="4"/>
  <c r="BQ34" i="4"/>
  <c r="H100" i="87" s="1"/>
  <c r="I100" i="87" s="1"/>
  <c r="CW63" i="4"/>
  <c r="CW62" i="4"/>
  <c r="CX63" i="4"/>
  <c r="BJ62" i="4"/>
  <c r="H156" i="35" s="1"/>
  <c r="BF63" i="4"/>
  <c r="BF62" i="4"/>
  <c r="BC63" i="4"/>
  <c r="AZ63" i="4"/>
  <c r="AZ62" i="4"/>
  <c r="AT63" i="4"/>
  <c r="AT62" i="4"/>
  <c r="H131" i="35" s="1"/>
  <c r="AQ63" i="4"/>
  <c r="AQ62" i="4"/>
  <c r="AN63" i="4"/>
  <c r="Y63" i="4"/>
  <c r="Y62" i="4"/>
  <c r="I19" i="35" s="1"/>
  <c r="V63" i="4"/>
  <c r="G10" i="30" s="1"/>
  <c r="H10" i="30" s="1"/>
  <c r="V62" i="4"/>
  <c r="CA63" i="4"/>
  <c r="CA62" i="4"/>
  <c r="H290" i="35" s="1"/>
  <c r="I290" i="35" s="1"/>
  <c r="BY63" i="4"/>
  <c r="BU63" i="4"/>
  <c r="BU62" i="4"/>
  <c r="BT41" i="4"/>
  <c r="CZ41" i="4" s="1"/>
  <c r="BZ35" i="4"/>
  <c r="N31" i="75"/>
  <c r="BX35" i="4"/>
  <c r="BS22" i="4"/>
  <c r="L114" i="75"/>
  <c r="M21" i="75"/>
  <c r="H112" i="73"/>
  <c r="F109" i="95"/>
  <c r="G109" i="95" s="1"/>
  <c r="J53" i="97"/>
  <c r="E53" i="97"/>
  <c r="J52" i="97"/>
  <c r="E52" i="97"/>
  <c r="Q47" i="97"/>
  <c r="M47" i="97"/>
  <c r="L47" i="97"/>
  <c r="S47" i="97"/>
  <c r="Q46" i="97"/>
  <c r="M46" i="97"/>
  <c r="L46" i="97"/>
  <c r="S46" i="97"/>
  <c r="Q45" i="97"/>
  <c r="M45" i="97"/>
  <c r="L45" i="97"/>
  <c r="S45" i="97"/>
  <c r="Q44" i="97"/>
  <c r="M44" i="97"/>
  <c r="L44" i="97"/>
  <c r="S44" i="97"/>
  <c r="Q43" i="97"/>
  <c r="M43" i="97"/>
  <c r="L43" i="97"/>
  <c r="S43" i="97"/>
  <c r="T42" i="97"/>
  <c r="Q42" i="97"/>
  <c r="M42" i="97"/>
  <c r="L42" i="97"/>
  <c r="S42" i="97" s="1"/>
  <c r="S41" i="97"/>
  <c r="L41" i="97"/>
  <c r="M41" i="97" s="1"/>
  <c r="Q39" i="97"/>
  <c r="L39" i="97"/>
  <c r="Q38" i="97"/>
  <c r="L38" i="97"/>
  <c r="P37" i="97"/>
  <c r="S37" i="97" s="1"/>
  <c r="M37" i="97"/>
  <c r="L37" i="97"/>
  <c r="Q36" i="97"/>
  <c r="L36" i="97"/>
  <c r="Q34" i="97"/>
  <c r="M34" i="97"/>
  <c r="L34" i="97"/>
  <c r="S34" i="97"/>
  <c r="S33" i="97"/>
  <c r="T33" i="97" s="1"/>
  <c r="M33" i="97"/>
  <c r="L33" i="97"/>
  <c r="P33" i="97" s="1"/>
  <c r="S32" i="97"/>
  <c r="Q32" i="97"/>
  <c r="M32" i="97"/>
  <c r="L32" i="97"/>
  <c r="L31" i="97"/>
  <c r="M31" i="97" s="1"/>
  <c r="S30" i="97"/>
  <c r="Q30" i="97"/>
  <c r="L30" i="97"/>
  <c r="M30" i="97" s="1"/>
  <c r="S29" i="97"/>
  <c r="Q29" i="97"/>
  <c r="L29" i="97"/>
  <c r="M29" i="97" s="1"/>
  <c r="L28" i="97"/>
  <c r="P28" i="97" s="1"/>
  <c r="L27" i="97"/>
  <c r="P27" i="97" s="1"/>
  <c r="S27" i="97" s="1"/>
  <c r="T27" i="97" s="1"/>
  <c r="S26" i="97"/>
  <c r="M26" i="97"/>
  <c r="L26" i="97"/>
  <c r="R24" i="97"/>
  <c r="L24" i="97"/>
  <c r="L23" i="97"/>
  <c r="Q22" i="97"/>
  <c r="S22" i="97" s="1"/>
  <c r="T22" i="97" s="1"/>
  <c r="M22" i="97"/>
  <c r="L22" i="97"/>
  <c r="P22" i="97" s="1"/>
  <c r="R22" i="97"/>
  <c r="L21" i="97"/>
  <c r="M21" i="97" s="1"/>
  <c r="R20" i="97"/>
  <c r="L20" i="97"/>
  <c r="L19" i="97"/>
  <c r="M19" i="97" s="1"/>
  <c r="T18" i="97"/>
  <c r="M18" i="97"/>
  <c r="L18" i="97"/>
  <c r="P18" i="97" s="1"/>
  <c r="Q18" i="97" s="1"/>
  <c r="S18" i="97" s="1"/>
  <c r="R18" i="97"/>
  <c r="L17" i="97"/>
  <c r="R16" i="97"/>
  <c r="L16" i="97"/>
  <c r="L15" i="97"/>
  <c r="M14" i="97"/>
  <c r="L14" i="97"/>
  <c r="P14" i="97" s="1"/>
  <c r="Q14" i="97" s="1"/>
  <c r="S14" i="97" s="1"/>
  <c r="T14" i="97" s="1"/>
  <c r="R14" i="97"/>
  <c r="L13" i="97"/>
  <c r="M13" i="97" s="1"/>
  <c r="S11" i="97"/>
  <c r="T11" i="97" s="1"/>
  <c r="Q11" i="97"/>
  <c r="L11" i="97"/>
  <c r="M11" i="97" s="1"/>
  <c r="L10" i="97"/>
  <c r="L9" i="97"/>
  <c r="M8" i="97"/>
  <c r="L8" i="97"/>
  <c r="S8" i="97" s="1"/>
  <c r="S6" i="97"/>
  <c r="L6" i="97"/>
  <c r="M6" i="97" s="1"/>
  <c r="L4" i="97"/>
  <c r="R3" i="97"/>
  <c r="L3" i="97"/>
  <c r="T37" i="97"/>
  <c r="S38" i="97"/>
  <c r="T38" i="97"/>
  <c r="M38" i="97"/>
  <c r="I51" i="97"/>
  <c r="E51" i="97" s="1"/>
  <c r="T41" i="97"/>
  <c r="T8" i="97"/>
  <c r="P3" i="97"/>
  <c r="Q3" i="97"/>
  <c r="S3" i="97" s="1"/>
  <c r="M3" i="97"/>
  <c r="P16" i="97"/>
  <c r="Q16" i="97"/>
  <c r="S16" i="97" s="1"/>
  <c r="T16" i="97" s="1"/>
  <c r="M16" i="97"/>
  <c r="P20" i="97"/>
  <c r="Q20" i="97" s="1"/>
  <c r="S20" i="97" s="1"/>
  <c r="T20" i="97" s="1"/>
  <c r="M20" i="97"/>
  <c r="P24" i="97"/>
  <c r="Q24" i="97"/>
  <c r="S24" i="97" s="1"/>
  <c r="T24" i="97" s="1"/>
  <c r="M24" i="97"/>
  <c r="S28" i="97"/>
  <c r="M28" i="97"/>
  <c r="R19" i="97"/>
  <c r="P19" i="97"/>
  <c r="Q19" i="97" s="1"/>
  <c r="P31" i="97"/>
  <c r="S31" i="97" s="1"/>
  <c r="L50" i="97" s="1"/>
  <c r="T26" i="97"/>
  <c r="G248" i="95"/>
  <c r="G24" i="92"/>
  <c r="J24" i="92"/>
  <c r="I24" i="92"/>
  <c r="O24" i="92"/>
  <c r="AR6" i="85" s="1"/>
  <c r="AR9" i="85" s="1"/>
  <c r="L24" i="92"/>
  <c r="H24" i="92"/>
  <c r="N24" i="92"/>
  <c r="F24" i="92"/>
  <c r="K24" i="92"/>
  <c r="E24" i="92"/>
  <c r="M24" i="92"/>
  <c r="AL6" i="85"/>
  <c r="D24" i="92"/>
  <c r="G6" i="85"/>
  <c r="G9" i="85" s="1"/>
  <c r="L68" i="4"/>
  <c r="P71" i="94" s="1"/>
  <c r="Q71" i="94" s="1"/>
  <c r="AH65" i="4"/>
  <c r="CS62" i="4"/>
  <c r="CS73" i="4" s="1"/>
  <c r="P204" i="94" s="1"/>
  <c r="Q204" i="94" s="1"/>
  <c r="CO62" i="4"/>
  <c r="BP62" i="4"/>
  <c r="BP73" i="4" s="1"/>
  <c r="BO62" i="4"/>
  <c r="BO73" i="4" s="1"/>
  <c r="AM62" i="4"/>
  <c r="AM73" i="4" s="1"/>
  <c r="AL62" i="4"/>
  <c r="AL73" i="4" s="1"/>
  <c r="AH62" i="4"/>
  <c r="H94" i="35" s="1"/>
  <c r="AB62" i="4"/>
  <c r="H90" i="35" s="1"/>
  <c r="CS34" i="4"/>
  <c r="H141" i="87" s="1"/>
  <c r="I141" i="87" s="1"/>
  <c r="CR34" i="4"/>
  <c r="CQ34" i="4"/>
  <c r="CQ56" i="4" s="1"/>
  <c r="CQ59" i="4" s="1"/>
  <c r="CC35" i="4"/>
  <c r="CC56" i="4" s="1"/>
  <c r="CC59" i="4" s="1"/>
  <c r="CB35" i="4"/>
  <c r="CB56" i="4" s="1"/>
  <c r="CB59" i="4" s="1"/>
  <c r="CA34" i="4"/>
  <c r="H106" i="87" s="1"/>
  <c r="I106" i="87" s="1"/>
  <c r="BY34" i="4"/>
  <c r="H124" i="87" s="1"/>
  <c r="I124" i="87" s="1"/>
  <c r="BW35" i="4"/>
  <c r="BV35" i="4"/>
  <c r="BW34" i="4"/>
  <c r="BV34" i="4"/>
  <c r="BS35" i="4"/>
  <c r="K19" i="75" s="1"/>
  <c r="K15" i="75" s="1"/>
  <c r="BR35" i="4"/>
  <c r="BP35" i="4"/>
  <c r="BP56" i="4" s="1"/>
  <c r="BP59" i="4" s="1"/>
  <c r="BO35" i="4"/>
  <c r="BN34" i="4"/>
  <c r="H97" i="87" s="1"/>
  <c r="I97" i="87" s="1"/>
  <c r="BL35" i="4"/>
  <c r="BL56" i="4" s="1"/>
  <c r="BL59" i="4" s="1"/>
  <c r="BK35" i="4"/>
  <c r="BK56" i="4" s="1"/>
  <c r="BK59" i="4" s="1"/>
  <c r="BJ34" i="4"/>
  <c r="H83" i="87" s="1"/>
  <c r="I83" i="87" s="1"/>
  <c r="BI35" i="4"/>
  <c r="H74" i="72" s="1"/>
  <c r="I74" i="72" s="1"/>
  <c r="BI34" i="4"/>
  <c r="BH35" i="4"/>
  <c r="BH56" i="4" s="1"/>
  <c r="BH59" i="4" s="1"/>
  <c r="BG35" i="4"/>
  <c r="BG56" i="4" s="1"/>
  <c r="BG59" i="4" s="1"/>
  <c r="BG78" i="4" s="1"/>
  <c r="BE56" i="4"/>
  <c r="BE59" i="4" s="1"/>
  <c r="H76" i="87"/>
  <c r="I76" i="87" s="1"/>
  <c r="BB35" i="4"/>
  <c r="BB56" i="4" s="1"/>
  <c r="BB59" i="4" s="1"/>
  <c r="BA35" i="4"/>
  <c r="AZ34" i="4"/>
  <c r="H79" i="87" s="1"/>
  <c r="I79" i="87" s="1"/>
  <c r="AY35" i="4"/>
  <c r="AY56" i="4" s="1"/>
  <c r="AY59" i="4" s="1"/>
  <c r="AY78" i="4" s="1"/>
  <c r="AX35" i="4"/>
  <c r="AX56" i="4" s="1"/>
  <c r="AX59" i="4" s="1"/>
  <c r="AW34" i="4"/>
  <c r="H73" i="87" s="1"/>
  <c r="I73" i="87" s="1"/>
  <c r="AV35" i="4"/>
  <c r="AV56" i="4" s="1"/>
  <c r="AV59" i="4" s="1"/>
  <c r="AU56" i="4"/>
  <c r="AU59" i="4" s="1"/>
  <c r="AT34" i="4"/>
  <c r="H149" i="87" s="1"/>
  <c r="I149" i="87" s="1"/>
  <c r="AS35" i="4"/>
  <c r="AS56" i="4" s="1"/>
  <c r="AS59" i="4" s="1"/>
  <c r="AR35" i="4"/>
  <c r="AR56" i="4" s="1"/>
  <c r="AR59" i="4" s="1"/>
  <c r="AQ34" i="4"/>
  <c r="H70" i="87" s="1"/>
  <c r="I70" i="87" s="1"/>
  <c r="AP35" i="4"/>
  <c r="AO35" i="4"/>
  <c r="AO56" i="4" s="1"/>
  <c r="AO59" i="4" s="1"/>
  <c r="AN34" i="4"/>
  <c r="H65" i="87" s="1"/>
  <c r="I65" i="87" s="1"/>
  <c r="AM35" i="4"/>
  <c r="AL35" i="4"/>
  <c r="AB36" i="4"/>
  <c r="AB34" i="4"/>
  <c r="AK34" i="4"/>
  <c r="H62" i="87" s="1"/>
  <c r="I62" i="87" s="1"/>
  <c r="AJ34" i="4"/>
  <c r="H58" i="87" s="1"/>
  <c r="I58" i="87" s="1"/>
  <c r="AI35" i="4"/>
  <c r="AH35" i="4"/>
  <c r="H37" i="72" s="1"/>
  <c r="I37" i="72" s="1"/>
  <c r="AH34" i="4"/>
  <c r="H51" i="87" s="1"/>
  <c r="I51" i="87" s="1"/>
  <c r="AF35" i="4"/>
  <c r="AG35" i="4"/>
  <c r="AG34" i="4"/>
  <c r="AF34" i="4"/>
  <c r="AD35" i="4"/>
  <c r="AD56" i="4" s="1"/>
  <c r="AD59" i="4" s="1"/>
  <c r="AC35" i="4"/>
  <c r="AC56" i="4" s="1"/>
  <c r="AC59" i="4" s="1"/>
  <c r="AC78" i="4" s="1"/>
  <c r="AA35" i="4"/>
  <c r="Z35" i="4"/>
  <c r="Y34" i="4"/>
  <c r="H42" i="87" s="1"/>
  <c r="I42" i="87" s="1"/>
  <c r="N35" i="4"/>
  <c r="H10" i="72" s="1"/>
  <c r="I10" i="72" s="1"/>
  <c r="L35" i="4"/>
  <c r="L34" i="4"/>
  <c r="H9" i="87" s="1"/>
  <c r="I9" i="87" s="1"/>
  <c r="AZ30" i="4"/>
  <c r="AA30" i="4"/>
  <c r="DC30" i="4" s="1"/>
  <c r="Z30" i="4"/>
  <c r="L30" i="4"/>
  <c r="L29" i="4"/>
  <c r="AB28" i="4"/>
  <c r="AH26" i="4"/>
  <c r="BU25" i="4"/>
  <c r="BN25" i="4"/>
  <c r="AK23" i="4"/>
  <c r="AM22" i="4"/>
  <c r="AL22" i="4"/>
  <c r="AH22" i="4"/>
  <c r="AB22" i="4"/>
  <c r="AB21" i="4"/>
  <c r="AA22" i="4"/>
  <c r="Z22" i="4"/>
  <c r="AA21" i="4"/>
  <c r="Z21" i="4"/>
  <c r="F82" i="95"/>
  <c r="G82" i="95" s="1"/>
  <c r="F81" i="95"/>
  <c r="G81" i="95" s="1"/>
  <c r="H120" i="73"/>
  <c r="F89" i="95"/>
  <c r="G89" i="95" s="1"/>
  <c r="F20" i="95"/>
  <c r="G20" i="95" s="1"/>
  <c r="F8" i="95"/>
  <c r="G8" i="95" s="1"/>
  <c r="F9" i="95"/>
  <c r="G9" i="95" s="1"/>
  <c r="F10" i="95"/>
  <c r="G10" i="95" s="1"/>
  <c r="F11" i="95"/>
  <c r="G11" i="95" s="1"/>
  <c r="F7" i="95"/>
  <c r="F117" i="95"/>
  <c r="F154" i="95"/>
  <c r="G154" i="95" s="1"/>
  <c r="F153" i="95"/>
  <c r="F152" i="95"/>
  <c r="G152" i="95" s="1"/>
  <c r="F151" i="95"/>
  <c r="F150" i="95"/>
  <c r="G150" i="95" s="1"/>
  <c r="F163" i="95"/>
  <c r="F162" i="95"/>
  <c r="F161" i="95"/>
  <c r="F160" i="95"/>
  <c r="G160" i="95" s="1"/>
  <c r="F159" i="95"/>
  <c r="G159" i="95" s="1"/>
  <c r="F158" i="95"/>
  <c r="G158" i="95" s="1"/>
  <c r="F157" i="95"/>
  <c r="G157" i="95" s="1"/>
  <c r="F156" i="95"/>
  <c r="E217" i="73"/>
  <c r="E216" i="73"/>
  <c r="E215" i="73"/>
  <c r="E214" i="73"/>
  <c r="E213" i="73"/>
  <c r="H121" i="73"/>
  <c r="F118" i="95"/>
  <c r="G118" i="95" s="1"/>
  <c r="L122" i="75"/>
  <c r="L123" i="75"/>
  <c r="G122" i="75"/>
  <c r="G123" i="75"/>
  <c r="G114" i="75"/>
  <c r="G115" i="75"/>
  <c r="N95" i="75"/>
  <c r="M95" i="75"/>
  <c r="K95" i="75"/>
  <c r="J95" i="75"/>
  <c r="I95" i="75"/>
  <c r="H95" i="75"/>
  <c r="F95" i="75"/>
  <c r="L109" i="75"/>
  <c r="G109" i="75"/>
  <c r="G110" i="75"/>
  <c r="L106" i="75"/>
  <c r="L107" i="75"/>
  <c r="L108" i="75"/>
  <c r="L110" i="75"/>
  <c r="L111" i="75"/>
  <c r="L112" i="75"/>
  <c r="L103" i="75"/>
  <c r="G103" i="75"/>
  <c r="N58" i="75"/>
  <c r="M58" i="75"/>
  <c r="K58" i="75"/>
  <c r="J58" i="75"/>
  <c r="I58" i="75"/>
  <c r="H58" i="75"/>
  <c r="F58" i="75"/>
  <c r="L79" i="75"/>
  <c r="L80" i="75"/>
  <c r="L81" i="75"/>
  <c r="L82" i="75"/>
  <c r="L83" i="75"/>
  <c r="G79" i="75"/>
  <c r="G80" i="75"/>
  <c r="G81" i="75"/>
  <c r="E81" i="75" s="1"/>
  <c r="G82" i="75"/>
  <c r="L77" i="75"/>
  <c r="L78" i="75"/>
  <c r="G77" i="75"/>
  <c r="G78" i="75"/>
  <c r="G83" i="75"/>
  <c r="E83" i="75" s="1"/>
  <c r="P60" i="94"/>
  <c r="Q60" i="94" s="1"/>
  <c r="P209" i="94"/>
  <c r="Q209" i="94" s="1"/>
  <c r="T9" i="1"/>
  <c r="T12" i="1"/>
  <c r="T11" i="1"/>
  <c r="T10" i="1"/>
  <c r="T8" i="1"/>
  <c r="R15" i="1"/>
  <c r="R13" i="1"/>
  <c r="R18" i="1"/>
  <c r="Q13" i="1"/>
  <c r="P13" i="1"/>
  <c r="V8" i="1"/>
  <c r="Z8" i="1"/>
  <c r="X8" i="1"/>
  <c r="V9" i="1"/>
  <c r="X9" i="1"/>
  <c r="V10" i="1"/>
  <c r="V13" i="1"/>
  <c r="X10" i="1"/>
  <c r="V12" i="1"/>
  <c r="X12" i="1"/>
  <c r="U13" i="1"/>
  <c r="W13" i="1"/>
  <c r="U75" i="1"/>
  <c r="U76" i="1" s="1"/>
  <c r="O13" i="1"/>
  <c r="O14" i="1" s="1"/>
  <c r="AH38" i="4"/>
  <c r="AH36" i="4"/>
  <c r="AH32" i="4"/>
  <c r="AH28" i="4"/>
  <c r="X49" i="4"/>
  <c r="X47" i="4"/>
  <c r="X42" i="4"/>
  <c r="X38" i="4"/>
  <c r="X34" i="4"/>
  <c r="H39" i="87" s="1"/>
  <c r="I39" i="87" s="1"/>
  <c r="X30" i="4"/>
  <c r="M49" i="4"/>
  <c r="M42" i="4"/>
  <c r="M40" i="4"/>
  <c r="I40" i="4" s="1"/>
  <c r="M38" i="4"/>
  <c r="M37" i="4"/>
  <c r="M34" i="4"/>
  <c r="H12" i="87" s="1"/>
  <c r="I12" i="87" s="1"/>
  <c r="M32" i="4"/>
  <c r="M30" i="4"/>
  <c r="Q53" i="4"/>
  <c r="N15" i="4"/>
  <c r="N14" i="4"/>
  <c r="N13" i="4"/>
  <c r="N12" i="4"/>
  <c r="N11" i="4"/>
  <c r="N10" i="4"/>
  <c r="N9" i="4"/>
  <c r="N8" i="4"/>
  <c r="U15" i="4"/>
  <c r="U14" i="4"/>
  <c r="U13" i="4"/>
  <c r="U12" i="4"/>
  <c r="U11" i="4"/>
  <c r="U10" i="4"/>
  <c r="U9" i="4"/>
  <c r="U8" i="4"/>
  <c r="AT15" i="4"/>
  <c r="AT14" i="4"/>
  <c r="AT13" i="4"/>
  <c r="AT12" i="4"/>
  <c r="AT11" i="4"/>
  <c r="AT10" i="4"/>
  <c r="AT9" i="4"/>
  <c r="AT8" i="4"/>
  <c r="AB15" i="4"/>
  <c r="AB14" i="4"/>
  <c r="AB13" i="4"/>
  <c r="AB12" i="4"/>
  <c r="AB11" i="4"/>
  <c r="AB10" i="4"/>
  <c r="AB9" i="4"/>
  <c r="AB8" i="4"/>
  <c r="W15" i="4"/>
  <c r="W14" i="4"/>
  <c r="W13" i="4"/>
  <c r="W12" i="4"/>
  <c r="W11" i="4"/>
  <c r="W10" i="4"/>
  <c r="W9" i="4"/>
  <c r="W8" i="4"/>
  <c r="V15" i="4"/>
  <c r="V14" i="4"/>
  <c r="V13" i="4"/>
  <c r="V12" i="4"/>
  <c r="V11" i="4"/>
  <c r="V10" i="4"/>
  <c r="V9" i="4"/>
  <c r="V8" i="4"/>
  <c r="R15" i="4"/>
  <c r="R14" i="4"/>
  <c r="R13" i="4"/>
  <c r="R12" i="4"/>
  <c r="R11" i="4"/>
  <c r="R10" i="4"/>
  <c r="R9" i="4"/>
  <c r="R8" i="4"/>
  <c r="AH15" i="4"/>
  <c r="AH14" i="4"/>
  <c r="AH13" i="4"/>
  <c r="AH12" i="4"/>
  <c r="AH11" i="4"/>
  <c r="AH10" i="4"/>
  <c r="AH9" i="4"/>
  <c r="AH8" i="4"/>
  <c r="T15" i="4"/>
  <c r="T14" i="4"/>
  <c r="T13" i="4"/>
  <c r="T12" i="4"/>
  <c r="T11" i="4"/>
  <c r="T10" i="4"/>
  <c r="T9" i="4"/>
  <c r="T8" i="4"/>
  <c r="M15" i="4"/>
  <c r="M14" i="4"/>
  <c r="M13" i="4"/>
  <c r="M10" i="4"/>
  <c r="Q15" i="4"/>
  <c r="Q14" i="4"/>
  <c r="Q13" i="4"/>
  <c r="Q9" i="4"/>
  <c r="CW34" i="4"/>
  <c r="CW56" i="4" s="1"/>
  <c r="CU62" i="4"/>
  <c r="CU73" i="4" s="1"/>
  <c r="CU33" i="4"/>
  <c r="CU30" i="4"/>
  <c r="CU22" i="4"/>
  <c r="CS30" i="4"/>
  <c r="CS22" i="4"/>
  <c r="CT63" i="4"/>
  <c r="H322" i="35"/>
  <c r="CT33" i="4"/>
  <c r="CT30" i="4"/>
  <c r="CP22" i="4"/>
  <c r="CR22" i="4"/>
  <c r="CN33" i="4"/>
  <c r="CL34" i="4"/>
  <c r="CM34" i="4"/>
  <c r="CM56" i="4" s="1"/>
  <c r="CM59" i="4" s="1"/>
  <c r="CJ34" i="4"/>
  <c r="J20" i="75" s="1"/>
  <c r="G20" i="75" s="1"/>
  <c r="E20" i="75" s="1"/>
  <c r="CH63" i="4"/>
  <c r="CH73" i="4" s="1"/>
  <c r="F253" i="95" s="1"/>
  <c r="G253" i="95" s="1"/>
  <c r="CF34" i="4"/>
  <c r="CG34" i="4"/>
  <c r="CG56" i="4" s="1"/>
  <c r="CG59" i="4" s="1"/>
  <c r="CE26" i="4"/>
  <c r="CE18" i="4"/>
  <c r="I18" i="4" s="1"/>
  <c r="DE18" i="4" s="1"/>
  <c r="CD34" i="4"/>
  <c r="H88" i="30"/>
  <c r="L33" i="4"/>
  <c r="CT22" i="4"/>
  <c r="CN62" i="4"/>
  <c r="H328" i="35" s="1"/>
  <c r="CN63" i="4"/>
  <c r="CE65" i="4"/>
  <c r="CE73" i="4" s="1"/>
  <c r="H144" i="87"/>
  <c r="I144" i="87" s="1"/>
  <c r="CN34" i="4"/>
  <c r="H86" i="87"/>
  <c r="I86" i="87" s="1"/>
  <c r="AT64" i="4"/>
  <c r="AT38" i="4"/>
  <c r="AT28" i="4"/>
  <c r="AT25" i="4"/>
  <c r="AT24" i="4"/>
  <c r="AT23" i="4"/>
  <c r="AT22" i="4"/>
  <c r="AT21" i="4"/>
  <c r="AH29" i="4"/>
  <c r="AH19" i="4"/>
  <c r="V47" i="4"/>
  <c r="V38" i="4"/>
  <c r="V37" i="4"/>
  <c r="V36" i="4"/>
  <c r="V35" i="4"/>
  <c r="H20" i="72" s="1"/>
  <c r="I20" i="72" s="1"/>
  <c r="V34" i="4"/>
  <c r="H31" i="87" s="1"/>
  <c r="I31" i="87" s="1"/>
  <c r="V32" i="4"/>
  <c r="V30" i="4"/>
  <c r="V28" i="4"/>
  <c r="V27" i="4"/>
  <c r="V23" i="4"/>
  <c r="V22" i="4"/>
  <c r="V21" i="4"/>
  <c r="V20" i="4"/>
  <c r="U36" i="4"/>
  <c r="U34" i="4"/>
  <c r="H28" i="87" s="1"/>
  <c r="I28" i="87" s="1"/>
  <c r="U22" i="4"/>
  <c r="U20" i="4"/>
  <c r="S34" i="4"/>
  <c r="T64" i="4"/>
  <c r="T66" i="4"/>
  <c r="T65" i="4"/>
  <c r="T20" i="4"/>
  <c r="R36" i="4"/>
  <c r="N66" i="4"/>
  <c r="CZ66" i="4" s="1"/>
  <c r="N65" i="4"/>
  <c r="N64" i="4"/>
  <c r="N47" i="4"/>
  <c r="N46" i="4"/>
  <c r="N42" i="4"/>
  <c r="N39" i="4"/>
  <c r="N38" i="4"/>
  <c r="N37" i="4"/>
  <c r="N31" i="4"/>
  <c r="N28" i="4"/>
  <c r="N27" i="4"/>
  <c r="N26" i="4"/>
  <c r="N25" i="4"/>
  <c r="N24" i="4"/>
  <c r="O22" i="4"/>
  <c r="P22" i="4"/>
  <c r="P56" i="4" s="1"/>
  <c r="P59" i="4" s="1"/>
  <c r="N20" i="4"/>
  <c r="M26" i="4"/>
  <c r="M28" i="4"/>
  <c r="M22" i="4"/>
  <c r="M21" i="4"/>
  <c r="X21" i="4"/>
  <c r="T30" i="4"/>
  <c r="R21" i="4"/>
  <c r="T19" i="4"/>
  <c r="N61" i="4"/>
  <c r="R19" i="4"/>
  <c r="T21" i="4"/>
  <c r="T22" i="4"/>
  <c r="T23" i="4"/>
  <c r="T24" i="4"/>
  <c r="T25" i="4"/>
  <c r="T26" i="4"/>
  <c r="T27" i="4"/>
  <c r="T28" i="4"/>
  <c r="T31" i="4"/>
  <c r="T32" i="4"/>
  <c r="T34" i="4"/>
  <c r="H25" i="87" s="1"/>
  <c r="I25" i="87" s="1"/>
  <c r="T35" i="4"/>
  <c r="H17" i="72" s="1"/>
  <c r="I17" i="72" s="1"/>
  <c r="T36" i="4"/>
  <c r="T37" i="4"/>
  <c r="T38" i="4"/>
  <c r="T39" i="4"/>
  <c r="T42" i="4"/>
  <c r="T46" i="4"/>
  <c r="T47" i="4"/>
  <c r="T61" i="4"/>
  <c r="R28" i="4"/>
  <c r="AH21" i="4"/>
  <c r="R65" i="4"/>
  <c r="R47" i="4"/>
  <c r="R42" i="4"/>
  <c r="R38" i="4"/>
  <c r="R37" i="4"/>
  <c r="R35" i="4"/>
  <c r="H14" i="72" s="1"/>
  <c r="I14" i="72" s="1"/>
  <c r="R34" i="4"/>
  <c r="H19" i="87" s="1"/>
  <c r="I19" i="87" s="1"/>
  <c r="R32" i="4"/>
  <c r="R29" i="4"/>
  <c r="R26" i="4"/>
  <c r="R22" i="4"/>
  <c r="X22" i="4"/>
  <c r="W27" i="4"/>
  <c r="W34" i="4"/>
  <c r="H33" i="87" s="1"/>
  <c r="I33" i="87" s="1"/>
  <c r="N36" i="4"/>
  <c r="N34" i="4"/>
  <c r="H16" i="87" s="1"/>
  <c r="I16" i="87" s="1"/>
  <c r="N32" i="4"/>
  <c r="N21" i="4"/>
  <c r="BJ25" i="4"/>
  <c r="BJ24" i="4"/>
  <c r="BJ23" i="4"/>
  <c r="BJ44" i="4"/>
  <c r="BI44" i="4"/>
  <c r="BF44" i="4"/>
  <c r="BC44" i="4"/>
  <c r="AQ30" i="4"/>
  <c r="AQ44" i="4"/>
  <c r="AQ25" i="4"/>
  <c r="AQ24" i="4"/>
  <c r="AQ23" i="4"/>
  <c r="AN25" i="4"/>
  <c r="AJ25" i="4"/>
  <c r="AH25" i="4"/>
  <c r="AH24" i="4"/>
  <c r="AH23" i="4"/>
  <c r="AE25" i="4"/>
  <c r="AE24" i="4"/>
  <c r="AE23" i="4"/>
  <c r="Y25" i="4"/>
  <c r="Y24" i="4"/>
  <c r="Y23" i="4"/>
  <c r="AB25" i="4"/>
  <c r="AB24" i="4"/>
  <c r="AB23" i="4"/>
  <c r="V24" i="4"/>
  <c r="L72" i="4"/>
  <c r="L50" i="4"/>
  <c r="J29" i="4"/>
  <c r="H38" i="73"/>
  <c r="F37" i="95"/>
  <c r="G37" i="95" s="1"/>
  <c r="E58" i="4"/>
  <c r="C165" i="95"/>
  <c r="C166" i="95" s="1"/>
  <c r="C155" i="95"/>
  <c r="E220" i="95"/>
  <c r="E221" i="95" s="1"/>
  <c r="G256" i="95"/>
  <c r="G251" i="95"/>
  <c r="G242" i="95"/>
  <c r="G241" i="95"/>
  <c r="G237" i="95"/>
  <c r="G222" i="95"/>
  <c r="G148" i="95"/>
  <c r="G145" i="95"/>
  <c r="G137" i="95"/>
  <c r="G136" i="95"/>
  <c r="G135" i="95"/>
  <c r="G134" i="95"/>
  <c r="G133" i="95"/>
  <c r="G132" i="95"/>
  <c r="G130" i="95"/>
  <c r="G129" i="95"/>
  <c r="G128" i="95"/>
  <c r="G127" i="95"/>
  <c r="G126" i="95"/>
  <c r="G125" i="95"/>
  <c r="G124" i="95"/>
  <c r="G116" i="95"/>
  <c r="G114" i="95"/>
  <c r="G110" i="95"/>
  <c r="G108" i="95"/>
  <c r="G107" i="95"/>
  <c r="G106" i="95"/>
  <c r="G105" i="95"/>
  <c r="G104" i="95"/>
  <c r="G103" i="95"/>
  <c r="G96" i="95"/>
  <c r="G95" i="95"/>
  <c r="G90" i="95"/>
  <c r="G88" i="95"/>
  <c r="G87" i="95"/>
  <c r="G78" i="95"/>
  <c r="G77" i="95"/>
  <c r="G76" i="95"/>
  <c r="G75" i="95"/>
  <c r="G74" i="95"/>
  <c r="G72" i="95"/>
  <c r="G71" i="95"/>
  <c r="G70" i="95"/>
  <c r="G47" i="95"/>
  <c r="G43" i="95"/>
  <c r="G36" i="95"/>
  <c r="G35" i="95"/>
  <c r="G33" i="95"/>
  <c r="G25" i="95"/>
  <c r="V40" i="96"/>
  <c r="U40" i="96"/>
  <c r="T40" i="96"/>
  <c r="S40" i="96"/>
  <c r="Q40" i="96"/>
  <c r="P40" i="96"/>
  <c r="O40" i="96"/>
  <c r="N40" i="96"/>
  <c r="L40" i="96"/>
  <c r="K40" i="96"/>
  <c r="J40" i="96"/>
  <c r="I40" i="96"/>
  <c r="G40" i="96"/>
  <c r="B41" i="96"/>
  <c r="B40" i="96" s="1"/>
  <c r="B42" i="96"/>
  <c r="D267" i="73"/>
  <c r="F266" i="73"/>
  <c r="F261" i="73"/>
  <c r="D280" i="95" s="1"/>
  <c r="F258" i="73"/>
  <c r="D277" i="95" s="1"/>
  <c r="F256" i="73"/>
  <c r="D275" i="95" s="1"/>
  <c r="F19" i="96"/>
  <c r="E215" i="98"/>
  <c r="E18" i="96"/>
  <c r="F26" i="73"/>
  <c r="F257" i="73" s="1"/>
  <c r="F211" i="73"/>
  <c r="F143" i="95"/>
  <c r="G143" i="95" s="1"/>
  <c r="F111" i="95"/>
  <c r="G111" i="95" s="1"/>
  <c r="F101" i="95"/>
  <c r="G101" i="95" s="1"/>
  <c r="F100" i="95"/>
  <c r="G100" i="95" s="1"/>
  <c r="F99" i="95"/>
  <c r="G99" i="95"/>
  <c r="F98" i="95"/>
  <c r="G98" i="95" s="1"/>
  <c r="F94" i="95"/>
  <c r="G94" i="95" s="1"/>
  <c r="F93" i="95"/>
  <c r="G93" i="95" s="1"/>
  <c r="F92" i="95"/>
  <c r="F86" i="95"/>
  <c r="G86" i="95" s="1"/>
  <c r="F85" i="95"/>
  <c r="G85" i="95" s="1"/>
  <c r="F84" i="95"/>
  <c r="G84" i="95" s="1"/>
  <c r="F83" i="95"/>
  <c r="G83" i="95" s="1"/>
  <c r="F80" i="95"/>
  <c r="G80" i="95" s="1"/>
  <c r="F79" i="95"/>
  <c r="G79" i="95" s="1"/>
  <c r="F73" i="95"/>
  <c r="G73" i="95" s="1"/>
  <c r="F69" i="95"/>
  <c r="G69" i="95" s="1"/>
  <c r="F68" i="95"/>
  <c r="G68" i="95" s="1"/>
  <c r="F67" i="95"/>
  <c r="G67" i="95" s="1"/>
  <c r="F66" i="95"/>
  <c r="G66" i="95" s="1"/>
  <c r="F65" i="95"/>
  <c r="G65" i="95" s="1"/>
  <c r="F64" i="95"/>
  <c r="G64" i="95" s="1"/>
  <c r="F63" i="95"/>
  <c r="G63" i="95" s="1"/>
  <c r="F62" i="95"/>
  <c r="G62" i="95" s="1"/>
  <c r="F61" i="95"/>
  <c r="G61" i="95" s="1"/>
  <c r="F60" i="95"/>
  <c r="G60" i="95" s="1"/>
  <c r="F59" i="95"/>
  <c r="G59" i="95" s="1"/>
  <c r="F58" i="95"/>
  <c r="G58" i="95" s="1"/>
  <c r="F57" i="95"/>
  <c r="G57" i="95" s="1"/>
  <c r="F56" i="95"/>
  <c r="G56" i="95" s="1"/>
  <c r="F55" i="95"/>
  <c r="G55" i="95" s="1"/>
  <c r="F54" i="95"/>
  <c r="G54" i="95" s="1"/>
  <c r="F53" i="95"/>
  <c r="G53" i="95" s="1"/>
  <c r="F52" i="95"/>
  <c r="G52" i="95" s="1"/>
  <c r="F51" i="95"/>
  <c r="G51" i="95" s="1"/>
  <c r="F50" i="95"/>
  <c r="G50" i="95" s="1"/>
  <c r="F49" i="95"/>
  <c r="F48" i="95"/>
  <c r="G48" i="95" s="1"/>
  <c r="F46" i="95"/>
  <c r="G46" i="95" s="1"/>
  <c r="F45" i="95"/>
  <c r="G45" i="95"/>
  <c r="F44" i="95"/>
  <c r="G44" i="95" s="1"/>
  <c r="F40" i="95"/>
  <c r="G40" i="95" s="1"/>
  <c r="F39" i="95"/>
  <c r="G39" i="95" s="1"/>
  <c r="F38" i="95"/>
  <c r="G38" i="95" s="1"/>
  <c r="F29" i="95"/>
  <c r="G29" i="95" s="1"/>
  <c r="F24" i="95"/>
  <c r="G24" i="95"/>
  <c r="F23" i="95"/>
  <c r="G23" i="95" s="1"/>
  <c r="F22" i="95"/>
  <c r="G22" i="95" s="1"/>
  <c r="F21" i="95"/>
  <c r="G21" i="95" s="1"/>
  <c r="F19" i="95"/>
  <c r="G19" i="95" s="1"/>
  <c r="F18" i="95"/>
  <c r="G18" i="95" s="1"/>
  <c r="F17" i="95"/>
  <c r="G17" i="95"/>
  <c r="F16" i="95"/>
  <c r="G16" i="95" s="1"/>
  <c r="F15" i="95"/>
  <c r="G15" i="95" s="1"/>
  <c r="F14" i="95"/>
  <c r="G14" i="95" s="1"/>
  <c r="F13" i="95"/>
  <c r="G13" i="95"/>
  <c r="F12" i="95"/>
  <c r="G12" i="95" s="1"/>
  <c r="H7" i="73"/>
  <c r="V19" i="96"/>
  <c r="V23" i="96" s="1"/>
  <c r="U19" i="96"/>
  <c r="T19" i="96"/>
  <c r="S19" i="96"/>
  <c r="R19" i="96"/>
  <c r="Q19" i="96"/>
  <c r="P19" i="96"/>
  <c r="O19" i="96"/>
  <c r="N19" i="96"/>
  <c r="M19" i="96"/>
  <c r="L19" i="96"/>
  <c r="K19" i="96"/>
  <c r="J19" i="96"/>
  <c r="I19" i="96"/>
  <c r="H19" i="96"/>
  <c r="G19" i="96"/>
  <c r="E16" i="96"/>
  <c r="F262" i="73"/>
  <c r="D281" i="95" s="1"/>
  <c r="H152" i="73"/>
  <c r="E193" i="73"/>
  <c r="E194" i="73"/>
  <c r="E195" i="73"/>
  <c r="E196" i="73"/>
  <c r="E197" i="73"/>
  <c r="E198" i="73"/>
  <c r="E200" i="73"/>
  <c r="E201" i="73"/>
  <c r="E202" i="73"/>
  <c r="E203" i="73"/>
  <c r="E204" i="73"/>
  <c r="E205" i="73"/>
  <c r="H243" i="73"/>
  <c r="H239" i="73"/>
  <c r="H224" i="73"/>
  <c r="H208" i="73"/>
  <c r="H207" i="73"/>
  <c r="H172" i="73"/>
  <c r="H171" i="73"/>
  <c r="H147" i="73"/>
  <c r="D140" i="98" s="1"/>
  <c r="H143" i="73"/>
  <c r="D137" i="98" s="1"/>
  <c r="H142" i="73"/>
  <c r="D136" i="98" s="1"/>
  <c r="H141" i="73"/>
  <c r="H134" i="73"/>
  <c r="H126" i="73"/>
  <c r="H125" i="73"/>
  <c r="H124" i="73"/>
  <c r="D116" i="98"/>
  <c r="H118" i="73"/>
  <c r="H116" i="73"/>
  <c r="H115" i="73"/>
  <c r="H114" i="73"/>
  <c r="H104" i="73"/>
  <c r="H103" i="73"/>
  <c r="H102" i="73"/>
  <c r="D96" i="98" s="1"/>
  <c r="H101" i="73"/>
  <c r="H97" i="73"/>
  <c r="H96" i="73"/>
  <c r="H95" i="73"/>
  <c r="H88" i="73"/>
  <c r="H87" i="73"/>
  <c r="D84" i="98" s="1"/>
  <c r="E84" i="98" s="1"/>
  <c r="F84" i="98" s="1"/>
  <c r="G84" i="98" s="1"/>
  <c r="H84" i="98" s="1"/>
  <c r="I84" i="98" s="1"/>
  <c r="H86" i="73"/>
  <c r="H85" i="73"/>
  <c r="H84" i="73"/>
  <c r="H83" i="73"/>
  <c r="H82" i="73"/>
  <c r="H81" i="73"/>
  <c r="H75" i="73"/>
  <c r="H71" i="73"/>
  <c r="H70" i="73"/>
  <c r="H69" i="73"/>
  <c r="H68" i="73"/>
  <c r="H67" i="73"/>
  <c r="D64" i="98" s="1"/>
  <c r="E64" i="98" s="1"/>
  <c r="F64" i="98" s="1"/>
  <c r="G64" i="98" s="1"/>
  <c r="H64" i="98" s="1"/>
  <c r="I64" i="98" s="1"/>
  <c r="H66" i="73"/>
  <c r="H65" i="73"/>
  <c r="H64" i="73"/>
  <c r="D61" i="98" s="1"/>
  <c r="E61" i="98" s="1"/>
  <c r="F61" i="98" s="1"/>
  <c r="G61" i="98" s="1"/>
  <c r="H61" i="98" s="1"/>
  <c r="I61" i="98" s="1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7" i="73"/>
  <c r="H46" i="73"/>
  <c r="H45" i="73"/>
  <c r="H43" i="73"/>
  <c r="H42" i="73"/>
  <c r="H41" i="73"/>
  <c r="H40" i="73"/>
  <c r="D38" i="98" s="1"/>
  <c r="E38" i="98" s="1"/>
  <c r="F38" i="98" s="1"/>
  <c r="G38" i="98" s="1"/>
  <c r="H38" i="98" s="1"/>
  <c r="I38" i="98" s="1"/>
  <c r="H34" i="73"/>
  <c r="H32" i="73"/>
  <c r="H31" i="73"/>
  <c r="H30" i="73"/>
  <c r="H29" i="73"/>
  <c r="H28" i="73"/>
  <c r="H27" i="73"/>
  <c r="H24" i="73"/>
  <c r="D24" i="98" s="1"/>
  <c r="E24" i="98" s="1"/>
  <c r="F24" i="98" s="1"/>
  <c r="G24" i="98" s="1"/>
  <c r="H24" i="98" s="1"/>
  <c r="I24" i="98" s="1"/>
  <c r="H23" i="73"/>
  <c r="C21" i="92" s="1"/>
  <c r="P21" i="92" s="1"/>
  <c r="H22" i="73"/>
  <c r="H21" i="73"/>
  <c r="H20" i="73"/>
  <c r="H19" i="73"/>
  <c r="H18" i="73"/>
  <c r="H17" i="73"/>
  <c r="D17" i="98" s="1"/>
  <c r="E17" i="98" s="1"/>
  <c r="F17" i="98" s="1"/>
  <c r="G17" i="98" s="1"/>
  <c r="H17" i="98" s="1"/>
  <c r="I17" i="98" s="1"/>
  <c r="H16" i="73"/>
  <c r="H15" i="73"/>
  <c r="H14" i="73"/>
  <c r="H13" i="73"/>
  <c r="C10" i="92"/>
  <c r="P10" i="92" s="1"/>
  <c r="H12" i="73"/>
  <c r="H10" i="73"/>
  <c r="H9" i="73"/>
  <c r="H8" i="73"/>
  <c r="D7" i="98" s="1"/>
  <c r="E7" i="98" s="1"/>
  <c r="F7" i="98" s="1"/>
  <c r="G7" i="98" s="1"/>
  <c r="H7" i="98" s="1"/>
  <c r="I7" i="98" s="1"/>
  <c r="F142" i="95"/>
  <c r="H92" i="73"/>
  <c r="F102" i="95"/>
  <c r="G102" i="95" s="1"/>
  <c r="L75" i="1"/>
  <c r="L76" i="1" s="1"/>
  <c r="I71" i="4"/>
  <c r="K93" i="4"/>
  <c r="J93" i="4"/>
  <c r="CZ74" i="4"/>
  <c r="DA74" i="4" s="1"/>
  <c r="CZ77" i="4"/>
  <c r="DA77" i="4" s="1"/>
  <c r="CZ67" i="4"/>
  <c r="CZ70" i="4"/>
  <c r="CZ71" i="4"/>
  <c r="CZ60" i="4"/>
  <c r="DA60" i="4" s="1"/>
  <c r="CU76" i="4"/>
  <c r="CU16" i="4"/>
  <c r="I55" i="4"/>
  <c r="I54" i="4"/>
  <c r="DE54" i="4"/>
  <c r="I52" i="4"/>
  <c r="E207" i="73" s="1"/>
  <c r="I48" i="4"/>
  <c r="D191" i="98" s="1"/>
  <c r="E191" i="98" s="1"/>
  <c r="F191" i="98" s="1"/>
  <c r="G191" i="98" s="1"/>
  <c r="H191" i="98" s="1"/>
  <c r="I191" i="98" s="1"/>
  <c r="I45" i="4"/>
  <c r="I67" i="4"/>
  <c r="DA67" i="4" s="1"/>
  <c r="I70" i="4"/>
  <c r="DE70" i="4" s="1"/>
  <c r="I17" i="4"/>
  <c r="DE17" i="4" s="1"/>
  <c r="C230" i="95"/>
  <c r="G117" i="75"/>
  <c r="C265" i="95"/>
  <c r="C264" i="95"/>
  <c r="F263" i="95"/>
  <c r="G263" i="95" s="1"/>
  <c r="C143" i="95"/>
  <c r="C142" i="95"/>
  <c r="F140" i="95"/>
  <c r="G140" i="95" s="1"/>
  <c r="C140" i="95"/>
  <c r="F139" i="95"/>
  <c r="G139" i="95" s="1"/>
  <c r="C139" i="95"/>
  <c r="F138" i="95"/>
  <c r="G138" i="95" s="1"/>
  <c r="C138" i="95"/>
  <c r="F131" i="95"/>
  <c r="G131" i="95" s="1"/>
  <c r="C131" i="95"/>
  <c r="F123" i="95"/>
  <c r="G123" i="95" s="1"/>
  <c r="C123" i="95"/>
  <c r="F122" i="95"/>
  <c r="G122" i="95" s="1"/>
  <c r="C122" i="95"/>
  <c r="F121" i="95"/>
  <c r="G121" i="95" s="1"/>
  <c r="C121" i="95"/>
  <c r="F120" i="95"/>
  <c r="G120" i="95" s="1"/>
  <c r="C120" i="95"/>
  <c r="C119" i="95"/>
  <c r="F115" i="95"/>
  <c r="G115" i="95" s="1"/>
  <c r="C115" i="95"/>
  <c r="F113" i="95"/>
  <c r="G113" i="95" s="1"/>
  <c r="C113" i="95"/>
  <c r="F112" i="95"/>
  <c r="G112" i="95" s="1"/>
  <c r="C112" i="95"/>
  <c r="C111" i="95"/>
  <c r="C101" i="95"/>
  <c r="C100" i="95"/>
  <c r="C99" i="95"/>
  <c r="C98" i="95"/>
  <c r="C94" i="95"/>
  <c r="C93" i="95"/>
  <c r="C92" i="95"/>
  <c r="C89" i="95"/>
  <c r="C86" i="95"/>
  <c r="C85" i="95"/>
  <c r="C84" i="95"/>
  <c r="C83" i="95"/>
  <c r="C82" i="95"/>
  <c r="C81" i="95"/>
  <c r="C80" i="95"/>
  <c r="C79" i="95"/>
  <c r="C73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6" i="95"/>
  <c r="C45" i="95"/>
  <c r="C44" i="95"/>
  <c r="F42" i="95"/>
  <c r="G42" i="95" s="1"/>
  <c r="C42" i="95"/>
  <c r="F41" i="95"/>
  <c r="G41" i="95" s="1"/>
  <c r="C41" i="95"/>
  <c r="C40" i="95"/>
  <c r="C39" i="95"/>
  <c r="F34" i="95"/>
  <c r="G34" i="95" s="1"/>
  <c r="C34" i="95"/>
  <c r="F32" i="95"/>
  <c r="G32" i="95" s="1"/>
  <c r="C32" i="95"/>
  <c r="F31" i="95"/>
  <c r="G31" i="95" s="1"/>
  <c r="C31" i="95"/>
  <c r="F30" i="95"/>
  <c r="G30" i="95" s="1"/>
  <c r="C30" i="95"/>
  <c r="C29" i="95"/>
  <c r="C28" i="95"/>
  <c r="F27" i="95"/>
  <c r="G27" i="95" s="1"/>
  <c r="C27" i="95"/>
  <c r="C24" i="95"/>
  <c r="C23" i="95"/>
  <c r="C22" i="95"/>
  <c r="C21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Q7" i="85"/>
  <c r="T7" i="85"/>
  <c r="W7" i="85"/>
  <c r="AL7" i="85"/>
  <c r="Q38" i="85"/>
  <c r="AR13" i="85"/>
  <c r="AU53" i="85"/>
  <c r="AU23" i="85"/>
  <c r="Q25" i="85"/>
  <c r="Q24" i="85" s="1"/>
  <c r="S24" i="85" s="1"/>
  <c r="AB24" i="85"/>
  <c r="G25" i="85"/>
  <c r="G24" i="85" s="1"/>
  <c r="M24" i="85" s="1"/>
  <c r="D19" i="86"/>
  <c r="D17" i="86"/>
  <c r="D16" i="86"/>
  <c r="D15" i="86"/>
  <c r="D14" i="86"/>
  <c r="D13" i="86" s="1"/>
  <c r="D44" i="86"/>
  <c r="D37" i="86"/>
  <c r="D43" i="86"/>
  <c r="D31" i="86"/>
  <c r="H27" i="86"/>
  <c r="H26" i="86" s="1"/>
  <c r="F40" i="86"/>
  <c r="AQ24" i="85"/>
  <c r="AN24" i="85"/>
  <c r="AE24" i="85"/>
  <c r="P24" i="85"/>
  <c r="T25" i="91"/>
  <c r="S25" i="91"/>
  <c r="R25" i="91"/>
  <c r="P25" i="91"/>
  <c r="L25" i="91"/>
  <c r="L27" i="91" s="1"/>
  <c r="H25" i="91"/>
  <c r="H27" i="91" s="1"/>
  <c r="D25" i="91"/>
  <c r="D27" i="91" s="1"/>
  <c r="P32" i="91"/>
  <c r="L18" i="91"/>
  <c r="H18" i="91"/>
  <c r="D18" i="91"/>
  <c r="T11" i="91"/>
  <c r="S11" i="91"/>
  <c r="R11" i="91"/>
  <c r="P11" i="91"/>
  <c r="G10" i="85"/>
  <c r="AR1" i="85"/>
  <c r="AO1" i="85"/>
  <c r="AL1" i="85"/>
  <c r="AI1" i="85"/>
  <c r="AF1" i="85"/>
  <c r="AC1" i="85"/>
  <c r="Z1" i="85"/>
  <c r="W1" i="85"/>
  <c r="T1" i="85"/>
  <c r="Q1" i="85"/>
  <c r="N1" i="85"/>
  <c r="G1" i="85"/>
  <c r="AT7" i="85"/>
  <c r="H9" i="85"/>
  <c r="I9" i="85"/>
  <c r="J9" i="85"/>
  <c r="K9" i="85"/>
  <c r="L9" i="85"/>
  <c r="M9" i="85" s="1"/>
  <c r="O9" i="85"/>
  <c r="R9" i="85"/>
  <c r="U9" i="85"/>
  <c r="X9" i="85"/>
  <c r="AA9" i="85"/>
  <c r="AD9" i="85"/>
  <c r="AG9" i="85"/>
  <c r="AJ9" i="85"/>
  <c r="AM9" i="85"/>
  <c r="H10" i="85"/>
  <c r="I10" i="85"/>
  <c r="J10" i="85"/>
  <c r="K10" i="85"/>
  <c r="L10" i="85"/>
  <c r="M10" i="85" s="1"/>
  <c r="O10" i="85"/>
  <c r="R10" i="85"/>
  <c r="U10" i="85"/>
  <c r="X10" i="85"/>
  <c r="AA10" i="85"/>
  <c r="AD10" i="85"/>
  <c r="AG10" i="85"/>
  <c r="AJ10" i="85"/>
  <c r="AM10" i="85"/>
  <c r="M22" i="85"/>
  <c r="P22" i="85"/>
  <c r="S22" i="85"/>
  <c r="V22" i="85"/>
  <c r="Y22" i="85"/>
  <c r="AB22" i="85"/>
  <c r="AE22" i="85"/>
  <c r="AH22" i="85"/>
  <c r="AK22" i="85"/>
  <c r="AN22" i="85"/>
  <c r="M23" i="85"/>
  <c r="P23" i="85"/>
  <c r="S23" i="85"/>
  <c r="V23" i="85"/>
  <c r="Y23" i="85"/>
  <c r="AB23" i="85"/>
  <c r="AE23" i="85"/>
  <c r="AH23" i="85"/>
  <c r="AK23" i="85"/>
  <c r="AN23" i="85"/>
  <c r="P25" i="85"/>
  <c r="V25" i="85"/>
  <c r="Y25" i="85"/>
  <c r="AB25" i="85"/>
  <c r="AE25" i="85"/>
  <c r="AH25" i="85"/>
  <c r="AK25" i="85"/>
  <c r="AN25" i="85"/>
  <c r="M26" i="85"/>
  <c r="P26" i="85"/>
  <c r="S26" i="85"/>
  <c r="V26" i="85"/>
  <c r="Y26" i="85"/>
  <c r="AB26" i="85"/>
  <c r="AE26" i="85"/>
  <c r="AH26" i="85"/>
  <c r="AK26" i="85"/>
  <c r="AN26" i="85"/>
  <c r="M28" i="85"/>
  <c r="P28" i="85"/>
  <c r="S28" i="85"/>
  <c r="V28" i="85"/>
  <c r="Y28" i="85"/>
  <c r="AB28" i="85"/>
  <c r="AE28" i="85"/>
  <c r="AH28" i="85"/>
  <c r="AK28" i="85"/>
  <c r="AN28" i="85"/>
  <c r="M29" i="85"/>
  <c r="P29" i="85"/>
  <c r="S29" i="85"/>
  <c r="V29" i="85"/>
  <c r="Y29" i="85"/>
  <c r="AB29" i="85"/>
  <c r="AE29" i="85"/>
  <c r="AH29" i="85"/>
  <c r="AK29" i="85"/>
  <c r="AN29" i="85"/>
  <c r="M30" i="85"/>
  <c r="P30" i="85"/>
  <c r="S30" i="85"/>
  <c r="V30" i="85"/>
  <c r="Y30" i="85"/>
  <c r="AB30" i="85"/>
  <c r="AE30" i="85"/>
  <c r="AH30" i="85"/>
  <c r="AK30" i="85"/>
  <c r="AN30" i="85"/>
  <c r="M31" i="85"/>
  <c r="P31" i="85"/>
  <c r="S31" i="85"/>
  <c r="V31" i="85"/>
  <c r="Y31" i="85"/>
  <c r="AB31" i="85"/>
  <c r="AE31" i="85"/>
  <c r="AH31" i="85"/>
  <c r="AK31" i="85"/>
  <c r="AN31" i="85"/>
  <c r="M32" i="85"/>
  <c r="P32" i="85"/>
  <c r="S32" i="85"/>
  <c r="V32" i="85"/>
  <c r="Y32" i="85"/>
  <c r="AB32" i="85"/>
  <c r="AE32" i="85"/>
  <c r="AH32" i="85"/>
  <c r="AK32" i="85"/>
  <c r="AN32" i="85"/>
  <c r="M34" i="85"/>
  <c r="P34" i="85"/>
  <c r="S34" i="85"/>
  <c r="V34" i="85"/>
  <c r="Y34" i="85"/>
  <c r="AB34" i="85"/>
  <c r="AE34" i="85"/>
  <c r="AH34" i="85"/>
  <c r="AK34" i="85"/>
  <c r="AN34" i="85"/>
  <c r="M36" i="85"/>
  <c r="P36" i="85"/>
  <c r="S36" i="85"/>
  <c r="V36" i="85"/>
  <c r="Y36" i="85"/>
  <c r="AB36" i="85"/>
  <c r="AE36" i="85"/>
  <c r="AH36" i="85"/>
  <c r="AK36" i="85"/>
  <c r="AN36" i="85"/>
  <c r="M37" i="85"/>
  <c r="P37" i="85"/>
  <c r="S37" i="85"/>
  <c r="V37" i="85"/>
  <c r="Y37" i="85"/>
  <c r="AB37" i="85"/>
  <c r="AE37" i="85"/>
  <c r="AH37" i="85"/>
  <c r="AK37" i="85"/>
  <c r="AN37" i="85"/>
  <c r="M38" i="85"/>
  <c r="P38" i="85"/>
  <c r="S38" i="85"/>
  <c r="V38" i="85"/>
  <c r="Y38" i="85"/>
  <c r="AB38" i="85"/>
  <c r="AE38" i="85"/>
  <c r="AH38" i="85"/>
  <c r="AK38" i="85"/>
  <c r="AN38" i="85"/>
  <c r="M39" i="85"/>
  <c r="P39" i="85"/>
  <c r="S39" i="85"/>
  <c r="V39" i="85"/>
  <c r="Y39" i="85"/>
  <c r="AB39" i="85"/>
  <c r="AE39" i="85"/>
  <c r="AH39" i="85"/>
  <c r="AK39" i="85"/>
  <c r="AN39" i="85"/>
  <c r="M40" i="85"/>
  <c r="P40" i="85"/>
  <c r="S40" i="85"/>
  <c r="V40" i="85"/>
  <c r="Y40" i="85"/>
  <c r="AB40" i="85"/>
  <c r="AE40" i="85"/>
  <c r="AH40" i="85"/>
  <c r="AK40" i="85"/>
  <c r="AN40" i="85"/>
  <c r="M41" i="85"/>
  <c r="P41" i="85"/>
  <c r="S41" i="85"/>
  <c r="V41" i="85"/>
  <c r="Y41" i="85"/>
  <c r="AB41" i="85"/>
  <c r="AE41" i="85"/>
  <c r="AH41" i="85"/>
  <c r="AK41" i="85"/>
  <c r="AN41" i="85"/>
  <c r="M42" i="85"/>
  <c r="P42" i="85"/>
  <c r="S42" i="85"/>
  <c r="V42" i="85"/>
  <c r="Y42" i="85"/>
  <c r="AB42" i="85"/>
  <c r="AE42" i="85"/>
  <c r="AH42" i="85"/>
  <c r="AK42" i="85"/>
  <c r="AN42" i="85"/>
  <c r="M43" i="85"/>
  <c r="P43" i="85"/>
  <c r="S43" i="85"/>
  <c r="V43" i="85"/>
  <c r="Y43" i="85"/>
  <c r="AB43" i="85"/>
  <c r="AE43" i="85"/>
  <c r="AH43" i="85"/>
  <c r="AK43" i="85"/>
  <c r="AN43" i="85"/>
  <c r="M44" i="85"/>
  <c r="P44" i="85"/>
  <c r="S44" i="85"/>
  <c r="V44" i="85"/>
  <c r="Y44" i="85"/>
  <c r="AB44" i="85"/>
  <c r="AE44" i="85"/>
  <c r="AH44" i="85"/>
  <c r="AK44" i="85"/>
  <c r="AN44" i="85"/>
  <c r="M45" i="85"/>
  <c r="P45" i="85"/>
  <c r="S45" i="85"/>
  <c r="V45" i="85"/>
  <c r="Y45" i="85"/>
  <c r="AB45" i="85"/>
  <c r="AE45" i="85"/>
  <c r="AH45" i="85"/>
  <c r="AK45" i="85"/>
  <c r="AN45" i="85"/>
  <c r="M46" i="85"/>
  <c r="P46" i="85"/>
  <c r="S46" i="85"/>
  <c r="V46" i="85"/>
  <c r="Y46" i="85"/>
  <c r="AB46" i="85"/>
  <c r="AE46" i="85"/>
  <c r="AH46" i="85"/>
  <c r="AK46" i="85"/>
  <c r="AN46" i="85"/>
  <c r="M47" i="85"/>
  <c r="P47" i="85"/>
  <c r="S47" i="85"/>
  <c r="V47" i="85"/>
  <c r="Y47" i="85"/>
  <c r="AB47" i="85"/>
  <c r="AE47" i="85"/>
  <c r="AH47" i="85"/>
  <c r="AK47" i="85"/>
  <c r="AN47" i="85"/>
  <c r="M49" i="85"/>
  <c r="P49" i="85"/>
  <c r="S49" i="85"/>
  <c r="V49" i="85"/>
  <c r="Y49" i="85"/>
  <c r="AB49" i="85"/>
  <c r="AE49" i="85"/>
  <c r="AH49" i="85"/>
  <c r="AK49" i="85"/>
  <c r="AN49" i="85"/>
  <c r="AH52" i="85"/>
  <c r="AK52" i="85"/>
  <c r="AN52" i="85"/>
  <c r="M53" i="85"/>
  <c r="P53" i="85"/>
  <c r="S53" i="85"/>
  <c r="V53" i="85"/>
  <c r="Y53" i="85"/>
  <c r="AB53" i="85"/>
  <c r="AE53" i="85"/>
  <c r="AH53" i="85"/>
  <c r="AK53" i="85"/>
  <c r="AN53" i="85"/>
  <c r="H54" i="85"/>
  <c r="I54" i="85"/>
  <c r="J54" i="85"/>
  <c r="K54" i="85"/>
  <c r="L54" i="85"/>
  <c r="O54" i="85"/>
  <c r="R54" i="85"/>
  <c r="U54" i="85"/>
  <c r="X54" i="85"/>
  <c r="AA54" i="85"/>
  <c r="AD54" i="85"/>
  <c r="AG54" i="85"/>
  <c r="AJ54" i="85"/>
  <c r="AM54" i="85"/>
  <c r="H16" i="34"/>
  <c r="J12" i="32"/>
  <c r="J11" i="32"/>
  <c r="J9" i="32"/>
  <c r="F97" i="30"/>
  <c r="E201" i="30"/>
  <c r="F201" i="30"/>
  <c r="F98" i="30"/>
  <c r="E182" i="30"/>
  <c r="F182" i="30" s="1"/>
  <c r="F160" i="30"/>
  <c r="E155" i="30"/>
  <c r="F154" i="30"/>
  <c r="F144" i="30"/>
  <c r="E140" i="30"/>
  <c r="F140" i="30" s="1"/>
  <c r="F136" i="30"/>
  <c r="F134" i="30"/>
  <c r="F127" i="30"/>
  <c r="E120" i="30"/>
  <c r="F120" i="30"/>
  <c r="E114" i="30"/>
  <c r="F114" i="30"/>
  <c r="F107" i="30"/>
  <c r="F106" i="30"/>
  <c r="F196" i="30"/>
  <c r="E194" i="30"/>
  <c r="F194" i="30" s="1"/>
  <c r="F189" i="30"/>
  <c r="E172" i="30"/>
  <c r="F172" i="30"/>
  <c r="F167" i="30"/>
  <c r="E92" i="30"/>
  <c r="F92" i="30" s="1"/>
  <c r="E76" i="30"/>
  <c r="F76" i="30" s="1"/>
  <c r="E72" i="30"/>
  <c r="F72" i="30" s="1"/>
  <c r="F66" i="30"/>
  <c r="E57" i="30"/>
  <c r="F57" i="30"/>
  <c r="E53" i="30"/>
  <c r="F53" i="30"/>
  <c r="E49" i="30"/>
  <c r="F49" i="30"/>
  <c r="F40" i="30"/>
  <c r="F38" i="30"/>
  <c r="F37" i="30"/>
  <c r="F32" i="30"/>
  <c r="F28" i="30"/>
  <c r="F16" i="30"/>
  <c r="F15" i="30"/>
  <c r="E14" i="30"/>
  <c r="F14" i="30" s="1"/>
  <c r="D203" i="30"/>
  <c r="D204" i="30" s="1"/>
  <c r="H19" i="35"/>
  <c r="H116" i="35"/>
  <c r="F102" i="35"/>
  <c r="F101" i="35"/>
  <c r="F93" i="35"/>
  <c r="J13" i="34"/>
  <c r="F283" i="35"/>
  <c r="F282" i="35"/>
  <c r="F280" i="35"/>
  <c r="F278" i="35"/>
  <c r="F271" i="35"/>
  <c r="F270" i="35"/>
  <c r="E264" i="35"/>
  <c r="F245" i="35"/>
  <c r="F243" i="35"/>
  <c r="F242" i="35"/>
  <c r="F240" i="35"/>
  <c r="F238" i="35"/>
  <c r="F237" i="35"/>
  <c r="F232" i="35"/>
  <c r="F228" i="35"/>
  <c r="F223" i="35"/>
  <c r="F222" i="35"/>
  <c r="F218" i="35"/>
  <c r="F215" i="35"/>
  <c r="F207" i="35"/>
  <c r="F205" i="35"/>
  <c r="F202" i="35"/>
  <c r="F201" i="35"/>
  <c r="F200" i="35"/>
  <c r="F198" i="35"/>
  <c r="F185" i="35"/>
  <c r="F183" i="35"/>
  <c r="F182" i="35"/>
  <c r="F181" i="35"/>
  <c r="F179" i="35"/>
  <c r="F177" i="35"/>
  <c r="F175" i="35"/>
  <c r="F172" i="35"/>
  <c r="F171" i="35"/>
  <c r="F169" i="35"/>
  <c r="F191" i="35"/>
  <c r="F189" i="35"/>
  <c r="F188" i="35"/>
  <c r="F194" i="35"/>
  <c r="F295" i="35"/>
  <c r="F289" i="35"/>
  <c r="F288" i="35"/>
  <c r="F287" i="35"/>
  <c r="F268" i="35"/>
  <c r="F267" i="35"/>
  <c r="F266" i="35"/>
  <c r="F263" i="35"/>
  <c r="F262" i="35"/>
  <c r="F261" i="35"/>
  <c r="F258" i="35"/>
  <c r="F257" i="35"/>
  <c r="F256" i="35"/>
  <c r="F253" i="35"/>
  <c r="F252" i="35"/>
  <c r="F251" i="35"/>
  <c r="F248" i="35"/>
  <c r="F247" i="35"/>
  <c r="F246" i="35"/>
  <c r="F233" i="35"/>
  <c r="F213" i="35"/>
  <c r="F212" i="35"/>
  <c r="F211" i="35"/>
  <c r="F210" i="35"/>
  <c r="F154" i="35"/>
  <c r="F153" i="35"/>
  <c r="F152" i="35"/>
  <c r="F151" i="35"/>
  <c r="F150" i="35"/>
  <c r="F147" i="35"/>
  <c r="F146" i="35"/>
  <c r="F145" i="35"/>
  <c r="F144" i="35"/>
  <c r="F143" i="35"/>
  <c r="F128" i="35"/>
  <c r="F127" i="35"/>
  <c r="F126" i="35"/>
  <c r="F89" i="35"/>
  <c r="F80" i="35"/>
  <c r="F62" i="35"/>
  <c r="F9" i="35"/>
  <c r="F8" i="35"/>
  <c r="D341" i="35"/>
  <c r="D342" i="35" s="1"/>
  <c r="F338" i="35"/>
  <c r="F337" i="35"/>
  <c r="F336" i="35"/>
  <c r="F335" i="35"/>
  <c r="F333" i="35"/>
  <c r="F327" i="35"/>
  <c r="F326" i="35"/>
  <c r="F321" i="35"/>
  <c r="F320" i="35"/>
  <c r="F319" i="35"/>
  <c r="F311" i="35"/>
  <c r="F309" i="35"/>
  <c r="F305" i="35"/>
  <c r="E306" i="35"/>
  <c r="F306" i="35" s="1"/>
  <c r="F303" i="35"/>
  <c r="F302" i="35"/>
  <c r="F299" i="35"/>
  <c r="F294" i="35"/>
  <c r="F293" i="35"/>
  <c r="F165" i="35"/>
  <c r="F163" i="35"/>
  <c r="F162" i="35"/>
  <c r="F161" i="35"/>
  <c r="F160" i="35"/>
  <c r="F159" i="35"/>
  <c r="F158" i="35"/>
  <c r="F139" i="35"/>
  <c r="F138" i="35"/>
  <c r="F137" i="35"/>
  <c r="F136" i="35"/>
  <c r="F135" i="35"/>
  <c r="F134" i="35"/>
  <c r="F122" i="35"/>
  <c r="F121" i="35"/>
  <c r="F120" i="35"/>
  <c r="F119" i="35"/>
  <c r="F118" i="35"/>
  <c r="F117" i="35"/>
  <c r="F115" i="35"/>
  <c r="F114" i="35"/>
  <c r="F113" i="35"/>
  <c r="F111" i="35"/>
  <c r="F97" i="35"/>
  <c r="E94" i="35"/>
  <c r="E90" i="35"/>
  <c r="H24" i="2" s="1"/>
  <c r="F85" i="35"/>
  <c r="F84" i="35"/>
  <c r="F79" i="35"/>
  <c r="E81" i="35"/>
  <c r="F75" i="35"/>
  <c r="F74" i="35"/>
  <c r="F73" i="35"/>
  <c r="F72" i="35"/>
  <c r="F69" i="35"/>
  <c r="F67" i="35"/>
  <c r="F66" i="35"/>
  <c r="F58" i="35"/>
  <c r="F57" i="35"/>
  <c r="F56" i="35"/>
  <c r="F55" i="35"/>
  <c r="F54" i="35"/>
  <c r="F53" i="35"/>
  <c r="F52" i="35"/>
  <c r="F50" i="35"/>
  <c r="F49" i="35"/>
  <c r="F48" i="35"/>
  <c r="F47" i="35"/>
  <c r="F45" i="35"/>
  <c r="F44" i="35"/>
  <c r="F42" i="35"/>
  <c r="F41" i="35"/>
  <c r="F39" i="35"/>
  <c r="F38" i="35"/>
  <c r="F34" i="35"/>
  <c r="F33" i="35"/>
  <c r="F32" i="35"/>
  <c r="F31" i="35"/>
  <c r="F30" i="35"/>
  <c r="F26" i="35"/>
  <c r="F25" i="35"/>
  <c r="F24" i="35"/>
  <c r="F22" i="35"/>
  <c r="F21" i="35"/>
  <c r="F18" i="35"/>
  <c r="F17" i="35"/>
  <c r="F13" i="35"/>
  <c r="F12" i="35"/>
  <c r="E10" i="35"/>
  <c r="F10" i="35" s="1"/>
  <c r="E218" i="73"/>
  <c r="E227" i="73"/>
  <c r="E262" i="73" s="1"/>
  <c r="C281" i="95" s="1"/>
  <c r="E225" i="73"/>
  <c r="E221" i="73"/>
  <c r="E220" i="73"/>
  <c r="E219" i="73"/>
  <c r="E212" i="73"/>
  <c r="E209" i="73"/>
  <c r="E261" i="73" s="1"/>
  <c r="E191" i="73"/>
  <c r="E192" i="73"/>
  <c r="E174" i="73"/>
  <c r="E175" i="73"/>
  <c r="E176" i="73"/>
  <c r="E177" i="73"/>
  <c r="E178" i="73"/>
  <c r="E179" i="73"/>
  <c r="E180" i="73"/>
  <c r="E181" i="73"/>
  <c r="E182" i="73"/>
  <c r="E183" i="73"/>
  <c r="E184" i="73"/>
  <c r="E185" i="73"/>
  <c r="E186" i="73"/>
  <c r="E187" i="73"/>
  <c r="E188" i="73"/>
  <c r="E189" i="73"/>
  <c r="E190" i="73"/>
  <c r="E173" i="73"/>
  <c r="E162" i="73"/>
  <c r="E163" i="73"/>
  <c r="E164" i="73"/>
  <c r="E165" i="73"/>
  <c r="E166" i="73"/>
  <c r="E167" i="73"/>
  <c r="E168" i="73"/>
  <c r="E161" i="73"/>
  <c r="DE60" i="4"/>
  <c r="DE74" i="4"/>
  <c r="F243" i="73"/>
  <c r="F239" i="73"/>
  <c r="F247" i="73" s="1"/>
  <c r="F71" i="1"/>
  <c r="C37" i="95" s="1"/>
  <c r="G75" i="75"/>
  <c r="E75" i="75" s="1"/>
  <c r="M42" i="75"/>
  <c r="M43" i="75"/>
  <c r="L40" i="75"/>
  <c r="L41" i="75"/>
  <c r="L45" i="75"/>
  <c r="L39" i="75"/>
  <c r="G66" i="75"/>
  <c r="I130" i="83"/>
  <c r="I126" i="83"/>
  <c r="I125" i="83"/>
  <c r="I131" i="83" s="1"/>
  <c r="J126" i="83"/>
  <c r="J125" i="83"/>
  <c r="D11" i="83"/>
  <c r="D10" i="83"/>
  <c r="D9" i="83"/>
  <c r="H11" i="83"/>
  <c r="H10" i="83"/>
  <c r="H9" i="83"/>
  <c r="L11" i="83"/>
  <c r="L10" i="83"/>
  <c r="D148" i="83"/>
  <c r="C148" i="83"/>
  <c r="B148" i="83"/>
  <c r="D144" i="83"/>
  <c r="C144" i="83"/>
  <c r="B144" i="83"/>
  <c r="K11" i="83"/>
  <c r="K10" i="83"/>
  <c r="F8" i="83"/>
  <c r="B8" i="83"/>
  <c r="D8" i="83" s="1"/>
  <c r="D7" i="89"/>
  <c r="D6" i="89"/>
  <c r="D5" i="89"/>
  <c r="D4" i="89"/>
  <c r="B11" i="89"/>
  <c r="B7" i="89"/>
  <c r="B6" i="89"/>
  <c r="B5" i="89"/>
  <c r="B4" i="89"/>
  <c r="G9" i="83"/>
  <c r="D147" i="73"/>
  <c r="D146" i="73"/>
  <c r="D92" i="73"/>
  <c r="D85" i="73"/>
  <c r="D95" i="73"/>
  <c r="D88" i="73"/>
  <c r="D87" i="73"/>
  <c r="D86" i="73"/>
  <c r="D84" i="73"/>
  <c r="D83" i="73"/>
  <c r="D81" i="73"/>
  <c r="D71" i="73"/>
  <c r="D67" i="73"/>
  <c r="C16" i="17"/>
  <c r="F16" i="17" s="1"/>
  <c r="D61" i="73"/>
  <c r="D58" i="73"/>
  <c r="D46" i="73"/>
  <c r="D114" i="73"/>
  <c r="D134" i="73"/>
  <c r="D131" i="73"/>
  <c r="D127" i="73"/>
  <c r="D126" i="73"/>
  <c r="D124" i="73"/>
  <c r="D115" i="73"/>
  <c r="D116" i="73"/>
  <c r="D109" i="73"/>
  <c r="D108" i="73"/>
  <c r="D105" i="73"/>
  <c r="D103" i="73"/>
  <c r="D24" i="73"/>
  <c r="D23" i="73"/>
  <c r="D20" i="73"/>
  <c r="D19" i="73"/>
  <c r="D17" i="73"/>
  <c r="D15" i="73"/>
  <c r="D13" i="73"/>
  <c r="D12" i="73"/>
  <c r="D11" i="73"/>
  <c r="D10" i="73"/>
  <c r="D9" i="73"/>
  <c r="D8" i="73"/>
  <c r="D221" i="73"/>
  <c r="D225" i="73"/>
  <c r="D224" i="73"/>
  <c r="D220" i="73"/>
  <c r="D219" i="73"/>
  <c r="D218" i="73"/>
  <c r="D217" i="73"/>
  <c r="D216" i="73"/>
  <c r="D14" i="32"/>
  <c r="D212" i="73"/>
  <c r="D209" i="73"/>
  <c r="D208" i="73"/>
  <c r="D207" i="73"/>
  <c r="D205" i="73"/>
  <c r="D204" i="73"/>
  <c r="D203" i="73"/>
  <c r="D202" i="73"/>
  <c r="D201" i="73"/>
  <c r="D200" i="73"/>
  <c r="D198" i="73"/>
  <c r="D197" i="73"/>
  <c r="D196" i="73"/>
  <c r="D195" i="73"/>
  <c r="D194" i="73"/>
  <c r="D193" i="73"/>
  <c r="D192" i="73"/>
  <c r="D191" i="73"/>
  <c r="D190" i="73"/>
  <c r="D189" i="73"/>
  <c r="D188" i="73"/>
  <c r="D187" i="73"/>
  <c r="D186" i="73"/>
  <c r="D184" i="73"/>
  <c r="D183" i="73"/>
  <c r="D182" i="73"/>
  <c r="D180" i="73"/>
  <c r="D179" i="73"/>
  <c r="D178" i="73"/>
  <c r="D177" i="73"/>
  <c r="D176" i="73"/>
  <c r="D174" i="73"/>
  <c r="D173" i="73"/>
  <c r="D171" i="73"/>
  <c r="D168" i="73"/>
  <c r="D167" i="73"/>
  <c r="D166" i="73"/>
  <c r="D165" i="73"/>
  <c r="D164" i="73"/>
  <c r="D161" i="73"/>
  <c r="E132" i="1"/>
  <c r="D5" i="86"/>
  <c r="D51" i="86" s="1"/>
  <c r="L27" i="75"/>
  <c r="F22" i="1"/>
  <c r="L121" i="75"/>
  <c r="G93" i="75"/>
  <c r="DC8" i="4"/>
  <c r="DC16" i="4" s="1"/>
  <c r="G7" i="75"/>
  <c r="L66" i="75"/>
  <c r="L67" i="75"/>
  <c r="L68" i="75"/>
  <c r="L69" i="75"/>
  <c r="L70" i="75"/>
  <c r="L71" i="75"/>
  <c r="L72" i="75"/>
  <c r="L73" i="75"/>
  <c r="L74" i="75"/>
  <c r="G67" i="75"/>
  <c r="E67" i="75" s="1"/>
  <c r="G68" i="75"/>
  <c r="E68" i="75" s="1"/>
  <c r="G69" i="75"/>
  <c r="E69" i="75" s="1"/>
  <c r="G70" i="75"/>
  <c r="G71" i="75"/>
  <c r="E71" i="75"/>
  <c r="G73" i="75"/>
  <c r="G74" i="75"/>
  <c r="G52" i="75"/>
  <c r="E52" i="75"/>
  <c r="G53" i="75"/>
  <c r="K47" i="75"/>
  <c r="G124" i="75"/>
  <c r="G121" i="75"/>
  <c r="E121" i="75" s="1"/>
  <c r="G120" i="75"/>
  <c r="G119" i="75"/>
  <c r="G118" i="75"/>
  <c r="G116" i="75"/>
  <c r="G112" i="75"/>
  <c r="E112" i="75" s="1"/>
  <c r="G111" i="75"/>
  <c r="G107" i="75"/>
  <c r="E107" i="75"/>
  <c r="G106" i="75"/>
  <c r="G102" i="75"/>
  <c r="G101" i="75"/>
  <c r="G100" i="75"/>
  <c r="G99" i="75"/>
  <c r="G98" i="75"/>
  <c r="G97" i="75"/>
  <c r="G96" i="75"/>
  <c r="G94" i="75"/>
  <c r="G92" i="75"/>
  <c r="G91" i="75"/>
  <c r="G90" i="75"/>
  <c r="G89" i="75"/>
  <c r="G88" i="75"/>
  <c r="G87" i="75"/>
  <c r="G86" i="75"/>
  <c r="G85" i="75"/>
  <c r="G84" i="75"/>
  <c r="G76" i="75"/>
  <c r="G65" i="75"/>
  <c r="G64" i="75"/>
  <c r="G63" i="75"/>
  <c r="G62" i="75"/>
  <c r="G61" i="75"/>
  <c r="G60" i="75"/>
  <c r="G59" i="75"/>
  <c r="G57" i="75"/>
  <c r="G56" i="75"/>
  <c r="G55" i="75"/>
  <c r="G54" i="75"/>
  <c r="G51" i="75"/>
  <c r="G50" i="75"/>
  <c r="G49" i="75"/>
  <c r="G48" i="75"/>
  <c r="G45" i="75"/>
  <c r="E45" i="75"/>
  <c r="G41" i="75"/>
  <c r="E41" i="75"/>
  <c r="G40" i="75"/>
  <c r="G35" i="75"/>
  <c r="G34" i="75"/>
  <c r="G33" i="75"/>
  <c r="G32" i="75"/>
  <c r="G30" i="75"/>
  <c r="G29" i="75"/>
  <c r="G28" i="75"/>
  <c r="G25" i="75"/>
  <c r="G23" i="75"/>
  <c r="J113" i="75"/>
  <c r="J47" i="75"/>
  <c r="J31" i="75"/>
  <c r="J26" i="75"/>
  <c r="J24" i="75"/>
  <c r="B173" i="84"/>
  <c r="B172" i="84"/>
  <c r="B168" i="84"/>
  <c r="A168" i="84"/>
  <c r="C167" i="84"/>
  <c r="B167" i="84"/>
  <c r="A167" i="84"/>
  <c r="B166" i="84"/>
  <c r="B165" i="84"/>
  <c r="C164" i="84"/>
  <c r="B164" i="84"/>
  <c r="B163" i="84"/>
  <c r="C162" i="84"/>
  <c r="B162" i="84"/>
  <c r="A162" i="84"/>
  <c r="B161" i="84"/>
  <c r="A161" i="84"/>
  <c r="A160" i="84"/>
  <c r="B159" i="84"/>
  <c r="A159" i="84"/>
  <c r="A158" i="84"/>
  <c r="A157" i="84"/>
  <c r="A156" i="84"/>
  <c r="B155" i="84"/>
  <c r="C145" i="84"/>
  <c r="B145" i="84"/>
  <c r="C144" i="84"/>
  <c r="B144" i="84"/>
  <c r="B147" i="84" s="1"/>
  <c r="C136" i="84"/>
  <c r="C139" i="84" s="1"/>
  <c r="B136" i="84"/>
  <c r="C135" i="84"/>
  <c r="B135" i="84"/>
  <c r="C134" i="84"/>
  <c r="C138" i="84" s="1"/>
  <c r="B134" i="84"/>
  <c r="C126" i="84"/>
  <c r="D114" i="84"/>
  <c r="F112" i="84"/>
  <c r="E111" i="84"/>
  <c r="F111" i="84" s="1"/>
  <c r="F110" i="84"/>
  <c r="C166" i="84" s="1"/>
  <c r="F109" i="84"/>
  <c r="C165" i="84" s="1"/>
  <c r="E108" i="84"/>
  <c r="E106" i="84"/>
  <c r="F106" i="84" s="1"/>
  <c r="E105" i="84"/>
  <c r="F105" i="84" s="1"/>
  <c r="F104" i="84"/>
  <c r="E102" i="84"/>
  <c r="F97" i="84"/>
  <c r="D97" i="84"/>
  <c r="E95" i="84"/>
  <c r="H94" i="84"/>
  <c r="G94" i="84"/>
  <c r="H93" i="84"/>
  <c r="C172" i="84" s="1"/>
  <c r="G93" i="84"/>
  <c r="E92" i="84"/>
  <c r="G92" i="84" s="1"/>
  <c r="H92" i="84"/>
  <c r="E91" i="84"/>
  <c r="H91" i="84" s="1"/>
  <c r="E90" i="84"/>
  <c r="H90" i="84" s="1"/>
  <c r="E89" i="84"/>
  <c r="H84" i="84"/>
  <c r="D84" i="84"/>
  <c r="E82" i="84"/>
  <c r="F82" i="84"/>
  <c r="E81" i="84"/>
  <c r="F81" i="84"/>
  <c r="E80" i="84"/>
  <c r="E79" i="84"/>
  <c r="F79" i="84" s="1"/>
  <c r="C173" i="84" s="1"/>
  <c r="E78" i="84"/>
  <c r="F78" i="84"/>
  <c r="E77" i="84"/>
  <c r="F28" i="86"/>
  <c r="F73" i="84"/>
  <c r="D73" i="84"/>
  <c r="B73" i="84"/>
  <c r="G71" i="84"/>
  <c r="E70" i="84"/>
  <c r="G70" i="84"/>
  <c r="H70" i="84" s="1"/>
  <c r="C163" i="84" s="1"/>
  <c r="G69" i="84"/>
  <c r="H69" i="84"/>
  <c r="C155" i="84" s="1"/>
  <c r="G68" i="84"/>
  <c r="E67" i="84"/>
  <c r="G67" i="84"/>
  <c r="H66" i="84"/>
  <c r="E66" i="84"/>
  <c r="G64" i="84"/>
  <c r="H64" i="84"/>
  <c r="G63" i="84"/>
  <c r="H63" i="84"/>
  <c r="G62" i="84"/>
  <c r="H62" i="84"/>
  <c r="B59" i="84"/>
  <c r="E57" i="84"/>
  <c r="E56" i="84"/>
  <c r="E55" i="84"/>
  <c r="E54" i="84"/>
  <c r="E53" i="84"/>
  <c r="H53" i="84" s="1"/>
  <c r="E52" i="84"/>
  <c r="G52" i="84" s="1"/>
  <c r="E51" i="84"/>
  <c r="H51" i="84"/>
  <c r="G51" i="84"/>
  <c r="F50" i="84"/>
  <c r="E50" i="84"/>
  <c r="G50" i="84" s="1"/>
  <c r="E49" i="84"/>
  <c r="H49" i="84" s="1"/>
  <c r="E48" i="84"/>
  <c r="D47" i="84"/>
  <c r="E47" i="84"/>
  <c r="D46" i="84"/>
  <c r="E46" i="84" s="1"/>
  <c r="H46" i="84" s="1"/>
  <c r="C160" i="84" s="1"/>
  <c r="D45" i="84"/>
  <c r="E45" i="84" s="1"/>
  <c r="F44" i="84"/>
  <c r="E44" i="84"/>
  <c r="G44" i="84"/>
  <c r="E43" i="84"/>
  <c r="E42" i="84"/>
  <c r="E41" i="84"/>
  <c r="H41" i="84"/>
  <c r="E40" i="84"/>
  <c r="E39" i="84"/>
  <c r="G39" i="84" s="1"/>
  <c r="E38" i="84"/>
  <c r="H38" i="84"/>
  <c r="C159" i="84" s="1"/>
  <c r="E37" i="84"/>
  <c r="G37" i="84" s="1"/>
  <c r="E36" i="84"/>
  <c r="H35" i="84"/>
  <c r="D35" i="84"/>
  <c r="G35" i="84"/>
  <c r="H34" i="84"/>
  <c r="G34" i="84"/>
  <c r="H33" i="84"/>
  <c r="D33" i="84"/>
  <c r="G33" i="84" s="1"/>
  <c r="H32" i="84"/>
  <c r="D32" i="84"/>
  <c r="G32" i="84"/>
  <c r="H31" i="84"/>
  <c r="D31" i="84"/>
  <c r="G31" i="84" s="1"/>
  <c r="H30" i="84"/>
  <c r="D30" i="84"/>
  <c r="G30" i="84"/>
  <c r="H29" i="84"/>
  <c r="D29" i="84"/>
  <c r="G29" i="84" s="1"/>
  <c r="H28" i="84"/>
  <c r="D28" i="84"/>
  <c r="G28" i="84"/>
  <c r="H27" i="84"/>
  <c r="D27" i="84"/>
  <c r="G27" i="84" s="1"/>
  <c r="F31" i="86" s="1"/>
  <c r="H26" i="84"/>
  <c r="C158" i="84" s="1"/>
  <c r="D26" i="84"/>
  <c r="H25" i="84"/>
  <c r="C157" i="84" s="1"/>
  <c r="D25" i="84"/>
  <c r="H24" i="84"/>
  <c r="D24" i="84"/>
  <c r="G24" i="84" s="1"/>
  <c r="H23" i="84"/>
  <c r="D23" i="84"/>
  <c r="G23" i="84" s="1"/>
  <c r="H22" i="84"/>
  <c r="D22" i="84"/>
  <c r="G22" i="84" s="1"/>
  <c r="H21" i="84"/>
  <c r="C156" i="84" s="1"/>
  <c r="D21" i="84"/>
  <c r="H20" i="84"/>
  <c r="D20" i="84"/>
  <c r="G20" i="84"/>
  <c r="H19" i="84"/>
  <c r="D19" i="84"/>
  <c r="G19" i="84" s="1"/>
  <c r="H18" i="84"/>
  <c r="D18" i="84"/>
  <c r="G18" i="84" s="1"/>
  <c r="H17" i="84"/>
  <c r="D17" i="84"/>
  <c r="G17" i="84" s="1"/>
  <c r="H16" i="84"/>
  <c r="D16" i="84"/>
  <c r="G16" i="84"/>
  <c r="H15" i="84"/>
  <c r="D15" i="84"/>
  <c r="G15" i="84" s="1"/>
  <c r="H14" i="84"/>
  <c r="D14" i="84"/>
  <c r="H13" i="84"/>
  <c r="D13" i="84"/>
  <c r="H12" i="84"/>
  <c r="D12" i="84"/>
  <c r="G12" i="84" s="1"/>
  <c r="H11" i="84"/>
  <c r="G11" i="84"/>
  <c r="E10" i="84"/>
  <c r="G10" i="84" s="1"/>
  <c r="E9" i="84"/>
  <c r="H9" i="84"/>
  <c r="H10" i="84"/>
  <c r="G91" i="84"/>
  <c r="B160" i="84"/>
  <c r="H48" i="84"/>
  <c r="G48" i="84"/>
  <c r="G90" i="84"/>
  <c r="F77" i="84"/>
  <c r="DC72" i="4"/>
  <c r="DC71" i="4"/>
  <c r="DC70" i="4"/>
  <c r="DC69" i="4"/>
  <c r="DC68" i="4"/>
  <c r="DC67" i="4"/>
  <c r="DC66" i="4"/>
  <c r="DC65" i="4"/>
  <c r="DC64" i="4"/>
  <c r="DC63" i="4"/>
  <c r="DC61" i="4"/>
  <c r="DC60" i="4"/>
  <c r="DC55" i="4"/>
  <c r="DC54" i="4"/>
  <c r="DC52" i="4"/>
  <c r="DC51" i="4"/>
  <c r="DC50" i="4"/>
  <c r="DC49" i="4"/>
  <c r="DC48" i="4"/>
  <c r="DC47" i="4"/>
  <c r="DC46" i="4"/>
  <c r="DC45" i="4"/>
  <c r="DC44" i="4"/>
  <c r="DC43" i="4"/>
  <c r="DC42" i="4"/>
  <c r="DC41" i="4"/>
  <c r="DC40" i="4"/>
  <c r="DC39" i="4"/>
  <c r="DC38" i="4"/>
  <c r="DC37" i="4"/>
  <c r="DC36" i="4"/>
  <c r="DC33" i="4"/>
  <c r="DC32" i="4"/>
  <c r="DC31" i="4"/>
  <c r="DC29" i="4"/>
  <c r="DC28" i="4"/>
  <c r="DC27" i="4"/>
  <c r="DC26" i="4"/>
  <c r="DC25" i="4"/>
  <c r="DC24" i="4"/>
  <c r="DC23" i="4"/>
  <c r="DC20" i="4"/>
  <c r="DC19" i="4"/>
  <c r="DC18" i="4"/>
  <c r="DC17" i="4"/>
  <c r="DC15" i="4"/>
  <c r="DC14" i="4"/>
  <c r="DC13" i="4"/>
  <c r="DC12" i="4"/>
  <c r="DC11" i="4"/>
  <c r="DC10" i="4"/>
  <c r="DC9" i="4"/>
  <c r="DC76" i="4"/>
  <c r="BS76" i="4"/>
  <c r="BS73" i="4"/>
  <c r="CJ76" i="4"/>
  <c r="CI76" i="4"/>
  <c r="CJ73" i="4"/>
  <c r="CI73" i="4"/>
  <c r="CG76" i="4"/>
  <c r="CF76" i="4"/>
  <c r="CG73" i="4"/>
  <c r="CF73" i="4"/>
  <c r="CC76" i="4"/>
  <c r="CB76" i="4"/>
  <c r="CC73" i="4"/>
  <c r="CB73" i="4"/>
  <c r="BW76" i="4"/>
  <c r="BV76" i="4"/>
  <c r="BW73" i="4"/>
  <c r="BV73" i="4"/>
  <c r="BR76" i="4"/>
  <c r="BR73" i="4"/>
  <c r="BP76" i="4"/>
  <c r="BO76" i="4"/>
  <c r="BL76" i="4"/>
  <c r="BK76" i="4"/>
  <c r="BL73" i="4"/>
  <c r="BK73" i="4"/>
  <c r="BJ76" i="4"/>
  <c r="BH76" i="4"/>
  <c r="BG76" i="4"/>
  <c r="BH73" i="4"/>
  <c r="BG73" i="4"/>
  <c r="BE76" i="4"/>
  <c r="BD76" i="4"/>
  <c r="BE73" i="4"/>
  <c r="BD73" i="4"/>
  <c r="BB76" i="4"/>
  <c r="BA76" i="4"/>
  <c r="BB73" i="4"/>
  <c r="BA73" i="4"/>
  <c r="AY76" i="4"/>
  <c r="AX76" i="4"/>
  <c r="AY73" i="4"/>
  <c r="AX73" i="4"/>
  <c r="AV76" i="4"/>
  <c r="AU76" i="4"/>
  <c r="AV73" i="4"/>
  <c r="AU73" i="4"/>
  <c r="AS76" i="4"/>
  <c r="AR76" i="4"/>
  <c r="AS73" i="4"/>
  <c r="AR73" i="4"/>
  <c r="AP76" i="4"/>
  <c r="AO76" i="4"/>
  <c r="AP73" i="4"/>
  <c r="AO73" i="4"/>
  <c r="AM76" i="4"/>
  <c r="AL76" i="4"/>
  <c r="AG76" i="4"/>
  <c r="AF76" i="4"/>
  <c r="AG73" i="4"/>
  <c r="AF73" i="4"/>
  <c r="AD76" i="4"/>
  <c r="AC76" i="4"/>
  <c r="AD73" i="4"/>
  <c r="AC73" i="4"/>
  <c r="AA76" i="4"/>
  <c r="Z76" i="4"/>
  <c r="AA73" i="4"/>
  <c r="Z73" i="4"/>
  <c r="P76" i="4"/>
  <c r="O76" i="4"/>
  <c r="P73" i="4"/>
  <c r="O73" i="4"/>
  <c r="S73" i="4"/>
  <c r="CR76" i="4"/>
  <c r="CQ76" i="4"/>
  <c r="CP76" i="4"/>
  <c r="CR73" i="4"/>
  <c r="CQ73" i="4"/>
  <c r="CP73" i="4"/>
  <c r="CM76" i="4"/>
  <c r="CL76" i="4"/>
  <c r="CM73" i="4"/>
  <c r="CL73" i="4"/>
  <c r="CZ55" i="4"/>
  <c r="DA55" i="4" s="1"/>
  <c r="CZ54" i="4"/>
  <c r="DA54" i="4" s="1"/>
  <c r="CZ52" i="4"/>
  <c r="CZ48" i="4"/>
  <c r="CZ45" i="4"/>
  <c r="DA45" i="4" s="1"/>
  <c r="CZ17" i="4"/>
  <c r="DA17" i="4" s="1"/>
  <c r="I77" i="4"/>
  <c r="DE77" i="4"/>
  <c r="L20" i="75"/>
  <c r="L19" i="75"/>
  <c r="L17" i="75"/>
  <c r="L16" i="75"/>
  <c r="N15" i="75"/>
  <c r="M15" i="75"/>
  <c r="F15" i="75"/>
  <c r="C15" i="75"/>
  <c r="M13" i="1"/>
  <c r="C5" i="83"/>
  <c r="E64" i="73"/>
  <c r="E63" i="73"/>
  <c r="D64" i="73"/>
  <c r="D63" i="73"/>
  <c r="F151" i="30"/>
  <c r="F101" i="30"/>
  <c r="L102" i="75"/>
  <c r="L97" i="75"/>
  <c r="L53" i="75"/>
  <c r="L51" i="75"/>
  <c r="L50" i="75"/>
  <c r="L49" i="75"/>
  <c r="L48" i="75"/>
  <c r="E48" i="75"/>
  <c r="N47" i="75"/>
  <c r="M47" i="75"/>
  <c r="I47" i="75"/>
  <c r="H47" i="75"/>
  <c r="F47" i="75"/>
  <c r="L33" i="75"/>
  <c r="L34" i="75"/>
  <c r="E66" i="73"/>
  <c r="F163" i="30"/>
  <c r="F113" i="30"/>
  <c r="F110" i="30"/>
  <c r="F87" i="30"/>
  <c r="F200" i="30"/>
  <c r="F193" i="30"/>
  <c r="F192" i="30"/>
  <c r="F185" i="30"/>
  <c r="F181" i="30"/>
  <c r="F177" i="30"/>
  <c r="F171" i="30"/>
  <c r="F148" i="30"/>
  <c r="F145" i="30"/>
  <c r="F142" i="30"/>
  <c r="F139" i="30"/>
  <c r="F131" i="30"/>
  <c r="F125" i="30"/>
  <c r="F122" i="30"/>
  <c r="F104" i="30"/>
  <c r="F91" i="30"/>
  <c r="F83" i="30"/>
  <c r="F79" i="30"/>
  <c r="F71" i="30"/>
  <c r="F70" i="30"/>
  <c r="F64" i="30"/>
  <c r="F60" i="30"/>
  <c r="F56" i="30"/>
  <c r="F55" i="30"/>
  <c r="F52" i="30"/>
  <c r="F48" i="30"/>
  <c r="F9" i="30"/>
  <c r="F51" i="30"/>
  <c r="F47" i="30"/>
  <c r="F90" i="30"/>
  <c r="F157" i="30"/>
  <c r="F199" i="30"/>
  <c r="F72" i="1"/>
  <c r="L124" i="75"/>
  <c r="L120" i="75"/>
  <c r="E120" i="75"/>
  <c r="L119" i="75"/>
  <c r="E119" i="75" s="1"/>
  <c r="L118" i="75"/>
  <c r="L117" i="75"/>
  <c r="E117" i="75" s="1"/>
  <c r="L116" i="75"/>
  <c r="L115" i="75"/>
  <c r="L105" i="75"/>
  <c r="L104" i="75"/>
  <c r="L101" i="75"/>
  <c r="L100" i="75"/>
  <c r="L99" i="75"/>
  <c r="L98" i="75"/>
  <c r="E98" i="75" s="1"/>
  <c r="L96" i="75"/>
  <c r="L94" i="75"/>
  <c r="E94" i="75" s="1"/>
  <c r="L93" i="75"/>
  <c r="L92" i="75"/>
  <c r="E92" i="75"/>
  <c r="L90" i="75"/>
  <c r="L89" i="75"/>
  <c r="E89" i="75"/>
  <c r="L88" i="75"/>
  <c r="E88" i="75" s="1"/>
  <c r="L87" i="75"/>
  <c r="L86" i="75"/>
  <c r="L85" i="75"/>
  <c r="L84" i="75"/>
  <c r="E84" i="75" s="1"/>
  <c r="L76" i="75"/>
  <c r="L65" i="75"/>
  <c r="L64" i="75"/>
  <c r="E64" i="75" s="1"/>
  <c r="L63" i="75"/>
  <c r="E63" i="75"/>
  <c r="L62" i="75"/>
  <c r="L61" i="75"/>
  <c r="L60" i="75"/>
  <c r="L59" i="75"/>
  <c r="L57" i="75"/>
  <c r="L56" i="75"/>
  <c r="L55" i="75"/>
  <c r="E55" i="75" s="1"/>
  <c r="L54" i="75"/>
  <c r="E54" i="75"/>
  <c r="L35" i="75"/>
  <c r="L32" i="75"/>
  <c r="L30" i="75"/>
  <c r="L29" i="75"/>
  <c r="L28" i="75"/>
  <c r="L25" i="75"/>
  <c r="E25" i="75" s="1"/>
  <c r="L22" i="75"/>
  <c r="L9" i="75"/>
  <c r="L8" i="75" s="1"/>
  <c r="L7" i="75"/>
  <c r="I113" i="75"/>
  <c r="I31" i="75"/>
  <c r="I26" i="75"/>
  <c r="I24" i="75"/>
  <c r="I21" i="75"/>
  <c r="I8" i="75"/>
  <c r="M24" i="75"/>
  <c r="M8" i="75"/>
  <c r="M6" i="75"/>
  <c r="H113" i="75"/>
  <c r="H125" i="75" s="1"/>
  <c r="H31" i="75"/>
  <c r="H26" i="75"/>
  <c r="H24" i="75"/>
  <c r="C21" i="75"/>
  <c r="E51" i="73"/>
  <c r="E52" i="73"/>
  <c r="BX73" i="4"/>
  <c r="E134" i="73"/>
  <c r="F132" i="1"/>
  <c r="E147" i="73"/>
  <c r="E146" i="73"/>
  <c r="E266" i="73" s="1"/>
  <c r="E115" i="73"/>
  <c r="E85" i="73"/>
  <c r="E83" i="73"/>
  <c r="E69" i="73"/>
  <c r="E21" i="73"/>
  <c r="E10" i="73"/>
  <c r="E84" i="73"/>
  <c r="E62" i="73"/>
  <c r="Z9" i="1"/>
  <c r="Z10" i="1"/>
  <c r="Z12" i="1"/>
  <c r="H10" i="2"/>
  <c r="H8" i="2"/>
  <c r="D9" i="34"/>
  <c r="D10" i="34"/>
  <c r="G8" i="34"/>
  <c r="G57" i="2"/>
  <c r="F8" i="34"/>
  <c r="F57" i="2" s="1"/>
  <c r="D57" i="2" s="1"/>
  <c r="E8" i="34"/>
  <c r="E15" i="34"/>
  <c r="G12" i="34"/>
  <c r="G15" i="34" s="1"/>
  <c r="G60" i="2" s="1"/>
  <c r="G61" i="2" s="1"/>
  <c r="F12" i="34"/>
  <c r="E12" i="34"/>
  <c r="D14" i="34"/>
  <c r="J9" i="34"/>
  <c r="E19" i="17"/>
  <c r="E239" i="73"/>
  <c r="E224" i="73"/>
  <c r="E172" i="73"/>
  <c r="E171" i="73"/>
  <c r="E143" i="73"/>
  <c r="E142" i="73"/>
  <c r="E141" i="73"/>
  <c r="E126" i="73"/>
  <c r="E125" i="73"/>
  <c r="E124" i="73"/>
  <c r="E123" i="73"/>
  <c r="E122" i="73"/>
  <c r="E118" i="73"/>
  <c r="E116" i="73"/>
  <c r="E114" i="73"/>
  <c r="E104" i="73"/>
  <c r="E103" i="73"/>
  <c r="E102" i="73"/>
  <c r="E101" i="73"/>
  <c r="E97" i="73"/>
  <c r="E96" i="73"/>
  <c r="E95" i="73"/>
  <c r="E92" i="73"/>
  <c r="E88" i="73"/>
  <c r="E87" i="73"/>
  <c r="E86" i="73"/>
  <c r="E82" i="73"/>
  <c r="E81" i="73"/>
  <c r="E75" i="73"/>
  <c r="E71" i="73"/>
  <c r="E70" i="73"/>
  <c r="E68" i="73"/>
  <c r="E67" i="73"/>
  <c r="E65" i="73"/>
  <c r="E61" i="73"/>
  <c r="E60" i="73"/>
  <c r="E59" i="73"/>
  <c r="E58" i="73"/>
  <c r="E57" i="73"/>
  <c r="E56" i="73"/>
  <c r="E55" i="73"/>
  <c r="E54" i="73"/>
  <c r="E53" i="73"/>
  <c r="E50" i="73"/>
  <c r="E47" i="73"/>
  <c r="E46" i="73"/>
  <c r="E45" i="73"/>
  <c r="E43" i="73"/>
  <c r="E42" i="73"/>
  <c r="E41" i="73"/>
  <c r="E40" i="73"/>
  <c r="E34" i="73"/>
  <c r="E32" i="73"/>
  <c r="E31" i="73"/>
  <c r="E30" i="73"/>
  <c r="E29" i="73"/>
  <c r="E28" i="73"/>
  <c r="E27" i="73"/>
  <c r="E24" i="73"/>
  <c r="E23" i="73"/>
  <c r="E22" i="73"/>
  <c r="E18" i="73"/>
  <c r="E17" i="73"/>
  <c r="E16" i="73"/>
  <c r="E15" i="73"/>
  <c r="E14" i="73"/>
  <c r="E13" i="73"/>
  <c r="E12" i="73"/>
  <c r="E11" i="73"/>
  <c r="E9" i="73"/>
  <c r="E8" i="73"/>
  <c r="E7" i="73"/>
  <c r="F38" i="1"/>
  <c r="C102" i="95"/>
  <c r="E19" i="73"/>
  <c r="J26" i="86"/>
  <c r="I26" i="86"/>
  <c r="AS54" i="85"/>
  <c r="AT53" i="85"/>
  <c r="AT52" i="85"/>
  <c r="AT49" i="85"/>
  <c r="AT47" i="85"/>
  <c r="AT46" i="85"/>
  <c r="AT45" i="85"/>
  <c r="AT44" i="85"/>
  <c r="AT43" i="85"/>
  <c r="AT42" i="85"/>
  <c r="AT41" i="85"/>
  <c r="AT40" i="85"/>
  <c r="AT39" i="85"/>
  <c r="AT38" i="85"/>
  <c r="AT37" i="85"/>
  <c r="AT36" i="85"/>
  <c r="AT34" i="85"/>
  <c r="AT32" i="85"/>
  <c r="AT31" i="85"/>
  <c r="AT30" i="85"/>
  <c r="AT29" i="85"/>
  <c r="AT28" i="85"/>
  <c r="AT26" i="85"/>
  <c r="AT25" i="85"/>
  <c r="AT23" i="85"/>
  <c r="AT22" i="85"/>
  <c r="AS10" i="85"/>
  <c r="AS9" i="85"/>
  <c r="AS17" i="85"/>
  <c r="AS21" i="85" s="1"/>
  <c r="AS50" i="85" s="1"/>
  <c r="AP54" i="85"/>
  <c r="AQ53" i="85"/>
  <c r="AQ52" i="85"/>
  <c r="AQ49" i="85"/>
  <c r="AQ47" i="85"/>
  <c r="AQ46" i="85"/>
  <c r="AQ45" i="85"/>
  <c r="AQ44" i="85"/>
  <c r="AQ43" i="85"/>
  <c r="AQ42" i="85"/>
  <c r="AQ41" i="85"/>
  <c r="AQ40" i="85"/>
  <c r="AQ39" i="85"/>
  <c r="AQ38" i="85"/>
  <c r="AQ37" i="85"/>
  <c r="AQ36" i="85"/>
  <c r="AQ34" i="85"/>
  <c r="AQ32" i="85"/>
  <c r="AQ31" i="85"/>
  <c r="AQ30" i="85"/>
  <c r="AQ29" i="85"/>
  <c r="AQ28" i="85"/>
  <c r="AQ26" i="85"/>
  <c r="AQ25" i="85"/>
  <c r="AQ23" i="85"/>
  <c r="AQ22" i="85"/>
  <c r="AP10" i="85"/>
  <c r="AP9" i="85"/>
  <c r="F53" i="85"/>
  <c r="F23" i="85"/>
  <c r="E54" i="85"/>
  <c r="E10" i="85"/>
  <c r="E17" i="85"/>
  <c r="E21" i="85"/>
  <c r="E50" i="85" s="1"/>
  <c r="E9" i="85"/>
  <c r="F13" i="32"/>
  <c r="G40" i="2"/>
  <c r="D239" i="73"/>
  <c r="N13" i="1"/>
  <c r="G10" i="2"/>
  <c r="G8" i="2"/>
  <c r="G13" i="32"/>
  <c r="G8" i="32"/>
  <c r="G9" i="2" s="1"/>
  <c r="G59" i="2" s="1"/>
  <c r="G36" i="2"/>
  <c r="G34" i="2"/>
  <c r="G31" i="2"/>
  <c r="G29" i="2"/>
  <c r="G22" i="2"/>
  <c r="G18" i="2"/>
  <c r="G17" i="2"/>
  <c r="G15" i="2"/>
  <c r="G5" i="83"/>
  <c r="K31" i="75"/>
  <c r="F31" i="75"/>
  <c r="F26" i="75"/>
  <c r="N24" i="75"/>
  <c r="K24" i="75"/>
  <c r="F24" i="75"/>
  <c r="N8" i="75"/>
  <c r="F8" i="75"/>
  <c r="N113" i="75"/>
  <c r="F113" i="75"/>
  <c r="F125" i="75" s="1"/>
  <c r="F21" i="75"/>
  <c r="C3" i="81"/>
  <c r="F28" i="2"/>
  <c r="D28" i="2" s="1"/>
  <c r="I30" i="81"/>
  <c r="J30" i="81"/>
  <c r="G30" i="81"/>
  <c r="H30" i="81" s="1"/>
  <c r="E30" i="81"/>
  <c r="D30" i="81"/>
  <c r="I29" i="81"/>
  <c r="J29" i="81" s="1"/>
  <c r="G29" i="81"/>
  <c r="E29" i="81"/>
  <c r="F29" i="81"/>
  <c r="D29" i="81"/>
  <c r="I28" i="81"/>
  <c r="J28" i="81"/>
  <c r="G28" i="81"/>
  <c r="H28" i="81" s="1"/>
  <c r="E28" i="81"/>
  <c r="D28" i="81"/>
  <c r="I27" i="81"/>
  <c r="J27" i="81" s="1"/>
  <c r="G27" i="81"/>
  <c r="E27" i="81"/>
  <c r="F27" i="81"/>
  <c r="D27" i="81"/>
  <c r="I26" i="81"/>
  <c r="J26" i="81"/>
  <c r="G26" i="81"/>
  <c r="E26" i="81"/>
  <c r="F26" i="81"/>
  <c r="D26" i="81"/>
  <c r="I25" i="81"/>
  <c r="J25" i="81" s="1"/>
  <c r="G25" i="81"/>
  <c r="H25" i="81"/>
  <c r="E25" i="81"/>
  <c r="D25" i="81"/>
  <c r="I24" i="81"/>
  <c r="J24" i="81"/>
  <c r="G24" i="81"/>
  <c r="H24" i="81" s="1"/>
  <c r="E24" i="81"/>
  <c r="F24" i="81"/>
  <c r="D24" i="81"/>
  <c r="I23" i="81"/>
  <c r="J23" i="81"/>
  <c r="G23" i="81"/>
  <c r="E23" i="81"/>
  <c r="D23" i="81"/>
  <c r="I22" i="81"/>
  <c r="J22" i="81"/>
  <c r="G22" i="81"/>
  <c r="H22" i="81" s="1"/>
  <c r="E22" i="81"/>
  <c r="F22" i="81"/>
  <c r="D22" i="81"/>
  <c r="I21" i="81"/>
  <c r="J21" i="81" s="1"/>
  <c r="G21" i="81"/>
  <c r="H21" i="81"/>
  <c r="E21" i="81"/>
  <c r="D21" i="81"/>
  <c r="I20" i="81"/>
  <c r="J20" i="81"/>
  <c r="G20" i="81"/>
  <c r="H20" i="81" s="1"/>
  <c r="E20" i="81"/>
  <c r="F20" i="81"/>
  <c r="D20" i="81"/>
  <c r="I19" i="81"/>
  <c r="J19" i="81" s="1"/>
  <c r="G19" i="81"/>
  <c r="H19" i="81" s="1"/>
  <c r="E19" i="81"/>
  <c r="D19" i="81"/>
  <c r="I18" i="81"/>
  <c r="J18" i="81" s="1"/>
  <c r="G18" i="81"/>
  <c r="H18" i="81"/>
  <c r="E18" i="81"/>
  <c r="D18" i="81"/>
  <c r="I17" i="81"/>
  <c r="J17" i="81"/>
  <c r="G17" i="81"/>
  <c r="E17" i="81"/>
  <c r="F17" i="81" s="1"/>
  <c r="D17" i="81"/>
  <c r="I15" i="81"/>
  <c r="J15" i="81" s="1"/>
  <c r="G15" i="81"/>
  <c r="H15" i="81"/>
  <c r="E15" i="81"/>
  <c r="F15" i="81" s="1"/>
  <c r="D15" i="81"/>
  <c r="I14" i="81"/>
  <c r="J14" i="81" s="1"/>
  <c r="G14" i="81"/>
  <c r="H14" i="81" s="1"/>
  <c r="E14" i="81"/>
  <c r="F14" i="81" s="1"/>
  <c r="D14" i="81"/>
  <c r="I13" i="81"/>
  <c r="J13" i="81"/>
  <c r="G13" i="81"/>
  <c r="H13" i="81" s="1"/>
  <c r="E13" i="81"/>
  <c r="D13" i="81"/>
  <c r="I12" i="81"/>
  <c r="J12" i="81" s="1"/>
  <c r="G12" i="81"/>
  <c r="E12" i="81"/>
  <c r="D12" i="81"/>
  <c r="I11" i="81"/>
  <c r="J11" i="81"/>
  <c r="G11" i="81"/>
  <c r="H11" i="81" s="1"/>
  <c r="E11" i="81"/>
  <c r="D11" i="81"/>
  <c r="I10" i="81"/>
  <c r="J10" i="81"/>
  <c r="G10" i="81"/>
  <c r="H10" i="81" s="1"/>
  <c r="E10" i="81"/>
  <c r="K10" i="81"/>
  <c r="L10" i="81" s="1"/>
  <c r="D10" i="81"/>
  <c r="C9" i="81"/>
  <c r="I9" i="81"/>
  <c r="J9" i="81" s="1"/>
  <c r="J31" i="81" s="1"/>
  <c r="I7" i="81"/>
  <c r="J7" i="81" s="1"/>
  <c r="G7" i="81"/>
  <c r="E7" i="81"/>
  <c r="D7" i="81"/>
  <c r="I6" i="81"/>
  <c r="J6" i="81" s="1"/>
  <c r="G6" i="81"/>
  <c r="H6" i="81"/>
  <c r="E6" i="81"/>
  <c r="D6" i="81"/>
  <c r="I5" i="81"/>
  <c r="J5" i="81"/>
  <c r="G5" i="81"/>
  <c r="E5" i="81"/>
  <c r="F5" i="81" s="1"/>
  <c r="D5" i="81"/>
  <c r="I4" i="81"/>
  <c r="J4" i="81" s="1"/>
  <c r="G4" i="81"/>
  <c r="E4" i="81"/>
  <c r="D4" i="81"/>
  <c r="K26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G26" i="77"/>
  <c r="G36" i="77" s="1"/>
  <c r="F10" i="77"/>
  <c r="G5" i="77"/>
  <c r="F5" i="77"/>
  <c r="D5" i="77"/>
  <c r="D26" i="77" s="1"/>
  <c r="D36" i="77" s="1"/>
  <c r="D10" i="77"/>
  <c r="D13" i="77"/>
  <c r="C13" i="77"/>
  <c r="C10" i="77"/>
  <c r="C5" i="77"/>
  <c r="C26" i="77" s="1"/>
  <c r="C36" i="77" s="1"/>
  <c r="N75" i="1"/>
  <c r="N76" i="1"/>
  <c r="R75" i="1"/>
  <c r="R78" i="1" s="1"/>
  <c r="Q81" i="4" s="1"/>
  <c r="S75" i="1"/>
  <c r="T75" i="1"/>
  <c r="T76" i="1" s="1"/>
  <c r="M75" i="1"/>
  <c r="M76" i="1"/>
  <c r="CS76" i="4"/>
  <c r="CS16" i="4"/>
  <c r="AS100" i="1"/>
  <c r="D11" i="76"/>
  <c r="F36" i="2"/>
  <c r="D36" i="2"/>
  <c r="F51" i="2"/>
  <c r="D51" i="2" s="1"/>
  <c r="E27" i="2"/>
  <c r="D11" i="34"/>
  <c r="E10" i="32"/>
  <c r="D10" i="32" s="1"/>
  <c r="D13" i="32" s="1"/>
  <c r="E6" i="76"/>
  <c r="F6" i="76"/>
  <c r="F5" i="76" s="1"/>
  <c r="F3" i="76" s="1"/>
  <c r="F40" i="76"/>
  <c r="E40" i="76"/>
  <c r="F37" i="76"/>
  <c r="E37" i="76"/>
  <c r="F30" i="76"/>
  <c r="F29" i="76" s="1"/>
  <c r="E30" i="76"/>
  <c r="F16" i="76"/>
  <c r="E16" i="76"/>
  <c r="D40" i="76"/>
  <c r="D30" i="76"/>
  <c r="D29" i="76" s="1"/>
  <c r="E11" i="76"/>
  <c r="E5" i="76" s="1"/>
  <c r="E3" i="76" s="1"/>
  <c r="CT76" i="4"/>
  <c r="CT16" i="4"/>
  <c r="F50" i="2"/>
  <c r="D50" i="2" s="1"/>
  <c r="F48" i="2"/>
  <c r="D48" i="2"/>
  <c r="E33" i="2"/>
  <c r="F37" i="2"/>
  <c r="D37" i="2"/>
  <c r="F8" i="2"/>
  <c r="E12" i="29"/>
  <c r="F24" i="2"/>
  <c r="D24" i="2"/>
  <c r="D11" i="31"/>
  <c r="D10" i="31"/>
  <c r="BJ16" i="4"/>
  <c r="E8" i="33"/>
  <c r="E13" i="33" s="1"/>
  <c r="D10" i="33"/>
  <c r="D9" i="33"/>
  <c r="E8" i="32"/>
  <c r="D8" i="32"/>
  <c r="E8" i="31"/>
  <c r="E14" i="31" s="1"/>
  <c r="F8" i="31"/>
  <c r="F14" i="31"/>
  <c r="D125" i="73"/>
  <c r="D123" i="73"/>
  <c r="D143" i="73"/>
  <c r="D142" i="73"/>
  <c r="D118" i="73"/>
  <c r="D102" i="73"/>
  <c r="D104" i="73"/>
  <c r="D101" i="73"/>
  <c r="D97" i="73"/>
  <c r="D96" i="73"/>
  <c r="D82" i="73"/>
  <c r="D75" i="73"/>
  <c r="D70" i="73"/>
  <c r="D57" i="73"/>
  <c r="D53" i="73"/>
  <c r="D54" i="73"/>
  <c r="D55" i="73"/>
  <c r="D50" i="73"/>
  <c r="D51" i="73"/>
  <c r="D52" i="73"/>
  <c r="D42" i="73"/>
  <c r="D43" i="73"/>
  <c r="D45" i="73"/>
  <c r="D47" i="73"/>
  <c r="D41" i="73"/>
  <c r="D40" i="73"/>
  <c r="D34" i="73"/>
  <c r="D32" i="73"/>
  <c r="D31" i="73"/>
  <c r="D30" i="73"/>
  <c r="D29" i="73"/>
  <c r="D28" i="73"/>
  <c r="D27" i="73"/>
  <c r="D14" i="73"/>
  <c r="D16" i="73"/>
  <c r="D18" i="73"/>
  <c r="D22" i="73"/>
  <c r="BZ73" i="4"/>
  <c r="D11" i="33"/>
  <c r="D12" i="33"/>
  <c r="D11" i="32"/>
  <c r="D12" i="32"/>
  <c r="D9" i="31"/>
  <c r="D12" i="31"/>
  <c r="D13" i="31"/>
  <c r="D10" i="29"/>
  <c r="D11" i="29"/>
  <c r="C10" i="17"/>
  <c r="F10" i="17" s="1"/>
  <c r="C11" i="17"/>
  <c r="F11" i="17" s="1"/>
  <c r="C12" i="17"/>
  <c r="C13" i="17"/>
  <c r="F13" i="17" s="1"/>
  <c r="C14" i="17"/>
  <c r="F14" i="17" s="1"/>
  <c r="C17" i="17"/>
  <c r="F17" i="17" s="1"/>
  <c r="C18" i="17"/>
  <c r="F18" i="17" s="1"/>
  <c r="D19" i="17"/>
  <c r="J16" i="4"/>
  <c r="K16" i="4"/>
  <c r="S16" i="4"/>
  <c r="X16" i="4"/>
  <c r="Y16" i="4"/>
  <c r="AE16" i="4"/>
  <c r="AI16" i="4"/>
  <c r="AJ16" i="4"/>
  <c r="AK16" i="4"/>
  <c r="AN16" i="4"/>
  <c r="AQ16" i="4"/>
  <c r="AW16" i="4"/>
  <c r="AZ16" i="4"/>
  <c r="BC16" i="4"/>
  <c r="BF16" i="4"/>
  <c r="BI16" i="4"/>
  <c r="BM16" i="4"/>
  <c r="BN16" i="4"/>
  <c r="BQ16" i="4"/>
  <c r="BT16" i="4"/>
  <c r="BU16" i="4"/>
  <c r="BX16" i="4"/>
  <c r="BY16" i="4"/>
  <c r="BZ16" i="4"/>
  <c r="CA16" i="4"/>
  <c r="CD16" i="4"/>
  <c r="CH16" i="4"/>
  <c r="CK16" i="4"/>
  <c r="CN16" i="4"/>
  <c r="CO16" i="4"/>
  <c r="CV16" i="4"/>
  <c r="CW16" i="4"/>
  <c r="CX16" i="4"/>
  <c r="CY16" i="4"/>
  <c r="K56" i="4"/>
  <c r="CX56" i="4"/>
  <c r="CX59" i="4" s="1"/>
  <c r="F216" i="95" s="1"/>
  <c r="G216" i="95" s="1"/>
  <c r="CY56" i="4"/>
  <c r="CY59" i="4" s="1"/>
  <c r="F217" i="95" s="1"/>
  <c r="G217" i="95" s="1"/>
  <c r="J73" i="4"/>
  <c r="K73" i="4"/>
  <c r="M73" i="4"/>
  <c r="U73" i="4"/>
  <c r="W73" i="4"/>
  <c r="X73" i="4"/>
  <c r="AI73" i="4"/>
  <c r="AJ73" i="4"/>
  <c r="AW73" i="4"/>
  <c r="BI73" i="4"/>
  <c r="BT73" i="4"/>
  <c r="CD73" i="4"/>
  <c r="CK73" i="4"/>
  <c r="CV73" i="4"/>
  <c r="CY73" i="4"/>
  <c r="J76" i="4"/>
  <c r="L76" i="4"/>
  <c r="M76" i="4"/>
  <c r="N76" i="4"/>
  <c r="Q76" i="4"/>
  <c r="R76" i="4"/>
  <c r="S76" i="4"/>
  <c r="T76" i="4"/>
  <c r="U76" i="4"/>
  <c r="V76" i="4"/>
  <c r="W76" i="4"/>
  <c r="X76" i="4"/>
  <c r="Y76" i="4"/>
  <c r="AB76" i="4"/>
  <c r="AE76" i="4"/>
  <c r="AH76" i="4"/>
  <c r="AI76" i="4"/>
  <c r="AJ76" i="4"/>
  <c r="AK76" i="4"/>
  <c r="AN76" i="4"/>
  <c r="AQ76" i="4"/>
  <c r="AT76" i="4"/>
  <c r="AW76" i="4"/>
  <c r="AZ76" i="4"/>
  <c r="BC76" i="4"/>
  <c r="BF76" i="4"/>
  <c r="BI76" i="4"/>
  <c r="BM76" i="4"/>
  <c r="BN76" i="4"/>
  <c r="BQ76" i="4"/>
  <c r="BT76" i="4"/>
  <c r="BU76" i="4"/>
  <c r="BX76" i="4"/>
  <c r="BY76" i="4"/>
  <c r="BZ76" i="4"/>
  <c r="CA76" i="4"/>
  <c r="CD76" i="4"/>
  <c r="CE76" i="4"/>
  <c r="CH76" i="4"/>
  <c r="CK76" i="4"/>
  <c r="CN76" i="4"/>
  <c r="CO76" i="4"/>
  <c r="CV76" i="4"/>
  <c r="CW76" i="4"/>
  <c r="CX76" i="4"/>
  <c r="CY76" i="4"/>
  <c r="D16" i="76"/>
  <c r="N26" i="75"/>
  <c r="D30" i="2"/>
  <c r="F53" i="2"/>
  <c r="D53" i="2" s="1"/>
  <c r="D13" i="34"/>
  <c r="D12" i="34"/>
  <c r="F20" i="2"/>
  <c r="D20" i="2" s="1"/>
  <c r="F23" i="2"/>
  <c r="D23" i="2"/>
  <c r="F52" i="2"/>
  <c r="D52" i="2" s="1"/>
  <c r="F21" i="2"/>
  <c r="D21" i="2"/>
  <c r="F44" i="2"/>
  <c r="D44" i="2" s="1"/>
  <c r="F32" i="2"/>
  <c r="D32" i="2"/>
  <c r="F49" i="2"/>
  <c r="D49" i="2" s="1"/>
  <c r="F56" i="2"/>
  <c r="D56" i="2"/>
  <c r="F27" i="2"/>
  <c r="F41" i="2"/>
  <c r="D41" i="2"/>
  <c r="F45" i="2"/>
  <c r="D45" i="2" s="1"/>
  <c r="F25" i="2"/>
  <c r="D25" i="2"/>
  <c r="F47" i="2"/>
  <c r="D47" i="2" s="1"/>
  <c r="F22" i="2"/>
  <c r="D22" i="2"/>
  <c r="F31" i="2"/>
  <c r="D31" i="2" s="1"/>
  <c r="F42" i="2"/>
  <c r="D42" i="2"/>
  <c r="F26" i="2"/>
  <c r="D26" i="2" s="1"/>
  <c r="F38" i="2"/>
  <c r="D38" i="2"/>
  <c r="F40" i="2"/>
  <c r="D40" i="2" s="1"/>
  <c r="F29" i="2"/>
  <c r="D29" i="2"/>
  <c r="F39" i="2"/>
  <c r="D39" i="2" s="1"/>
  <c r="F46" i="2"/>
  <c r="D46" i="2"/>
  <c r="F35" i="2"/>
  <c r="D35" i="2" s="1"/>
  <c r="F54" i="2"/>
  <c r="D54" i="2"/>
  <c r="F34" i="2"/>
  <c r="D34" i="2" s="1"/>
  <c r="F43" i="2"/>
  <c r="D43" i="2"/>
  <c r="F19" i="2"/>
  <c r="D19" i="2" s="1"/>
  <c r="F33" i="2"/>
  <c r="F55" i="2"/>
  <c r="D55" i="2"/>
  <c r="F18" i="2"/>
  <c r="D18" i="2" s="1"/>
  <c r="G14" i="32"/>
  <c r="G15" i="32" s="1"/>
  <c r="G16" i="34"/>
  <c r="G41" i="2"/>
  <c r="G19" i="2"/>
  <c r="G20" i="2"/>
  <c r="G48" i="2"/>
  <c r="G51" i="2"/>
  <c r="G28" i="2"/>
  <c r="G42" i="2"/>
  <c r="G12" i="2"/>
  <c r="G21" i="2"/>
  <c r="G39" i="2"/>
  <c r="G43" i="2"/>
  <c r="G11" i="2"/>
  <c r="G53" i="2"/>
  <c r="G26" i="2"/>
  <c r="G52" i="2"/>
  <c r="G50" i="2"/>
  <c r="G54" i="2"/>
  <c r="G46" i="2"/>
  <c r="G49" i="2"/>
  <c r="G44" i="2"/>
  <c r="G45" i="2"/>
  <c r="G16" i="2"/>
  <c r="G38" i="2"/>
  <c r="G33" i="2"/>
  <c r="G24" i="2"/>
  <c r="G27" i="2"/>
  <c r="G23" i="2"/>
  <c r="G32" i="2"/>
  <c r="G47" i="2"/>
  <c r="G37" i="2"/>
  <c r="G13" i="2"/>
  <c r="G35" i="2"/>
  <c r="G14" i="2"/>
  <c r="G25" i="2"/>
  <c r="G3" i="81"/>
  <c r="H3" i="81"/>
  <c r="H7" i="81"/>
  <c r="H54" i="2"/>
  <c r="J10" i="34"/>
  <c r="F12" i="2"/>
  <c r="D12" i="2"/>
  <c r="F14" i="2"/>
  <c r="D14" i="2" s="1"/>
  <c r="H56" i="2"/>
  <c r="H53" i="2"/>
  <c r="H11" i="2"/>
  <c r="F17" i="2"/>
  <c r="D17" i="2"/>
  <c r="H47" i="2"/>
  <c r="F16" i="2"/>
  <c r="D16" i="2" s="1"/>
  <c r="F11" i="2"/>
  <c r="D11" i="2"/>
  <c r="H51" i="2"/>
  <c r="F8" i="33"/>
  <c r="F13" i="33" s="1"/>
  <c r="D8" i="33"/>
  <c r="D13" i="33" s="1"/>
  <c r="G56" i="2"/>
  <c r="D8" i="29"/>
  <c r="J11" i="34"/>
  <c r="D9" i="29"/>
  <c r="F10" i="2"/>
  <c r="D10" i="2"/>
  <c r="F12" i="29"/>
  <c r="E13" i="2"/>
  <c r="E59" i="2"/>
  <c r="F13" i="2"/>
  <c r="D9" i="32"/>
  <c r="F8" i="32"/>
  <c r="F9" i="2"/>
  <c r="D9" i="2"/>
  <c r="J14" i="34"/>
  <c r="I8" i="34"/>
  <c r="F15" i="2"/>
  <c r="E15" i="2"/>
  <c r="G55" i="2"/>
  <c r="D243" i="73"/>
  <c r="E243" i="73"/>
  <c r="F23" i="81"/>
  <c r="E9" i="81"/>
  <c r="H49" i="2"/>
  <c r="H46" i="2"/>
  <c r="H45" i="2"/>
  <c r="H50" i="2"/>
  <c r="H48" i="2"/>
  <c r="H13" i="2"/>
  <c r="G58" i="2"/>
  <c r="H4" i="81"/>
  <c r="F13" i="81"/>
  <c r="F18" i="81"/>
  <c r="E38" i="73"/>
  <c r="K21" i="75"/>
  <c r="K24" i="81"/>
  <c r="L24" i="81" s="1"/>
  <c r="F11" i="81"/>
  <c r="E3" i="81"/>
  <c r="F3" i="81" s="1"/>
  <c r="I3" i="81"/>
  <c r="G9" i="81"/>
  <c r="F25" i="81"/>
  <c r="F58" i="2"/>
  <c r="D58" i="2" s="1"/>
  <c r="G46" i="84"/>
  <c r="G27" i="75"/>
  <c r="E27" i="75" s="1"/>
  <c r="G39" i="75"/>
  <c r="G104" i="75"/>
  <c r="E104" i="75"/>
  <c r="H12" i="81"/>
  <c r="K18" i="81"/>
  <c r="L18" i="81" s="1"/>
  <c r="G13" i="84"/>
  <c r="H37" i="84"/>
  <c r="G49" i="84"/>
  <c r="G41" i="84"/>
  <c r="F19" i="81"/>
  <c r="G9" i="84"/>
  <c r="K21" i="81"/>
  <c r="L21" i="81" s="1"/>
  <c r="F21" i="81"/>
  <c r="D8" i="31"/>
  <c r="D14" i="31" s="1"/>
  <c r="K20" i="81"/>
  <c r="L20" i="81" s="1"/>
  <c r="H45" i="84"/>
  <c r="G45" i="84"/>
  <c r="F102" i="84"/>
  <c r="B139" i="84"/>
  <c r="D9" i="81"/>
  <c r="G55" i="84"/>
  <c r="H55" i="84"/>
  <c r="G95" i="84"/>
  <c r="D181" i="73"/>
  <c r="D185" i="73"/>
  <c r="D172" i="73"/>
  <c r="D175" i="73"/>
  <c r="D214" i="73"/>
  <c r="D15" i="31"/>
  <c r="C76" i="4"/>
  <c r="D227" i="73"/>
  <c r="D262" i="73" s="1"/>
  <c r="D260" i="73" s="1"/>
  <c r="R76" i="1"/>
  <c r="K28" i="81"/>
  <c r="L28" i="81" s="1"/>
  <c r="F28" i="81"/>
  <c r="H12" i="2"/>
  <c r="H40" i="84"/>
  <c r="G40" i="84"/>
  <c r="E37" i="73"/>
  <c r="E59" i="84"/>
  <c r="H39" i="84"/>
  <c r="H57" i="84"/>
  <c r="G57" i="84"/>
  <c r="K42" i="75"/>
  <c r="H27" i="81"/>
  <c r="K27" i="81"/>
  <c r="L27" i="81" s="1"/>
  <c r="J43" i="75"/>
  <c r="N43" i="75"/>
  <c r="F10" i="81"/>
  <c r="H57" i="2"/>
  <c r="J8" i="34"/>
  <c r="H29" i="81"/>
  <c r="K29" i="81"/>
  <c r="L29" i="81" s="1"/>
  <c r="H17" i="81"/>
  <c r="E105" i="73"/>
  <c r="G54" i="84"/>
  <c r="H54" i="84"/>
  <c r="F80" i="84"/>
  <c r="F84" i="84" s="1"/>
  <c r="B124" i="84" s="1"/>
  <c r="E84" i="84"/>
  <c r="F42" i="75"/>
  <c r="E13" i="32"/>
  <c r="K11" i="81"/>
  <c r="L11" i="81" s="1"/>
  <c r="D3" i="81"/>
  <c r="D31" i="81" s="1"/>
  <c r="K13" i="81"/>
  <c r="L13" i="81" s="1"/>
  <c r="G14" i="84"/>
  <c r="B138" i="84"/>
  <c r="D213" i="73"/>
  <c r="C11" i="83"/>
  <c r="G10" i="83"/>
  <c r="G11" i="83"/>
  <c r="C10" i="83"/>
  <c r="C9" i="83"/>
  <c r="D215" i="73"/>
  <c r="D7" i="73"/>
  <c r="D162" i="73"/>
  <c r="D38" i="73"/>
  <c r="C9" i="17"/>
  <c r="F9" i="17" s="1"/>
  <c r="D65" i="73"/>
  <c r="K5" i="83"/>
  <c r="G8" i="83"/>
  <c r="C8" i="83"/>
  <c r="C73" i="4"/>
  <c r="I124" i="83" s="1"/>
  <c r="D141" i="73"/>
  <c r="D16" i="34"/>
  <c r="D13" i="29"/>
  <c r="D14" i="29" s="1"/>
  <c r="C15" i="17"/>
  <c r="F15" i="17" s="1"/>
  <c r="D14" i="33"/>
  <c r="D15" i="33" s="1"/>
  <c r="E130" i="1"/>
  <c r="E139" i="1"/>
  <c r="D37" i="73"/>
  <c r="C8" i="17"/>
  <c r="F8" i="17" s="1"/>
  <c r="C56" i="4"/>
  <c r="C59" i="4" s="1"/>
  <c r="H124" i="83" s="1"/>
  <c r="C16" i="4"/>
  <c r="D163" i="73"/>
  <c r="D33" i="2"/>
  <c r="D13" i="2"/>
  <c r="E103" i="35"/>
  <c r="F103" i="35" s="1"/>
  <c r="D27" i="2"/>
  <c r="G198" i="30"/>
  <c r="G14" i="30"/>
  <c r="AT18" i="85"/>
  <c r="AT14" i="85"/>
  <c r="AT8" i="85"/>
  <c r="AT11" i="85"/>
  <c r="AT12" i="85"/>
  <c r="AT20" i="85"/>
  <c r="AO6" i="85"/>
  <c r="AO9" i="85" s="1"/>
  <c r="AQ9" i="85" s="1"/>
  <c r="AC6" i="85"/>
  <c r="AC9" i="85"/>
  <c r="AE9" i="85" s="1"/>
  <c r="Z6" i="85"/>
  <c r="Z9" i="85" s="1"/>
  <c r="AB9" i="85" s="1"/>
  <c r="N6" i="85"/>
  <c r="N9" i="85" s="1"/>
  <c r="P9" i="85" s="1"/>
  <c r="AI6" i="85"/>
  <c r="AI9" i="85" s="1"/>
  <c r="AK9" i="85" s="1"/>
  <c r="W6" i="85"/>
  <c r="W9" i="85"/>
  <c r="Y9" i="85" s="1"/>
  <c r="AT6" i="85"/>
  <c r="AF6" i="85"/>
  <c r="AF9" i="85"/>
  <c r="AH9" i="85" s="1"/>
  <c r="T6" i="85"/>
  <c r="T9" i="85" s="1"/>
  <c r="V9" i="85" s="1"/>
  <c r="AT15" i="85"/>
  <c r="AI10" i="85"/>
  <c r="AT13" i="85"/>
  <c r="D12" i="86"/>
  <c r="AK10" i="85"/>
  <c r="W10" i="85"/>
  <c r="Y10" i="85" s="1"/>
  <c r="AF10" i="85"/>
  <c r="AH10" i="85" s="1"/>
  <c r="AO10" i="85"/>
  <c r="AQ10" i="85" s="1"/>
  <c r="Z10" i="85"/>
  <c r="AB10" i="85" s="1"/>
  <c r="Q10" i="85"/>
  <c r="S10" i="85" s="1"/>
  <c r="D23" i="86"/>
  <c r="N10" i="85"/>
  <c r="P10" i="85" s="1"/>
  <c r="T10" i="85"/>
  <c r="V10" i="85"/>
  <c r="AL10" i="85"/>
  <c r="AN10" i="85" s="1"/>
  <c r="AT16" i="85"/>
  <c r="AR10" i="85"/>
  <c r="AT10" i="85" s="1"/>
  <c r="AC10" i="85"/>
  <c r="AE10" i="85" s="1"/>
  <c r="C176" i="95"/>
  <c r="I89" i="4"/>
  <c r="I87" i="4"/>
  <c r="F331" i="35"/>
  <c r="F88" i="35"/>
  <c r="F226" i="35"/>
  <c r="F13" i="30"/>
  <c r="F67" i="30"/>
  <c r="E146" i="30"/>
  <c r="F146" i="30" s="1"/>
  <c r="F106" i="35"/>
  <c r="F35" i="30"/>
  <c r="F112" i="30"/>
  <c r="F170" i="30"/>
  <c r="E143" i="30"/>
  <c r="F143" i="30" s="1"/>
  <c r="F141" i="30"/>
  <c r="E152" i="30"/>
  <c r="F152" i="30"/>
  <c r="F150" i="30"/>
  <c r="E99" i="30"/>
  <c r="F99" i="30" s="1"/>
  <c r="F20" i="35"/>
  <c r="F40" i="35"/>
  <c r="F12" i="30"/>
  <c r="F227" i="35"/>
  <c r="F231" i="35"/>
  <c r="F277" i="35"/>
  <c r="F129" i="35"/>
  <c r="F25" i="30"/>
  <c r="F187" i="35"/>
  <c r="F236" i="35"/>
  <c r="F153" i="30"/>
  <c r="F155" i="30"/>
  <c r="E137" i="30"/>
  <c r="F137" i="30" s="1"/>
  <c r="F265" i="35"/>
  <c r="E269" i="35"/>
  <c r="F269" i="35" s="1"/>
  <c r="F31" i="30"/>
  <c r="E61" i="30"/>
  <c r="F61" i="30" s="1"/>
  <c r="F59" i="30"/>
  <c r="E339" i="35"/>
  <c r="F339" i="35"/>
  <c r="E249" i="35"/>
  <c r="F249" i="35" s="1"/>
  <c r="H58" i="2"/>
  <c r="F36" i="35"/>
  <c r="F167" i="35"/>
  <c r="F82" i="35"/>
  <c r="E166" i="35"/>
  <c r="F310" i="35"/>
  <c r="F170" i="35"/>
  <c r="F178" i="35"/>
  <c r="E214" i="35"/>
  <c r="F214" i="35" s="1"/>
  <c r="F209" i="35"/>
  <c r="F272" i="35"/>
  <c r="F75" i="30"/>
  <c r="F173" i="30"/>
  <c r="F109" i="35"/>
  <c r="F193" i="35"/>
  <c r="F15" i="35"/>
  <c r="F298" i="35"/>
  <c r="F308" i="35"/>
  <c r="F74" i="30"/>
  <c r="E17" i="30"/>
  <c r="F17" i="30" s="1"/>
  <c r="F221" i="35"/>
  <c r="F95" i="30"/>
  <c r="F64" i="35"/>
  <c r="F76" i="35"/>
  <c r="F92" i="35"/>
  <c r="F174" i="35"/>
  <c r="F19" i="30"/>
  <c r="F166" i="30"/>
  <c r="E168" i="30"/>
  <c r="F168" i="30" s="1"/>
  <c r="E198" i="30"/>
  <c r="F198" i="30" s="1"/>
  <c r="F22" i="30"/>
  <c r="F90" i="35"/>
  <c r="H9" i="2"/>
  <c r="H59" i="2" s="1"/>
  <c r="J8" i="32"/>
  <c r="F8" i="30"/>
  <c r="E10" i="30"/>
  <c r="F10" i="30" s="1"/>
  <c r="E123" i="35"/>
  <c r="F123" i="35" s="1"/>
  <c r="F325" i="35"/>
  <c r="F206" i="35"/>
  <c r="E229" i="35"/>
  <c r="F229" i="35" s="1"/>
  <c r="F225" i="35"/>
  <c r="F230" i="35"/>
  <c r="E234" i="35"/>
  <c r="F234" i="35" s="1"/>
  <c r="F235" i="35"/>
  <c r="F41" i="30"/>
  <c r="F81" i="35"/>
  <c r="F78" i="35"/>
  <c r="F133" i="35"/>
  <c r="F276" i="35"/>
  <c r="E102" i="30"/>
  <c r="F102" i="30" s="1"/>
  <c r="F100" i="30"/>
  <c r="E33" i="30"/>
  <c r="F33" i="30" s="1"/>
  <c r="F103" i="30"/>
  <c r="E105" i="30"/>
  <c r="F105" i="30" s="1"/>
  <c r="E149" i="30"/>
  <c r="F149" i="30" s="1"/>
  <c r="F147" i="30"/>
  <c r="F16" i="35"/>
  <c r="F119" i="30"/>
  <c r="E135" i="30"/>
  <c r="F135" i="30"/>
  <c r="F133" i="30"/>
  <c r="E175" i="30"/>
  <c r="F175" i="30" s="1"/>
  <c r="F174" i="30"/>
  <c r="F297" i="35"/>
  <c r="F168" i="35"/>
  <c r="F197" i="35"/>
  <c r="E39" i="30"/>
  <c r="F39" i="30" s="1"/>
  <c r="F184" i="35"/>
  <c r="F29" i="35"/>
  <c r="F250" i="35"/>
  <c r="E254" i="35"/>
  <c r="F254" i="35" s="1"/>
  <c r="H43" i="2"/>
  <c r="F315" i="35"/>
  <c r="F43" i="30"/>
  <c r="F332" i="35"/>
  <c r="F217" i="35"/>
  <c r="F260" i="35"/>
  <c r="F264" i="35"/>
  <c r="F130" i="35"/>
  <c r="F34" i="30"/>
  <c r="E36" i="30"/>
  <c r="E45" i="30"/>
  <c r="F45" i="30" s="1"/>
  <c r="F44" i="30"/>
  <c r="F82" i="30"/>
  <c r="E84" i="30"/>
  <c r="F84" i="30" s="1"/>
  <c r="F110" i="35"/>
  <c r="H37" i="2"/>
  <c r="F204" i="35"/>
  <c r="F63" i="30"/>
  <c r="E65" i="30"/>
  <c r="F65" i="30" s="1"/>
  <c r="H22" i="2"/>
  <c r="E239" i="35"/>
  <c r="F273" i="35"/>
  <c r="E274" i="35"/>
  <c r="F274" i="35"/>
  <c r="F281" i="35"/>
  <c r="E284" i="35"/>
  <c r="F284" i="35" s="1"/>
  <c r="F142" i="35"/>
  <c r="E148" i="35"/>
  <c r="F148" i="35" s="1"/>
  <c r="E26" i="30"/>
  <c r="F26" i="30"/>
  <c r="F24" i="30"/>
  <c r="E88" i="30"/>
  <c r="F88" i="30" s="1"/>
  <c r="F86" i="30"/>
  <c r="E186" i="30"/>
  <c r="F186" i="30" s="1"/>
  <c r="F184" i="30"/>
  <c r="F28" i="35"/>
  <c r="F304" i="35"/>
  <c r="E192" i="35"/>
  <c r="H33" i="2"/>
  <c r="F190" i="35"/>
  <c r="F176" i="35"/>
  <c r="F216" i="35"/>
  <c r="E219" i="35"/>
  <c r="F241" i="35"/>
  <c r="E108" i="30"/>
  <c r="F108" i="30" s="1"/>
  <c r="F156" i="30"/>
  <c r="E158" i="30"/>
  <c r="F158" i="30" s="1"/>
  <c r="F96" i="35"/>
  <c r="E98" i="35"/>
  <c r="E296" i="35"/>
  <c r="F296" i="35" s="1"/>
  <c r="F292" i="35"/>
  <c r="F46" i="35"/>
  <c r="F94" i="35"/>
  <c r="H25" i="2"/>
  <c r="E328" i="35"/>
  <c r="F328" i="35" s="1"/>
  <c r="F324" i="35"/>
  <c r="F220" i="35"/>
  <c r="E279" i="35"/>
  <c r="F279" i="35" s="1"/>
  <c r="F275" i="35"/>
  <c r="E68" i="30"/>
  <c r="F68" i="30"/>
  <c r="E190" i="30"/>
  <c r="F190" i="30" s="1"/>
  <c r="F188" i="30"/>
  <c r="CE16" i="4"/>
  <c r="E59" i="35"/>
  <c r="F65" i="35"/>
  <c r="E312" i="35"/>
  <c r="F318" i="35"/>
  <c r="F124" i="30"/>
  <c r="E126" i="30"/>
  <c r="F126" i="30" s="1"/>
  <c r="F115" i="30"/>
  <c r="E117" i="30"/>
  <c r="F117" i="30"/>
  <c r="E140" i="35"/>
  <c r="F140" i="35" s="1"/>
  <c r="F219" i="35"/>
  <c r="F192" i="35"/>
  <c r="E111" i="30"/>
  <c r="F111" i="30" s="1"/>
  <c r="F109" i="30"/>
  <c r="E42" i="30"/>
  <c r="E224" i="35"/>
  <c r="E244" i="35"/>
  <c r="F244" i="35" s="1"/>
  <c r="E35" i="35"/>
  <c r="F71" i="35"/>
  <c r="E77" i="35"/>
  <c r="F77" i="35" s="1"/>
  <c r="F105" i="35"/>
  <c r="E107" i="35"/>
  <c r="F112" i="35"/>
  <c r="E116" i="35"/>
  <c r="F116" i="35" s="1"/>
  <c r="F300" i="35"/>
  <c r="E301" i="35"/>
  <c r="F301" i="35" s="1"/>
  <c r="F195" i="35"/>
  <c r="E196" i="35"/>
  <c r="F196" i="35"/>
  <c r="E173" i="35"/>
  <c r="F173" i="35" s="1"/>
  <c r="H31" i="2"/>
  <c r="E131" i="35"/>
  <c r="F131" i="35" s="1"/>
  <c r="F125" i="35"/>
  <c r="E23" i="30"/>
  <c r="F21" i="30"/>
  <c r="E29" i="30"/>
  <c r="F29" i="30" s="1"/>
  <c r="F27" i="30"/>
  <c r="F162" i="30"/>
  <c r="E164" i="30"/>
  <c r="F164" i="30" s="1"/>
  <c r="E161" i="30"/>
  <c r="F161" i="30" s="1"/>
  <c r="F159" i="30"/>
  <c r="E51" i="35"/>
  <c r="F51" i="35"/>
  <c r="F118" i="30"/>
  <c r="E290" i="35"/>
  <c r="F290" i="35" s="1"/>
  <c r="F286" i="35"/>
  <c r="E316" i="35"/>
  <c r="H52" i="2" s="1"/>
  <c r="F314" i="35"/>
  <c r="E123" i="30"/>
  <c r="F123" i="30"/>
  <c r="F121" i="30"/>
  <c r="F128" i="30"/>
  <c r="E129" i="30"/>
  <c r="F129" i="30"/>
  <c r="F14" i="35"/>
  <c r="E19" i="35"/>
  <c r="H14" i="2" s="1"/>
  <c r="F199" i="35"/>
  <c r="E203" i="35"/>
  <c r="F203" i="35" s="1"/>
  <c r="F255" i="35"/>
  <c r="E259" i="35"/>
  <c r="F259" i="35"/>
  <c r="E80" i="30"/>
  <c r="F80" i="30" s="1"/>
  <c r="F78" i="30"/>
  <c r="F138" i="30"/>
  <c r="E322" i="35"/>
  <c r="F322" i="35" s="1"/>
  <c r="E180" i="35"/>
  <c r="F180" i="35"/>
  <c r="E186" i="35"/>
  <c r="H32" i="2" s="1"/>
  <c r="C260" i="95"/>
  <c r="C261" i="95" s="1"/>
  <c r="H27" i="2"/>
  <c r="F107" i="35"/>
  <c r="E27" i="35"/>
  <c r="H15" i="2" s="1"/>
  <c r="F23" i="35"/>
  <c r="F37" i="35"/>
  <c r="E43" i="35"/>
  <c r="F68" i="35"/>
  <c r="E70" i="35"/>
  <c r="H20" i="2" s="1"/>
  <c r="F330" i="35"/>
  <c r="E334" i="35"/>
  <c r="F18" i="30"/>
  <c r="E20" i="30"/>
  <c r="F20" i="30" s="1"/>
  <c r="E63" i="35"/>
  <c r="F61" i="35"/>
  <c r="F94" i="30"/>
  <c r="E96" i="30"/>
  <c r="G96" i="30" s="1"/>
  <c r="E132" i="30"/>
  <c r="F132" i="30" s="1"/>
  <c r="F130" i="30"/>
  <c r="H40" i="2"/>
  <c r="F83" i="35"/>
  <c r="E86" i="35"/>
  <c r="E156" i="35"/>
  <c r="F156" i="35" s="1"/>
  <c r="F155" i="35"/>
  <c r="J12" i="34"/>
  <c r="I15" i="34"/>
  <c r="J15" i="34" s="1"/>
  <c r="E178" i="30"/>
  <c r="F178" i="30" s="1"/>
  <c r="F176" i="30"/>
  <c r="E208" i="35"/>
  <c r="F208" i="35"/>
  <c r="F180" i="30"/>
  <c r="H18" i="2"/>
  <c r="H28" i="2"/>
  <c r="F42" i="30"/>
  <c r="F35" i="35"/>
  <c r="H16" i="2"/>
  <c r="H35" i="2"/>
  <c r="F186" i="35"/>
  <c r="F316" i="35"/>
  <c r="H42" i="2"/>
  <c r="H36" i="2"/>
  <c r="H55" i="2"/>
  <c r="F334" i="35"/>
  <c r="H334" i="35" s="1"/>
  <c r="H17" i="2"/>
  <c r="F43" i="35"/>
  <c r="G172" i="30"/>
  <c r="F96" i="30"/>
  <c r="C220" i="95"/>
  <c r="C221" i="95" s="1"/>
  <c r="C223" i="95" s="1"/>
  <c r="DE48" i="4"/>
  <c r="DA48" i="4"/>
  <c r="C78" i="4"/>
  <c r="J124" i="83" s="1"/>
  <c r="DE67" i="4"/>
  <c r="E208" i="73"/>
  <c r="L63" i="4"/>
  <c r="N23" i="4"/>
  <c r="V25" i="4"/>
  <c r="L43" i="4"/>
  <c r="AW44" i="4"/>
  <c r="AN51" i="4"/>
  <c r="I51" i="4" s="1"/>
  <c r="J205" i="73" s="1"/>
  <c r="K205" i="73" s="1"/>
  <c r="DE45" i="4"/>
  <c r="X13" i="1"/>
  <c r="W15" i="1"/>
  <c r="F130" i="1"/>
  <c r="F139" i="1"/>
  <c r="D79" i="4"/>
  <c r="H11" i="73"/>
  <c r="H37" i="73"/>
  <c r="E20" i="73"/>
  <c r="C38" i="95"/>
  <c r="H105" i="73"/>
  <c r="C20" i="95"/>
  <c r="C41" i="77"/>
  <c r="C42" i="77"/>
  <c r="C46" i="77" s="1"/>
  <c r="H146" i="73"/>
  <c r="T13" i="1"/>
  <c r="T15" i="1" s="1"/>
  <c r="K113" i="75"/>
  <c r="K125" i="75" s="1"/>
  <c r="I43" i="75"/>
  <c r="G72" i="75"/>
  <c r="E72" i="75"/>
  <c r="G105" i="75"/>
  <c r="J42" i="75"/>
  <c r="I42" i="75"/>
  <c r="E102" i="75"/>
  <c r="M26" i="75"/>
  <c r="L44" i="75"/>
  <c r="L38" i="75"/>
  <c r="F43" i="75"/>
  <c r="F46" i="75" s="1"/>
  <c r="G38" i="75"/>
  <c r="H43" i="75"/>
  <c r="K43" i="75"/>
  <c r="G43" i="75" s="1"/>
  <c r="H42" i="75"/>
  <c r="N42" i="75"/>
  <c r="N46" i="75"/>
  <c r="N21" i="75"/>
  <c r="N6" i="75" s="1"/>
  <c r="L23" i="75"/>
  <c r="G108" i="75"/>
  <c r="E108" i="75"/>
  <c r="G44" i="75"/>
  <c r="E44" i="75" s="1"/>
  <c r="R16" i="1"/>
  <c r="S15" i="1"/>
  <c r="Q6" i="85"/>
  <c r="Q9" i="85" s="1"/>
  <c r="S9" i="85" s="1"/>
  <c r="G11" i="86"/>
  <c r="H11" i="86"/>
  <c r="I11" i="86" s="1"/>
  <c r="J11" i="86" s="1"/>
  <c r="F27" i="35"/>
  <c r="H34" i="2"/>
  <c r="F23" i="30"/>
  <c r="K3" i="81"/>
  <c r="L3" i="81" s="1"/>
  <c r="J3" i="81"/>
  <c r="F9" i="81"/>
  <c r="F19" i="35"/>
  <c r="C124" i="84"/>
  <c r="D12" i="29"/>
  <c r="K22" i="81"/>
  <c r="L22" i="81"/>
  <c r="K15" i="81"/>
  <c r="L15" i="81" s="1"/>
  <c r="H95" i="84"/>
  <c r="G25" i="84"/>
  <c r="B157" i="84"/>
  <c r="F27" i="86"/>
  <c r="C168" i="84"/>
  <c r="K17" i="81"/>
  <c r="L17" i="81"/>
  <c r="K14" i="81"/>
  <c r="L14" i="81" s="1"/>
  <c r="K19" i="81"/>
  <c r="L19" i="81"/>
  <c r="K25" i="81"/>
  <c r="L25" i="81" s="1"/>
  <c r="K30" i="81"/>
  <c r="L30" i="81"/>
  <c r="F30" i="81"/>
  <c r="G56" i="84"/>
  <c r="H56" i="84"/>
  <c r="C161" i="84"/>
  <c r="H8" i="83"/>
  <c r="H125" i="83"/>
  <c r="H131" i="83"/>
  <c r="B158" i="84"/>
  <c r="G26" i="84"/>
  <c r="G38" i="84"/>
  <c r="S13" i="1"/>
  <c r="F116" i="72"/>
  <c r="G116" i="72" s="1"/>
  <c r="H106" i="72"/>
  <c r="I106" i="72" s="1"/>
  <c r="M113" i="75"/>
  <c r="DE55" i="4"/>
  <c r="D188" i="98"/>
  <c r="E188" i="98" s="1"/>
  <c r="F188" i="98" s="1"/>
  <c r="G188" i="98" s="1"/>
  <c r="H188" i="98" s="1"/>
  <c r="I188" i="98" s="1"/>
  <c r="BQ25" i="4"/>
  <c r="G22" i="75"/>
  <c r="E22" i="75"/>
  <c r="K58" i="4"/>
  <c r="I58" i="4" s="1"/>
  <c r="J210" i="73" s="1"/>
  <c r="K210" i="73" s="1"/>
  <c r="E75" i="4"/>
  <c r="J57" i="4"/>
  <c r="CZ57" i="4" s="1"/>
  <c r="K75" i="4"/>
  <c r="I75" i="4" s="1"/>
  <c r="J227" i="73" s="1"/>
  <c r="K227" i="73" s="1"/>
  <c r="G142" i="95"/>
  <c r="D26" i="86"/>
  <c r="D57" i="86" s="1"/>
  <c r="D58" i="86" s="1"/>
  <c r="J127" i="100"/>
  <c r="J133" i="100" s="1"/>
  <c r="I8" i="100"/>
  <c r="I15" i="75"/>
  <c r="J128" i="100"/>
  <c r="J132" i="100"/>
  <c r="D8" i="100"/>
  <c r="H15" i="75"/>
  <c r="G16" i="75"/>
  <c r="D58" i="98"/>
  <c r="E58" i="98" s="1"/>
  <c r="F58" i="98" s="1"/>
  <c r="G58" i="98" s="1"/>
  <c r="H58" i="98" s="1"/>
  <c r="I58" i="98" s="1"/>
  <c r="E265" i="95"/>
  <c r="E266" i="95" s="1"/>
  <c r="E267" i="95" s="1"/>
  <c r="E268" i="95" s="1"/>
  <c r="H21" i="75"/>
  <c r="G17" i="75"/>
  <c r="J21" i="75"/>
  <c r="E53" i="75"/>
  <c r="E38" i="75"/>
  <c r="E110" i="75"/>
  <c r="E101" i="75"/>
  <c r="E73" i="75"/>
  <c r="I6" i="75"/>
  <c r="I36" i="75" s="1"/>
  <c r="I130" i="75" s="1"/>
  <c r="E39" i="75"/>
  <c r="E7" i="75"/>
  <c r="Q44" i="4"/>
  <c r="L43" i="75"/>
  <c r="E50" i="75"/>
  <c r="E74" i="75"/>
  <c r="E82" i="75"/>
  <c r="E114" i="75"/>
  <c r="E61" i="75"/>
  <c r="E65" i="75"/>
  <c r="M46" i="75"/>
  <c r="E28" i="75"/>
  <c r="E26" i="75"/>
  <c r="E16" i="75"/>
  <c r="H46" i="75"/>
  <c r="E103" i="75"/>
  <c r="E96" i="75"/>
  <c r="G26" i="75"/>
  <c r="L113" i="75"/>
  <c r="L47" i="75"/>
  <c r="E29" i="75"/>
  <c r="E90" i="75"/>
  <c r="E100" i="75"/>
  <c r="E105" i="75"/>
  <c r="K46" i="75"/>
  <c r="K127" i="75" s="1"/>
  <c r="K129" i="75" s="1"/>
  <c r="I46" i="75"/>
  <c r="E33" i="75"/>
  <c r="E34" i="75"/>
  <c r="E51" i="75"/>
  <c r="E47" i="75" s="1"/>
  <c r="E57" i="75"/>
  <c r="E62" i="75"/>
  <c r="E78" i="75"/>
  <c r="E106" i="75"/>
  <c r="E23" i="75"/>
  <c r="E21" i="75"/>
  <c r="J46" i="75"/>
  <c r="E77" i="75"/>
  <c r="E123" i="75"/>
  <c r="I125" i="75"/>
  <c r="I127" i="75" s="1"/>
  <c r="I129" i="75" s="1"/>
  <c r="L24" i="75"/>
  <c r="E86" i="75"/>
  <c r="E40" i="75"/>
  <c r="E109" i="75"/>
  <c r="E66" i="75"/>
  <c r="E17" i="75"/>
  <c r="M125" i="75"/>
  <c r="F6" i="75"/>
  <c r="F36" i="75"/>
  <c r="E35" i="75"/>
  <c r="N125" i="75"/>
  <c r="N127" i="75" s="1"/>
  <c r="N129" i="75"/>
  <c r="N130" i="75" s="1"/>
  <c r="E97" i="75"/>
  <c r="G31" i="75"/>
  <c r="G47" i="75"/>
  <c r="E118" i="75"/>
  <c r="E124" i="75"/>
  <c r="L21" i="75"/>
  <c r="N36" i="75"/>
  <c r="G24" i="75"/>
  <c r="E49" i="75"/>
  <c r="E60" i="75"/>
  <c r="E85" i="75"/>
  <c r="E99" i="75"/>
  <c r="E95" i="75" s="1"/>
  <c r="G113" i="75"/>
  <c r="H127" i="75"/>
  <c r="H129" i="75" s="1"/>
  <c r="E122" i="75"/>
  <c r="E70" i="75"/>
  <c r="L42" i="75"/>
  <c r="E42" i="75" s="1"/>
  <c r="L26" i="75"/>
  <c r="E76" i="75"/>
  <c r="L95" i="75"/>
  <c r="E116" i="75"/>
  <c r="L15" i="75"/>
  <c r="E30" i="75"/>
  <c r="G95" i="75"/>
  <c r="E111" i="75"/>
  <c r="E93" i="75"/>
  <c r="E79" i="75"/>
  <c r="E80" i="75"/>
  <c r="E115" i="75"/>
  <c r="M31" i="75"/>
  <c r="M36" i="75"/>
  <c r="M130" i="75" s="1"/>
  <c r="G21" i="75"/>
  <c r="L91" i="75"/>
  <c r="E91" i="75" s="1"/>
  <c r="E32" i="75"/>
  <c r="E24" i="75"/>
  <c r="G42" i="75"/>
  <c r="G58" i="75"/>
  <c r="L31" i="75"/>
  <c r="L6" i="75"/>
  <c r="L36" i="75" s="1"/>
  <c r="M127" i="75"/>
  <c r="M129" i="75" s="1"/>
  <c r="E31" i="75"/>
  <c r="E113" i="75"/>
  <c r="G46" i="75"/>
  <c r="G125" i="75"/>
  <c r="G127" i="75"/>
  <c r="G129" i="75" s="1"/>
  <c r="E87" i="75"/>
  <c r="AU48" i="85"/>
  <c r="AT9" i="85"/>
  <c r="G223" i="73"/>
  <c r="G49" i="95"/>
  <c r="CI34" i="4"/>
  <c r="C15" i="92" l="1"/>
  <c r="P15" i="92" s="1"/>
  <c r="C97" i="95"/>
  <c r="I14" i="4"/>
  <c r="I15" i="4"/>
  <c r="D27" i="96"/>
  <c r="D35" i="96" s="1"/>
  <c r="D197" i="98"/>
  <c r="C6" i="95"/>
  <c r="C141" i="95"/>
  <c r="D78" i="98"/>
  <c r="E78" i="98" s="1"/>
  <c r="F78" i="98" s="1"/>
  <c r="G78" i="98" s="1"/>
  <c r="H78" i="98" s="1"/>
  <c r="I78" i="98" s="1"/>
  <c r="F6" i="95"/>
  <c r="G6" i="95" s="1"/>
  <c r="D52" i="86"/>
  <c r="D55" i="86" s="1"/>
  <c r="D56" i="86" s="1"/>
  <c r="D60" i="86" s="1"/>
  <c r="D145" i="73"/>
  <c r="BZ56" i="4"/>
  <c r="F203" i="95" s="1"/>
  <c r="G203" i="95" s="1"/>
  <c r="H101" i="72"/>
  <c r="I101" i="72" s="1"/>
  <c r="AI56" i="4"/>
  <c r="F191" i="95" s="1"/>
  <c r="G191" i="95" s="1"/>
  <c r="H40" i="72"/>
  <c r="I40" i="72" s="1"/>
  <c r="BX56" i="4"/>
  <c r="F201" i="95" s="1"/>
  <c r="G201" i="95" s="1"/>
  <c r="H115" i="72"/>
  <c r="I115" i="72" s="1"/>
  <c r="H247" i="73"/>
  <c r="D36" i="98"/>
  <c r="D88" i="98"/>
  <c r="E88" i="98" s="1"/>
  <c r="F88" i="98" s="1"/>
  <c r="G88" i="98" s="1"/>
  <c r="H88" i="98" s="1"/>
  <c r="I88" i="98" s="1"/>
  <c r="D8" i="98"/>
  <c r="E8" i="98" s="1"/>
  <c r="F8" i="98" s="1"/>
  <c r="G8" i="98" s="1"/>
  <c r="H8" i="98" s="1"/>
  <c r="I8" i="98" s="1"/>
  <c r="D13" i="98"/>
  <c r="E13" i="98" s="1"/>
  <c r="F13" i="98" s="1"/>
  <c r="G13" i="98" s="1"/>
  <c r="H13" i="98" s="1"/>
  <c r="I13" i="98" s="1"/>
  <c r="D118" i="98"/>
  <c r="D29" i="98"/>
  <c r="E29" i="98" s="1"/>
  <c r="F29" i="98" s="1"/>
  <c r="G29" i="98" s="1"/>
  <c r="H29" i="98" s="1"/>
  <c r="I29" i="98" s="1"/>
  <c r="D9" i="98"/>
  <c r="E9" i="98" s="1"/>
  <c r="F9" i="98" s="1"/>
  <c r="G9" i="98" s="1"/>
  <c r="H9" i="98" s="1"/>
  <c r="I9" i="98" s="1"/>
  <c r="D44" i="98"/>
  <c r="E44" i="98" s="1"/>
  <c r="F44" i="98" s="1"/>
  <c r="G44" i="98" s="1"/>
  <c r="H44" i="98" s="1"/>
  <c r="I44" i="98" s="1"/>
  <c r="D49" i="98"/>
  <c r="E49" i="98" s="1"/>
  <c r="F49" i="98" s="1"/>
  <c r="G49" i="98" s="1"/>
  <c r="H49" i="98" s="1"/>
  <c r="I49" i="98" s="1"/>
  <c r="D53" i="98"/>
  <c r="E53" i="98" s="1"/>
  <c r="F53" i="98" s="1"/>
  <c r="G53" i="98" s="1"/>
  <c r="H53" i="98" s="1"/>
  <c r="I53" i="98" s="1"/>
  <c r="D81" i="98"/>
  <c r="E81" i="98" s="1"/>
  <c r="F81" i="98" s="1"/>
  <c r="G81" i="98" s="1"/>
  <c r="H81" i="98" s="1"/>
  <c r="I81" i="98" s="1"/>
  <c r="D92" i="98"/>
  <c r="E92" i="98" s="1"/>
  <c r="F92" i="98" s="1"/>
  <c r="G92" i="98" s="1"/>
  <c r="H92" i="98" s="1"/>
  <c r="I92" i="98" s="1"/>
  <c r="D112" i="98"/>
  <c r="D115" i="98"/>
  <c r="D97" i="98"/>
  <c r="E97" i="98" s="1"/>
  <c r="F97" i="98" s="1"/>
  <c r="H41" i="96"/>
  <c r="C8" i="92"/>
  <c r="P8" i="92" s="1"/>
  <c r="F260" i="73"/>
  <c r="F267" i="73" s="1"/>
  <c r="F265" i="73" s="1"/>
  <c r="D48" i="98"/>
  <c r="E48" i="98" s="1"/>
  <c r="F48" i="98" s="1"/>
  <c r="G48" i="98" s="1"/>
  <c r="H48" i="98" s="1"/>
  <c r="I48" i="98" s="1"/>
  <c r="C4" i="92"/>
  <c r="P4" i="92" s="1"/>
  <c r="D10" i="98"/>
  <c r="E10" i="98" s="1"/>
  <c r="F10" i="98" s="1"/>
  <c r="G10" i="98" s="1"/>
  <c r="H10" i="98" s="1"/>
  <c r="I10" i="98" s="1"/>
  <c r="D56" i="98"/>
  <c r="E56" i="98" s="1"/>
  <c r="F56" i="98" s="1"/>
  <c r="G56" i="98" s="1"/>
  <c r="H56" i="98" s="1"/>
  <c r="I56" i="98" s="1"/>
  <c r="D94" i="73"/>
  <c r="E145" i="73"/>
  <c r="C11" i="89" s="1"/>
  <c r="C5" i="92"/>
  <c r="P5" i="92" s="1"/>
  <c r="C14" i="92"/>
  <c r="P14" i="92" s="1"/>
  <c r="D23" i="98"/>
  <c r="E23" i="98" s="1"/>
  <c r="F23" i="98" s="1"/>
  <c r="G23" i="98" s="1"/>
  <c r="H23" i="98" s="1"/>
  <c r="I23" i="98" s="1"/>
  <c r="D28" i="98"/>
  <c r="E28" i="98" s="1"/>
  <c r="F28" i="98" s="1"/>
  <c r="G28" i="98" s="1"/>
  <c r="H28" i="98" s="1"/>
  <c r="I28" i="98" s="1"/>
  <c r="D33" i="98"/>
  <c r="E33" i="98" s="1"/>
  <c r="F33" i="98" s="1"/>
  <c r="G33" i="98" s="1"/>
  <c r="H33" i="98" s="1"/>
  <c r="I33" i="98" s="1"/>
  <c r="D47" i="98"/>
  <c r="E47" i="98" s="1"/>
  <c r="F47" i="98" s="1"/>
  <c r="G47" i="98" s="1"/>
  <c r="H47" i="98" s="1"/>
  <c r="I47" i="98" s="1"/>
  <c r="D51" i="98"/>
  <c r="E51" i="98" s="1"/>
  <c r="F51" i="98" s="1"/>
  <c r="G51" i="98" s="1"/>
  <c r="H51" i="98" s="1"/>
  <c r="I51" i="98" s="1"/>
  <c r="D55" i="98"/>
  <c r="E55" i="98" s="1"/>
  <c r="F55" i="98" s="1"/>
  <c r="G55" i="98" s="1"/>
  <c r="H55" i="98" s="1"/>
  <c r="I55" i="98" s="1"/>
  <c r="D59" i="98"/>
  <c r="E59" i="98" s="1"/>
  <c r="F59" i="98" s="1"/>
  <c r="G59" i="98" s="1"/>
  <c r="H59" i="98" s="1"/>
  <c r="I59" i="98" s="1"/>
  <c r="D62" i="98"/>
  <c r="E62" i="98" s="1"/>
  <c r="F62" i="98" s="1"/>
  <c r="G62" i="98" s="1"/>
  <c r="H62" i="98" s="1"/>
  <c r="I62" i="98" s="1"/>
  <c r="D65" i="98"/>
  <c r="E65" i="98" s="1"/>
  <c r="F65" i="98" s="1"/>
  <c r="G65" i="98" s="1"/>
  <c r="H65" i="98" s="1"/>
  <c r="I65" i="98" s="1"/>
  <c r="D72" i="98"/>
  <c r="E72" i="98" s="1"/>
  <c r="F72" i="98" s="1"/>
  <c r="G72" i="98" s="1"/>
  <c r="H72" i="98" s="1"/>
  <c r="I72" i="98" s="1"/>
  <c r="D80" i="98"/>
  <c r="E80" i="98" s="1"/>
  <c r="F80" i="98" s="1"/>
  <c r="G80" i="98" s="1"/>
  <c r="H80" i="98" s="1"/>
  <c r="I80" i="98" s="1"/>
  <c r="D83" i="98"/>
  <c r="E83" i="98" s="1"/>
  <c r="F83" i="98" s="1"/>
  <c r="G83" i="98" s="1"/>
  <c r="H83" i="98" s="1"/>
  <c r="I83" i="98" s="1"/>
  <c r="D109" i="98"/>
  <c r="D120" i="98"/>
  <c r="D196" i="98"/>
  <c r="D145" i="98"/>
  <c r="D114" i="98"/>
  <c r="C22" i="92"/>
  <c r="P22" i="92" s="1"/>
  <c r="D43" i="98"/>
  <c r="E43" i="98" s="1"/>
  <c r="F43" i="98" s="1"/>
  <c r="G43" i="98" s="1"/>
  <c r="H43" i="98" s="1"/>
  <c r="I43" i="98" s="1"/>
  <c r="D52" i="98"/>
  <c r="E52" i="98" s="1"/>
  <c r="F52" i="98" s="1"/>
  <c r="G52" i="98" s="1"/>
  <c r="H52" i="98" s="1"/>
  <c r="I52" i="98" s="1"/>
  <c r="D60" i="98"/>
  <c r="E60" i="98" s="1"/>
  <c r="F60" i="98" s="1"/>
  <c r="G60" i="98" s="1"/>
  <c r="H60" i="98" s="1"/>
  <c r="I60" i="98" s="1"/>
  <c r="D63" i="98"/>
  <c r="E63" i="98" s="1"/>
  <c r="F63" i="98" s="1"/>
  <c r="G63" i="98" s="1"/>
  <c r="H63" i="98" s="1"/>
  <c r="I63" i="98" s="1"/>
  <c r="D66" i="98"/>
  <c r="E66" i="98" s="1"/>
  <c r="F66" i="98" s="1"/>
  <c r="G66" i="98" s="1"/>
  <c r="H66" i="98" s="1"/>
  <c r="I66" i="98" s="1"/>
  <c r="D91" i="98"/>
  <c r="E91" i="98" s="1"/>
  <c r="F91" i="98" s="1"/>
  <c r="G91" i="98" s="1"/>
  <c r="H91" i="98" s="1"/>
  <c r="I91" i="98" s="1"/>
  <c r="D110" i="98"/>
  <c r="C12" i="92"/>
  <c r="P12" i="92" s="1"/>
  <c r="D67" i="98"/>
  <c r="E67" i="98" s="1"/>
  <c r="F67" i="98" s="1"/>
  <c r="G67" i="98" s="1"/>
  <c r="H67" i="98" s="1"/>
  <c r="I67" i="98" s="1"/>
  <c r="D135" i="98"/>
  <c r="D99" i="98"/>
  <c r="E99" i="98" s="1"/>
  <c r="F99" i="98" s="1"/>
  <c r="G99" i="98" s="1"/>
  <c r="H99" i="98" s="1"/>
  <c r="I99" i="98" s="1"/>
  <c r="C9" i="92"/>
  <c r="P9" i="92" s="1"/>
  <c r="C20" i="92"/>
  <c r="P20" i="92" s="1"/>
  <c r="D27" i="98"/>
  <c r="E27" i="98" s="1"/>
  <c r="F27" i="98" s="1"/>
  <c r="G27" i="98" s="1"/>
  <c r="D31" i="98"/>
  <c r="E31" i="98" s="1"/>
  <c r="F31" i="98" s="1"/>
  <c r="G31" i="98" s="1"/>
  <c r="H31" i="98" s="1"/>
  <c r="I31" i="98" s="1"/>
  <c r="D40" i="98"/>
  <c r="E40" i="98" s="1"/>
  <c r="F40" i="98" s="1"/>
  <c r="G40" i="98" s="1"/>
  <c r="H40" i="98" s="1"/>
  <c r="I40" i="98" s="1"/>
  <c r="D45" i="98"/>
  <c r="E45" i="98" s="1"/>
  <c r="F45" i="98" s="1"/>
  <c r="G45" i="98" s="1"/>
  <c r="H45" i="98" s="1"/>
  <c r="I45" i="98" s="1"/>
  <c r="D50" i="98"/>
  <c r="E50" i="98" s="1"/>
  <c r="F50" i="98" s="1"/>
  <c r="G50" i="98" s="1"/>
  <c r="H50" i="98" s="1"/>
  <c r="I50" i="98" s="1"/>
  <c r="D54" i="98"/>
  <c r="E54" i="98" s="1"/>
  <c r="F54" i="98" s="1"/>
  <c r="G54" i="98" s="1"/>
  <c r="H54" i="98" s="1"/>
  <c r="I54" i="98" s="1"/>
  <c r="D68" i="98"/>
  <c r="E68" i="98" s="1"/>
  <c r="F68" i="98" s="1"/>
  <c r="G68" i="98" s="1"/>
  <c r="H68" i="98" s="1"/>
  <c r="I68" i="98" s="1"/>
  <c r="D79" i="98"/>
  <c r="E79" i="98" s="1"/>
  <c r="F79" i="98" s="1"/>
  <c r="G79" i="98" s="1"/>
  <c r="H79" i="98" s="1"/>
  <c r="I79" i="98" s="1"/>
  <c r="D82" i="98"/>
  <c r="E82" i="98" s="1"/>
  <c r="F82" i="98" s="1"/>
  <c r="G82" i="98" s="1"/>
  <c r="H82" i="98" s="1"/>
  <c r="I82" i="98" s="1"/>
  <c r="D85" i="98"/>
  <c r="E85" i="98" s="1"/>
  <c r="F85" i="98" s="1"/>
  <c r="G85" i="98" s="1"/>
  <c r="H85" i="98" s="1"/>
  <c r="I85" i="98" s="1"/>
  <c r="D95" i="98"/>
  <c r="D108" i="98"/>
  <c r="E108" i="98" s="1"/>
  <c r="F108" i="98" s="1"/>
  <c r="G108" i="98" s="1"/>
  <c r="H108" i="98" s="1"/>
  <c r="I108" i="98" s="1"/>
  <c r="F255" i="73"/>
  <c r="D106" i="98"/>
  <c r="D20" i="96"/>
  <c r="D23" i="96" s="1"/>
  <c r="C41" i="96"/>
  <c r="C40" i="96" s="1"/>
  <c r="D266" i="73"/>
  <c r="D265" i="73" s="1"/>
  <c r="E25" i="96"/>
  <c r="F25" i="96" s="1"/>
  <c r="C23" i="96"/>
  <c r="AJ56" i="4"/>
  <c r="AJ59" i="4" s="1"/>
  <c r="AJ78" i="4" s="1"/>
  <c r="AL56" i="4"/>
  <c r="AL59" i="4" s="1"/>
  <c r="AL78" i="4" s="1"/>
  <c r="BU34" i="4"/>
  <c r="H103" i="87" s="1"/>
  <c r="I103" i="87" s="1"/>
  <c r="DB71" i="4"/>
  <c r="J225" i="73"/>
  <c r="K225" i="73" s="1"/>
  <c r="G9" i="75"/>
  <c r="E9" i="75" s="1"/>
  <c r="J262" i="73"/>
  <c r="DE40" i="4"/>
  <c r="J194" i="73"/>
  <c r="K194" i="73" s="1"/>
  <c r="C6" i="92"/>
  <c r="P6" i="92" s="1"/>
  <c r="E247" i="73"/>
  <c r="O5" i="83"/>
  <c r="P5" i="83" s="1"/>
  <c r="E100" i="73"/>
  <c r="C7" i="89" s="1"/>
  <c r="E170" i="73"/>
  <c r="O9" i="83" s="1"/>
  <c r="E7" i="86"/>
  <c r="F7" i="86" s="1"/>
  <c r="G7" i="86" s="1"/>
  <c r="H7" i="86" s="1"/>
  <c r="I7" i="86" s="1"/>
  <c r="J7" i="86" s="1"/>
  <c r="D12" i="98"/>
  <c r="D119" i="98"/>
  <c r="D128" i="98"/>
  <c r="D52" i="85"/>
  <c r="F52" i="85" s="1"/>
  <c r="V5" i="100"/>
  <c r="W5" i="100" s="1"/>
  <c r="E94" i="73"/>
  <c r="C6" i="89" s="1"/>
  <c r="F144" i="95"/>
  <c r="G144" i="95" s="1"/>
  <c r="D247" i="73"/>
  <c r="D113" i="98"/>
  <c r="D279" i="95"/>
  <c r="E260" i="73"/>
  <c r="E267" i="73" s="1"/>
  <c r="E265" i="73" s="1"/>
  <c r="F235" i="73"/>
  <c r="F236" i="73" s="1"/>
  <c r="D276" i="95"/>
  <c r="D274" i="95" s="1"/>
  <c r="I88" i="4"/>
  <c r="I86" i="4" s="1"/>
  <c r="F28" i="95"/>
  <c r="G28" i="95" s="1"/>
  <c r="D14" i="98"/>
  <c r="E14" i="98" s="1"/>
  <c r="F14" i="98" s="1"/>
  <c r="G14" i="98" s="1"/>
  <c r="H14" i="98" s="1"/>
  <c r="I14" i="98" s="1"/>
  <c r="J6" i="73"/>
  <c r="K6" i="73" s="1"/>
  <c r="C11" i="92"/>
  <c r="P11" i="92" s="1"/>
  <c r="D16" i="98"/>
  <c r="E16" i="98" s="1"/>
  <c r="F16" i="98" s="1"/>
  <c r="G16" i="98" s="1"/>
  <c r="H16" i="98" s="1"/>
  <c r="I16" i="98" s="1"/>
  <c r="D22" i="98"/>
  <c r="E22" i="98" s="1"/>
  <c r="F22" i="98" s="1"/>
  <c r="G22" i="98" s="1"/>
  <c r="H22" i="98" s="1"/>
  <c r="I22" i="98" s="1"/>
  <c r="D57" i="98"/>
  <c r="E57" i="98" s="1"/>
  <c r="F57" i="98" s="1"/>
  <c r="G57" i="98" s="1"/>
  <c r="H57" i="98" s="1"/>
  <c r="I57" i="98" s="1"/>
  <c r="G7" i="95"/>
  <c r="D11" i="98"/>
  <c r="H94" i="73"/>
  <c r="D6" i="98"/>
  <c r="E6" i="98" s="1"/>
  <c r="F6" i="98" s="1"/>
  <c r="G6" i="98" s="1"/>
  <c r="H6" i="98" s="1"/>
  <c r="C18" i="92"/>
  <c r="P18" i="92" s="1"/>
  <c r="E10" i="86"/>
  <c r="F10" i="86" s="1"/>
  <c r="G10" i="86" s="1"/>
  <c r="H10" i="86" s="1"/>
  <c r="I10" i="86" s="1"/>
  <c r="J10" i="86" s="1"/>
  <c r="S11" i="100"/>
  <c r="J134" i="100"/>
  <c r="K134" i="100"/>
  <c r="I10" i="4"/>
  <c r="DE10" i="4" s="1"/>
  <c r="AZ35" i="4"/>
  <c r="AH73" i="4"/>
  <c r="F236" i="95" s="1"/>
  <c r="G236" i="95" s="1"/>
  <c r="DA70" i="4"/>
  <c r="BE78" i="4"/>
  <c r="BK78" i="4"/>
  <c r="DE52" i="4"/>
  <c r="D15" i="32"/>
  <c r="BH78" i="4"/>
  <c r="BY56" i="4"/>
  <c r="F202" i="95" s="1"/>
  <c r="G202" i="95" s="1"/>
  <c r="D207" i="98"/>
  <c r="D211" i="73"/>
  <c r="C266" i="95"/>
  <c r="C267" i="95" s="1"/>
  <c r="C268" i="95" s="1"/>
  <c r="P78" i="4"/>
  <c r="CJ56" i="4"/>
  <c r="CJ59" i="4" s="1"/>
  <c r="CJ78" i="4" s="1"/>
  <c r="AB73" i="4"/>
  <c r="P57" i="94" s="1"/>
  <c r="Q57" i="94" s="1"/>
  <c r="DA52" i="4"/>
  <c r="CZ61" i="4"/>
  <c r="CZ39" i="4"/>
  <c r="CG78" i="4"/>
  <c r="E211" i="73"/>
  <c r="O10" i="83" s="1"/>
  <c r="AG56" i="4"/>
  <c r="AG59" i="4" s="1"/>
  <c r="AG78" i="4" s="1"/>
  <c r="AR78" i="4"/>
  <c r="BC35" i="4"/>
  <c r="BI56" i="4"/>
  <c r="F173" i="95" s="1"/>
  <c r="G173" i="95" s="1"/>
  <c r="BL78" i="4"/>
  <c r="CB78" i="4"/>
  <c r="BD56" i="4"/>
  <c r="BD59" i="4" s="1"/>
  <c r="BD78" i="4" s="1"/>
  <c r="E223" i="73"/>
  <c r="E160" i="73"/>
  <c r="BA56" i="4"/>
  <c r="BA59" i="4" s="1"/>
  <c r="BA78" i="4" s="1"/>
  <c r="C280" i="95"/>
  <c r="C279" i="95" s="1"/>
  <c r="D223" i="73"/>
  <c r="V73" i="4"/>
  <c r="F238" i="95" s="1"/>
  <c r="G238" i="95" s="1"/>
  <c r="BF73" i="4"/>
  <c r="D40" i="85" s="1"/>
  <c r="CZ12" i="4"/>
  <c r="D4" i="76"/>
  <c r="I41" i="4"/>
  <c r="DE41" i="4" s="1"/>
  <c r="I132" i="83"/>
  <c r="H26" i="73"/>
  <c r="D30" i="98"/>
  <c r="E30" i="98" s="1"/>
  <c r="F30" i="98" s="1"/>
  <c r="G30" i="98" s="1"/>
  <c r="H30" i="98" s="1"/>
  <c r="I30" i="98" s="1"/>
  <c r="D98" i="98"/>
  <c r="E98" i="98" s="1"/>
  <c r="F98" i="98" s="1"/>
  <c r="G98" i="98" s="1"/>
  <c r="H98" i="98" s="1"/>
  <c r="I98" i="98" s="1"/>
  <c r="H145" i="73"/>
  <c r="D139" i="98"/>
  <c r="D5" i="85"/>
  <c r="E5" i="85" s="1"/>
  <c r="G5" i="85" s="1"/>
  <c r="H5" i="85" s="1"/>
  <c r="H17" i="85" s="1"/>
  <c r="H21" i="85" s="1"/>
  <c r="H50" i="85" s="1"/>
  <c r="H55" i="85" s="1"/>
  <c r="I5" i="85" s="1"/>
  <c r="I17" i="85" s="1"/>
  <c r="I21" i="85" s="1"/>
  <c r="I50" i="85" s="1"/>
  <c r="I55" i="85" s="1"/>
  <c r="J5" i="85" s="1"/>
  <c r="J17" i="85" s="1"/>
  <c r="J21" i="85" s="1"/>
  <c r="J50" i="85" s="1"/>
  <c r="J55" i="85" s="1"/>
  <c r="K5" i="85" s="1"/>
  <c r="K17" i="85" s="1"/>
  <c r="K21" i="85" s="1"/>
  <c r="K50" i="85" s="1"/>
  <c r="K55" i="85" s="1"/>
  <c r="L5" i="85" s="1"/>
  <c r="L17" i="85" s="1"/>
  <c r="L21" i="85" s="1"/>
  <c r="L50" i="85" s="1"/>
  <c r="L55" i="85" s="1"/>
  <c r="G92" i="95"/>
  <c r="F91" i="95"/>
  <c r="G91" i="95" s="1"/>
  <c r="C16" i="92"/>
  <c r="P16" i="92" s="1"/>
  <c r="D18" i="98"/>
  <c r="E18" i="98" s="1"/>
  <c r="F18" i="98" s="1"/>
  <c r="G18" i="98" s="1"/>
  <c r="H18" i="98" s="1"/>
  <c r="I18" i="98" s="1"/>
  <c r="F97" i="95"/>
  <c r="G97" i="95" s="1"/>
  <c r="C7" i="92"/>
  <c r="P7" i="92" s="1"/>
  <c r="E6" i="73"/>
  <c r="D26" i="73"/>
  <c r="D257" i="73" s="1"/>
  <c r="D100" i="73"/>
  <c r="D258" i="73" s="1"/>
  <c r="C91" i="95"/>
  <c r="H100" i="73"/>
  <c r="E8" i="86"/>
  <c r="H6" i="73"/>
  <c r="H256" i="73" s="1"/>
  <c r="D6" i="73"/>
  <c r="CZ64" i="4"/>
  <c r="I8" i="4"/>
  <c r="AB35" i="4"/>
  <c r="CZ8" i="4"/>
  <c r="CZ18" i="4"/>
  <c r="DA18" i="4" s="1"/>
  <c r="S9" i="100"/>
  <c r="DE71" i="4"/>
  <c r="DA71" i="4"/>
  <c r="F264" i="95"/>
  <c r="G264" i="95" s="1"/>
  <c r="AT35" i="4"/>
  <c r="H8" i="75"/>
  <c r="H6" i="75" s="1"/>
  <c r="H36" i="75" s="1"/>
  <c r="H130" i="75" s="1"/>
  <c r="G19" i="75"/>
  <c r="E19" i="75" s="1"/>
  <c r="H92" i="87"/>
  <c r="I92" i="87" s="1"/>
  <c r="H148" i="35"/>
  <c r="I148" i="35" s="1"/>
  <c r="L73" i="4"/>
  <c r="BN62" i="4"/>
  <c r="H166" i="35" s="1"/>
  <c r="I166" i="35" s="1"/>
  <c r="N8" i="100"/>
  <c r="CZ40" i="4"/>
  <c r="DA40" i="4" s="1"/>
  <c r="H198" i="30"/>
  <c r="I33" i="4"/>
  <c r="I36" i="4"/>
  <c r="CZ11" i="4"/>
  <c r="BQ35" i="4"/>
  <c r="H90" i="72" s="1"/>
  <c r="I90" i="72" s="1"/>
  <c r="BW56" i="4"/>
  <c r="BW59" i="4" s="1"/>
  <c r="BW78" i="4" s="1"/>
  <c r="AT73" i="4"/>
  <c r="D44" i="85" s="1"/>
  <c r="AU44" i="85" s="1"/>
  <c r="Y30" i="4"/>
  <c r="I30" i="4" s="1"/>
  <c r="J184" i="73" s="1"/>
  <c r="K184" i="73" s="1"/>
  <c r="Y35" i="4"/>
  <c r="H25" i="72" s="1"/>
  <c r="I25" i="72" s="1"/>
  <c r="AF56" i="4"/>
  <c r="AF59" i="4" s="1"/>
  <c r="AF78" i="4" s="1"/>
  <c r="R10" i="100"/>
  <c r="C47" i="100"/>
  <c r="E43" i="100" s="1"/>
  <c r="I44" i="4"/>
  <c r="CZ14" i="4"/>
  <c r="DC34" i="4"/>
  <c r="I61" i="4"/>
  <c r="H212" i="73" s="1"/>
  <c r="G161" i="95"/>
  <c r="G153" i="95"/>
  <c r="BP78" i="4"/>
  <c r="G145" i="73"/>
  <c r="AH56" i="4"/>
  <c r="F190" i="95" s="1"/>
  <c r="G190" i="95" s="1"/>
  <c r="K135" i="100"/>
  <c r="Q16" i="4"/>
  <c r="AH16" i="4"/>
  <c r="V16" i="4"/>
  <c r="AB16" i="4"/>
  <c r="N16" i="4"/>
  <c r="CZ42" i="4"/>
  <c r="G209" i="98"/>
  <c r="E44" i="100"/>
  <c r="AW35" i="4"/>
  <c r="H21" i="86"/>
  <c r="G76" i="30"/>
  <c r="H76" i="30" s="1"/>
  <c r="E209" i="98"/>
  <c r="R8" i="100"/>
  <c r="BF35" i="4"/>
  <c r="S10" i="100"/>
  <c r="BU73" i="4"/>
  <c r="F249" i="95" s="1"/>
  <c r="G249" i="95" s="1"/>
  <c r="M9" i="100"/>
  <c r="R11" i="100"/>
  <c r="CZ37" i="4"/>
  <c r="Q22" i="4"/>
  <c r="J8" i="75"/>
  <c r="Q62" i="4"/>
  <c r="I39" i="4"/>
  <c r="J193" i="73" s="1"/>
  <c r="K193" i="73" s="1"/>
  <c r="I23" i="4"/>
  <c r="CZ29" i="4"/>
  <c r="CZ24" i="4"/>
  <c r="CZ44" i="4"/>
  <c r="X56" i="4"/>
  <c r="F186" i="95" s="1"/>
  <c r="G186" i="95" s="1"/>
  <c r="V56" i="4"/>
  <c r="CT56" i="4"/>
  <c r="CT59" i="4" s="1"/>
  <c r="F212" i="95" s="1"/>
  <c r="G212" i="95" s="1"/>
  <c r="DC62" i="4"/>
  <c r="DC73" i="4" s="1"/>
  <c r="CA35" i="4"/>
  <c r="P72" i="94"/>
  <c r="Q72" i="94" s="1"/>
  <c r="BS56" i="4"/>
  <c r="BS59" i="4" s="1"/>
  <c r="BS78" i="4" s="1"/>
  <c r="BR56" i="4"/>
  <c r="BR59" i="4" s="1"/>
  <c r="BR78" i="4" s="1"/>
  <c r="G26" i="73"/>
  <c r="E155" i="95"/>
  <c r="CV56" i="4"/>
  <c r="CV59" i="4" s="1"/>
  <c r="F214" i="95" s="1"/>
  <c r="G214" i="95" s="1"/>
  <c r="BM73" i="4"/>
  <c r="F155" i="95"/>
  <c r="I37" i="4"/>
  <c r="CZ51" i="4"/>
  <c r="DA51" i="4" s="1"/>
  <c r="I66" i="4"/>
  <c r="H138" i="87"/>
  <c r="I138" i="87" s="1"/>
  <c r="CN56" i="4"/>
  <c r="CN59" i="4" s="1"/>
  <c r="F209" i="95" s="1"/>
  <c r="G209" i="95" s="1"/>
  <c r="CK34" i="4"/>
  <c r="H134" i="87" s="1"/>
  <c r="I134" i="87" s="1"/>
  <c r="AT16" i="4"/>
  <c r="AK22" i="4"/>
  <c r="AE35" i="4"/>
  <c r="H34" i="72" s="1"/>
  <c r="I34" i="72" s="1"/>
  <c r="AK35" i="4"/>
  <c r="H43" i="72" s="1"/>
  <c r="I43" i="72" s="1"/>
  <c r="AQ73" i="4"/>
  <c r="CZ49" i="4"/>
  <c r="I49" i="4"/>
  <c r="J203" i="73" s="1"/>
  <c r="K203" i="73" s="1"/>
  <c r="F218" i="95"/>
  <c r="G218" i="95" s="1"/>
  <c r="BT56" i="4"/>
  <c r="CZ75" i="4"/>
  <c r="DA75" i="4" s="1"/>
  <c r="I57" i="4"/>
  <c r="J209" i="73" s="1"/>
  <c r="K209" i="73" s="1"/>
  <c r="J84" i="4"/>
  <c r="I84" i="4" s="1"/>
  <c r="I24" i="4"/>
  <c r="J178" i="73" s="1"/>
  <c r="K178" i="73" s="1"/>
  <c r="CZ36" i="4"/>
  <c r="CD56" i="4"/>
  <c r="H116" i="87"/>
  <c r="I116" i="87" s="1"/>
  <c r="DC21" i="4"/>
  <c r="AA56" i="4"/>
  <c r="AA59" i="4" s="1"/>
  <c r="AA78" i="4" s="1"/>
  <c r="CZ9" i="4"/>
  <c r="K76" i="4"/>
  <c r="CZ76" i="4" s="1"/>
  <c r="BQ22" i="4"/>
  <c r="H10" i="32"/>
  <c r="H13" i="32" s="1"/>
  <c r="I10" i="32"/>
  <c r="U56" i="4"/>
  <c r="F183" i="95" s="1"/>
  <c r="G183" i="95" s="1"/>
  <c r="BN35" i="4"/>
  <c r="E149" i="100"/>
  <c r="BO56" i="4"/>
  <c r="BO59" i="4" s="1"/>
  <c r="BO78" i="4" s="1"/>
  <c r="AS78" i="4"/>
  <c r="BB78" i="4"/>
  <c r="W16" i="4"/>
  <c r="G151" i="95"/>
  <c r="I76" i="4"/>
  <c r="DE75" i="4"/>
  <c r="F265" i="95"/>
  <c r="G265" i="95" s="1"/>
  <c r="DB75" i="4"/>
  <c r="H30" i="2"/>
  <c r="F166" i="35"/>
  <c r="F108" i="84"/>
  <c r="G27" i="86" s="1"/>
  <c r="G26" i="86" s="1"/>
  <c r="E114" i="84"/>
  <c r="E43" i="75"/>
  <c r="F224" i="35"/>
  <c r="H39" i="2"/>
  <c r="F20" i="96"/>
  <c r="H132" i="83"/>
  <c r="K59" i="4"/>
  <c r="F12" i="17"/>
  <c r="C19" i="17"/>
  <c r="F19" i="17" s="1"/>
  <c r="D8" i="2"/>
  <c r="D59" i="2" s="1"/>
  <c r="F59" i="2"/>
  <c r="K83" i="4"/>
  <c r="I83" i="4" s="1"/>
  <c r="H23" i="2"/>
  <c r="F86" i="35"/>
  <c r="H63" i="35"/>
  <c r="E202" i="30"/>
  <c r="H44" i="2"/>
  <c r="F312" i="35"/>
  <c r="H38" i="2"/>
  <c r="H173" i="35"/>
  <c r="H9" i="81"/>
  <c r="H31" i="81" s="1"/>
  <c r="K9" i="81"/>
  <c r="L9" i="81" s="1"/>
  <c r="F127" i="75"/>
  <c r="F129" i="75" s="1"/>
  <c r="F130" i="75" s="1"/>
  <c r="F202" i="30"/>
  <c r="G33" i="30"/>
  <c r="F36" i="30"/>
  <c r="H5" i="81"/>
  <c r="K5" i="81"/>
  <c r="L5" i="81" s="1"/>
  <c r="F6" i="81"/>
  <c r="K6" i="81"/>
  <c r="L6" i="81" s="1"/>
  <c r="E97" i="84"/>
  <c r="G89" i="84"/>
  <c r="H89" i="84"/>
  <c r="H97" i="84" s="1"/>
  <c r="L46" i="75"/>
  <c r="E46" i="75" s="1"/>
  <c r="F70" i="35"/>
  <c r="E340" i="35"/>
  <c r="H26" i="2"/>
  <c r="F98" i="35"/>
  <c r="H41" i="2"/>
  <c r="F239" i="35"/>
  <c r="G25" i="96"/>
  <c r="S77" i="1"/>
  <c r="S78" i="1" s="1"/>
  <c r="S76" i="1"/>
  <c r="E59" i="75"/>
  <c r="E58" i="75" s="1"/>
  <c r="E125" i="75" s="1"/>
  <c r="L58" i="75"/>
  <c r="L125" i="75" s="1"/>
  <c r="L127" i="75" s="1"/>
  <c r="L129" i="75" s="1"/>
  <c r="L130" i="75" s="1"/>
  <c r="D59" i="84"/>
  <c r="B117" i="84" s="1"/>
  <c r="G65" i="30"/>
  <c r="H65" i="30" s="1"/>
  <c r="CY78" i="4"/>
  <c r="H21" i="2"/>
  <c r="H19" i="2"/>
  <c r="H29" i="2"/>
  <c r="F59" i="35"/>
  <c r="E20" i="96"/>
  <c r="E198" i="98" s="1"/>
  <c r="D15" i="2"/>
  <c r="E29" i="76"/>
  <c r="E47" i="76" s="1"/>
  <c r="F12" i="81"/>
  <c r="K12" i="81"/>
  <c r="L12" i="81" s="1"/>
  <c r="H26" i="81"/>
  <c r="K26" i="81"/>
  <c r="L26" i="81" s="1"/>
  <c r="E26" i="73"/>
  <c r="F15" i="34"/>
  <c r="B156" i="84"/>
  <c r="G21" i="84"/>
  <c r="H36" i="84"/>
  <c r="G36" i="84"/>
  <c r="H42" i="84"/>
  <c r="G42" i="84"/>
  <c r="H44" i="84"/>
  <c r="F59" i="84"/>
  <c r="G17" i="34"/>
  <c r="F47" i="76"/>
  <c r="F26" i="77"/>
  <c r="F36" i="77" s="1"/>
  <c r="F4" i="81"/>
  <c r="F31" i="81" s="1"/>
  <c r="K4" i="81"/>
  <c r="L4" i="81" s="1"/>
  <c r="L31" i="81" s="1"/>
  <c r="D8" i="34"/>
  <c r="D15" i="34" s="1"/>
  <c r="D17" i="34" s="1"/>
  <c r="G66" i="84"/>
  <c r="G73" i="84" s="1"/>
  <c r="B121" i="84" s="1"/>
  <c r="E73" i="84"/>
  <c r="F63" i="35"/>
  <c r="D160" i="73"/>
  <c r="D16" i="31"/>
  <c r="F114" i="84"/>
  <c r="H5" i="76"/>
  <c r="D5" i="76"/>
  <c r="F7" i="81"/>
  <c r="K7" i="81"/>
  <c r="L7" i="81" s="1"/>
  <c r="K23" i="81"/>
  <c r="L23" i="81" s="1"/>
  <c r="H23" i="81"/>
  <c r="H47" i="84"/>
  <c r="G47" i="84"/>
  <c r="C147" i="84"/>
  <c r="E56" i="75"/>
  <c r="D37" i="98"/>
  <c r="AX78" i="4"/>
  <c r="CC78" i="4"/>
  <c r="I328" i="35"/>
  <c r="I322" i="35"/>
  <c r="CW59" i="4"/>
  <c r="F215" i="95" s="1"/>
  <c r="G215" i="95" s="1"/>
  <c r="D170" i="73"/>
  <c r="J9" i="83" s="1"/>
  <c r="G53" i="84"/>
  <c r="G43" i="84"/>
  <c r="H43" i="84"/>
  <c r="H50" i="84"/>
  <c r="H52" i="84"/>
  <c r="H73" i="84"/>
  <c r="C121" i="84" s="1"/>
  <c r="C26" i="95"/>
  <c r="H126" i="83"/>
  <c r="H130" i="83" s="1"/>
  <c r="D15" i="98"/>
  <c r="E15" i="98" s="1"/>
  <c r="F15" i="98" s="1"/>
  <c r="G15" i="98" s="1"/>
  <c r="H15" i="98" s="1"/>
  <c r="I15" i="98" s="1"/>
  <c r="I215" i="98"/>
  <c r="J52" i="86"/>
  <c r="J55" i="86" s="1"/>
  <c r="CM78" i="4"/>
  <c r="I94" i="35"/>
  <c r="L55" i="97"/>
  <c r="L58" i="97" s="1"/>
  <c r="L56" i="97"/>
  <c r="L54" i="97"/>
  <c r="T3" i="97"/>
  <c r="M15" i="97"/>
  <c r="P15" i="97"/>
  <c r="Q15" i="97" s="1"/>
  <c r="R15" i="97"/>
  <c r="J125" i="75"/>
  <c r="J127" i="75" s="1"/>
  <c r="J129" i="75" s="1"/>
  <c r="M25" i="85"/>
  <c r="D20" i="98"/>
  <c r="D21" i="98"/>
  <c r="E21" i="98" s="1"/>
  <c r="F21" i="98" s="1"/>
  <c r="G21" i="98" s="1"/>
  <c r="H21" i="98" s="1"/>
  <c r="I21" i="98" s="1"/>
  <c r="D41" i="98"/>
  <c r="E41" i="98" s="1"/>
  <c r="F41" i="98" s="1"/>
  <c r="G41" i="98" s="1"/>
  <c r="H41" i="98" s="1"/>
  <c r="I41" i="98" s="1"/>
  <c r="CZ32" i="4"/>
  <c r="I38" i="4"/>
  <c r="CS56" i="4"/>
  <c r="CS59" i="4" s="1"/>
  <c r="T16" i="4"/>
  <c r="AV78" i="4"/>
  <c r="F52" i="86"/>
  <c r="F55" i="86" s="1"/>
  <c r="T28" i="97"/>
  <c r="K50" i="97"/>
  <c r="S9" i="97"/>
  <c r="T9" i="97" s="1"/>
  <c r="M9" i="97"/>
  <c r="I131" i="35"/>
  <c r="D19" i="98"/>
  <c r="E19" i="98" s="1"/>
  <c r="F19" i="98" s="1"/>
  <c r="G19" i="98" s="1"/>
  <c r="H19" i="98" s="1"/>
  <c r="I19" i="98" s="1"/>
  <c r="D39" i="98"/>
  <c r="E39" i="98" s="1"/>
  <c r="G215" i="98"/>
  <c r="H52" i="86"/>
  <c r="H55" i="86" s="1"/>
  <c r="G52" i="86"/>
  <c r="G55" i="86" s="1"/>
  <c r="F215" i="98"/>
  <c r="CN73" i="4"/>
  <c r="D34" i="85" s="1"/>
  <c r="AU34" i="85" s="1"/>
  <c r="AD78" i="4"/>
  <c r="AO78" i="4"/>
  <c r="AL9" i="85"/>
  <c r="L57" i="97"/>
  <c r="T31" i="97"/>
  <c r="S19" i="97"/>
  <c r="T19" i="97" s="1"/>
  <c r="G50" i="97"/>
  <c r="T6" i="97"/>
  <c r="S10" i="97"/>
  <c r="T10" i="97" s="1"/>
  <c r="M10" i="97"/>
  <c r="M23" i="97"/>
  <c r="R23" i="97"/>
  <c r="P23" i="97"/>
  <c r="Q23" i="97" s="1"/>
  <c r="S25" i="85"/>
  <c r="C13" i="92"/>
  <c r="P13" i="92" s="1"/>
  <c r="C17" i="92"/>
  <c r="P17" i="92" s="1"/>
  <c r="C19" i="92"/>
  <c r="P19" i="92" s="1"/>
  <c r="D90" i="98"/>
  <c r="H215" i="98"/>
  <c r="I52" i="86"/>
  <c r="I55" i="86" s="1"/>
  <c r="CT73" i="4"/>
  <c r="F257" i="95" s="1"/>
  <c r="G257" i="95" s="1"/>
  <c r="CU56" i="4"/>
  <c r="G163" i="95"/>
  <c r="AU78" i="4"/>
  <c r="CQ78" i="4"/>
  <c r="I90" i="35"/>
  <c r="P4" i="97"/>
  <c r="Q4" i="97" s="1"/>
  <c r="R4" i="97"/>
  <c r="M4" i="97"/>
  <c r="H50" i="97"/>
  <c r="P17" i="97"/>
  <c r="Q17" i="97" s="1"/>
  <c r="R17" i="97"/>
  <c r="M17" i="97"/>
  <c r="Y22" i="4"/>
  <c r="AE34" i="4"/>
  <c r="H48" i="87" s="1"/>
  <c r="I48" i="87" s="1"/>
  <c r="AQ35" i="4"/>
  <c r="R13" i="97"/>
  <c r="P13" i="97"/>
  <c r="Q13" i="97" s="1"/>
  <c r="S13" i="97" s="1"/>
  <c r="R21" i="97"/>
  <c r="P21" i="97"/>
  <c r="Q21" i="97" s="1"/>
  <c r="S21" i="97" s="1"/>
  <c r="T21" i="97" s="1"/>
  <c r="K51" i="97"/>
  <c r="J51" i="97" s="1"/>
  <c r="S39" i="97"/>
  <c r="T39" i="97" s="1"/>
  <c r="M39" i="97"/>
  <c r="M27" i="97"/>
  <c r="M36" i="97"/>
  <c r="S36" i="97"/>
  <c r="D51" i="97" s="1"/>
  <c r="AZ73" i="4"/>
  <c r="I156" i="35"/>
  <c r="M56" i="4"/>
  <c r="F178" i="95" s="1"/>
  <c r="G178" i="95" s="1"/>
  <c r="CA73" i="4"/>
  <c r="R9" i="100"/>
  <c r="D194" i="98"/>
  <c r="DE51" i="4"/>
  <c r="DB51" i="4"/>
  <c r="D199" i="98"/>
  <c r="F219" i="95"/>
  <c r="G219" i="95" s="1"/>
  <c r="CZ43" i="4"/>
  <c r="I43" i="4"/>
  <c r="J197" i="73" s="1"/>
  <c r="K197" i="73" s="1"/>
  <c r="R73" i="4"/>
  <c r="CZ65" i="4"/>
  <c r="I25" i="4"/>
  <c r="J179" i="73" s="1"/>
  <c r="K179" i="73" s="1"/>
  <c r="CZ25" i="4"/>
  <c r="T56" i="4"/>
  <c r="CZ19" i="4"/>
  <c r="I19" i="4"/>
  <c r="J173" i="73" s="1"/>
  <c r="K173" i="73" s="1"/>
  <c r="H45" i="87"/>
  <c r="I45" i="87" s="1"/>
  <c r="AM56" i="4"/>
  <c r="AM59" i="4" s="1"/>
  <c r="AM78" i="4" s="1"/>
  <c r="Q35" i="4"/>
  <c r="DC35" i="4"/>
  <c r="AP56" i="4"/>
  <c r="AP59" i="4" s="1"/>
  <c r="AP78" i="4" s="1"/>
  <c r="AN35" i="4"/>
  <c r="H14" i="30"/>
  <c r="Y73" i="4"/>
  <c r="CW73" i="4"/>
  <c r="H316" i="35"/>
  <c r="I316" i="35" s="1"/>
  <c r="G13" i="75"/>
  <c r="E13" i="75" s="1"/>
  <c r="I116" i="35"/>
  <c r="I65" i="4"/>
  <c r="J216" i="73" s="1"/>
  <c r="K216" i="73" s="1"/>
  <c r="I64" i="4"/>
  <c r="J215" i="73" s="1"/>
  <c r="K215" i="73" s="1"/>
  <c r="I11" i="4"/>
  <c r="G162" i="95"/>
  <c r="CH34" i="4"/>
  <c r="CI56" i="4"/>
  <c r="CI59" i="4" s="1"/>
  <c r="CI78" i="4" s="1"/>
  <c r="CZ26" i="4"/>
  <c r="R56" i="4"/>
  <c r="I27" i="4"/>
  <c r="J181" i="73" s="1"/>
  <c r="K181" i="73" s="1"/>
  <c r="CZ27" i="4"/>
  <c r="O56" i="4"/>
  <c r="O59" i="4" s="1"/>
  <c r="O78" i="4" s="1"/>
  <c r="N22" i="4"/>
  <c r="N56" i="4" s="1"/>
  <c r="H172" i="30"/>
  <c r="G94" i="73"/>
  <c r="G100" i="73"/>
  <c r="CZ20" i="4"/>
  <c r="I20" i="4"/>
  <c r="J174" i="73" s="1"/>
  <c r="K174" i="73" s="1"/>
  <c r="CZ23" i="4"/>
  <c r="CL56" i="4"/>
  <c r="CL59" i="4" s="1"/>
  <c r="CL78" i="4" s="1"/>
  <c r="G6" i="73"/>
  <c r="W56" i="4"/>
  <c r="G11" i="31"/>
  <c r="T73" i="4"/>
  <c r="CO73" i="4"/>
  <c r="H190" i="30"/>
  <c r="I9" i="4"/>
  <c r="J162" i="73" s="1"/>
  <c r="K162" i="73" s="1"/>
  <c r="G156" i="95"/>
  <c r="E165" i="95"/>
  <c r="E166" i="95" s="1"/>
  <c r="I32" i="4"/>
  <c r="J186" i="73" s="1"/>
  <c r="K186" i="73" s="1"/>
  <c r="G10" i="31"/>
  <c r="N73" i="4"/>
  <c r="CZ33" i="4"/>
  <c r="L56" i="4"/>
  <c r="CE34" i="4"/>
  <c r="CF56" i="4"/>
  <c r="CF59" i="4" s="1"/>
  <c r="CF78" i="4" s="1"/>
  <c r="CO22" i="4"/>
  <c r="CR56" i="4"/>
  <c r="CR59" i="4" s="1"/>
  <c r="CR78" i="4" s="1"/>
  <c r="DC22" i="4"/>
  <c r="U16" i="4"/>
  <c r="I12" i="4"/>
  <c r="J165" i="73" s="1"/>
  <c r="K165" i="73" s="1"/>
  <c r="DB40" i="4"/>
  <c r="Z56" i="4"/>
  <c r="Z59" i="4" s="1"/>
  <c r="Z78" i="4" s="1"/>
  <c r="Y21" i="4"/>
  <c r="BU35" i="4"/>
  <c r="H93" i="72" s="1"/>
  <c r="I93" i="72" s="1"/>
  <c r="BV56" i="4"/>
  <c r="BV59" i="4" s="1"/>
  <c r="BV78" i="4" s="1"/>
  <c r="CZ50" i="4"/>
  <c r="I50" i="4"/>
  <c r="J204" i="73" s="1"/>
  <c r="K204" i="73" s="1"/>
  <c r="I46" i="4"/>
  <c r="J200" i="73" s="1"/>
  <c r="K200" i="73" s="1"/>
  <c r="CZ46" i="4"/>
  <c r="R16" i="4"/>
  <c r="CZ10" i="4"/>
  <c r="I42" i="4"/>
  <c r="I28" i="4"/>
  <c r="J182" i="73" s="1"/>
  <c r="K182" i="73" s="1"/>
  <c r="CZ28" i="4"/>
  <c r="J56" i="4"/>
  <c r="J59" i="4" s="1"/>
  <c r="J78" i="4" s="1"/>
  <c r="I29" i="4"/>
  <c r="J183" i="73" s="1"/>
  <c r="K183" i="73" s="1"/>
  <c r="CZ38" i="4"/>
  <c r="H22" i="87"/>
  <c r="I22" i="87" s="1"/>
  <c r="S56" i="4"/>
  <c r="M16" i="4"/>
  <c r="I72" i="4"/>
  <c r="J221" i="73" s="1"/>
  <c r="K221" i="73" s="1"/>
  <c r="CZ72" i="4"/>
  <c r="F232" i="95"/>
  <c r="G232" i="95" s="1"/>
  <c r="I26" i="4"/>
  <c r="J180" i="73" s="1"/>
  <c r="K180" i="73" s="1"/>
  <c r="I13" i="4"/>
  <c r="J166" i="73" s="1"/>
  <c r="K166" i="73" s="1"/>
  <c r="CZ13" i="4"/>
  <c r="BJ35" i="4"/>
  <c r="AK62" i="4"/>
  <c r="J164" i="73" l="1"/>
  <c r="K164" i="73" s="1"/>
  <c r="E23" i="96"/>
  <c r="E27" i="96"/>
  <c r="E35" i="96" s="1"/>
  <c r="D3" i="76"/>
  <c r="D47" i="76" s="1"/>
  <c r="E5" i="89"/>
  <c r="C146" i="95"/>
  <c r="C147" i="95" s="1"/>
  <c r="BN73" i="4"/>
  <c r="P118" i="94" s="1"/>
  <c r="Q118" i="94" s="1"/>
  <c r="C44" i="83"/>
  <c r="D138" i="98"/>
  <c r="BX59" i="4"/>
  <c r="BX78" i="4" s="1"/>
  <c r="F192" i="95"/>
  <c r="G192" i="95" s="1"/>
  <c r="AI59" i="4"/>
  <c r="AI78" i="4" s="1"/>
  <c r="BN56" i="4"/>
  <c r="BN59" i="4" s="1"/>
  <c r="H79" i="72"/>
  <c r="I79" i="72" s="1"/>
  <c r="AW56" i="4"/>
  <c r="AW59" i="4" s="1"/>
  <c r="AW78" i="4" s="1"/>
  <c r="H53" i="72"/>
  <c r="I53" i="72" s="1"/>
  <c r="AT56" i="4"/>
  <c r="F195" i="95" s="1"/>
  <c r="G195" i="95" s="1"/>
  <c r="H111" i="72"/>
  <c r="I111" i="72" s="1"/>
  <c r="AB56" i="4"/>
  <c r="F188" i="95" s="1"/>
  <c r="G188" i="95" s="1"/>
  <c r="H30" i="72"/>
  <c r="I30" i="72" s="1"/>
  <c r="BZ59" i="4"/>
  <c r="BZ78" i="4" s="1"/>
  <c r="BF56" i="4"/>
  <c r="F172" i="95" s="1"/>
  <c r="G172" i="95" s="1"/>
  <c r="H71" i="72"/>
  <c r="I71" i="72" s="1"/>
  <c r="BC56" i="4"/>
  <c r="F171" i="95" s="1"/>
  <c r="G171" i="95" s="1"/>
  <c r="H60" i="72"/>
  <c r="I60" i="72" s="1"/>
  <c r="BJ56" i="4"/>
  <c r="F174" i="95" s="1"/>
  <c r="G174" i="95" s="1"/>
  <c r="H68" i="72"/>
  <c r="I68" i="72" s="1"/>
  <c r="AN56" i="4"/>
  <c r="F194" i="95" s="1"/>
  <c r="G194" i="95" s="1"/>
  <c r="H47" i="72"/>
  <c r="I47" i="72" s="1"/>
  <c r="AQ56" i="4"/>
  <c r="AQ59" i="4" s="1"/>
  <c r="AQ78" i="4" s="1"/>
  <c r="H50" i="72"/>
  <c r="I50" i="72" s="1"/>
  <c r="CA56" i="4"/>
  <c r="CA59" i="4" s="1"/>
  <c r="CA78" i="4" s="1"/>
  <c r="H97" i="72"/>
  <c r="I97" i="72" s="1"/>
  <c r="AZ56" i="4"/>
  <c r="AZ59" i="4" s="1"/>
  <c r="AZ78" i="4" s="1"/>
  <c r="H63" i="72"/>
  <c r="I63" i="72" s="1"/>
  <c r="B71" i="83"/>
  <c r="D94" i="98"/>
  <c r="C46" i="83"/>
  <c r="E147" i="83"/>
  <c r="P9" i="83"/>
  <c r="AU52" i="85"/>
  <c r="F253" i="73"/>
  <c r="F26" i="96"/>
  <c r="G18" i="96" s="1"/>
  <c r="F23" i="96"/>
  <c r="F20" i="86"/>
  <c r="F23" i="86" s="1"/>
  <c r="F239" i="95"/>
  <c r="G239" i="95" s="1"/>
  <c r="DA36" i="4"/>
  <c r="P27" i="94"/>
  <c r="Q27" i="94" s="1"/>
  <c r="DB41" i="4"/>
  <c r="D27" i="85"/>
  <c r="E29" i="86" s="1"/>
  <c r="BY59" i="4"/>
  <c r="D30" i="85"/>
  <c r="AU30" i="85" s="1"/>
  <c r="F227" i="95"/>
  <c r="G227" i="95" s="1"/>
  <c r="J154" i="73"/>
  <c r="E258" i="73"/>
  <c r="C277" i="95" s="1"/>
  <c r="C45" i="83"/>
  <c r="E11" i="86"/>
  <c r="F26" i="95"/>
  <c r="G26" i="95" s="1"/>
  <c r="U59" i="4"/>
  <c r="U78" i="4" s="1"/>
  <c r="DE61" i="4"/>
  <c r="P96" i="94"/>
  <c r="Q96" i="94" s="1"/>
  <c r="P104" i="94"/>
  <c r="Q104" i="94" s="1"/>
  <c r="D42" i="85"/>
  <c r="F42" i="85" s="1"/>
  <c r="J223" i="73"/>
  <c r="K223" i="73" s="1"/>
  <c r="D179" i="98"/>
  <c r="E179" i="98" s="1"/>
  <c r="F179" i="98" s="1"/>
  <c r="G179" i="98" s="1"/>
  <c r="H179" i="98" s="1"/>
  <c r="I179" i="98" s="1"/>
  <c r="J190" i="73"/>
  <c r="K190" i="73" s="1"/>
  <c r="DE36" i="4"/>
  <c r="DB38" i="4"/>
  <c r="J192" i="73"/>
  <c r="K192" i="73" s="1"/>
  <c r="DB37" i="4"/>
  <c r="J191" i="73"/>
  <c r="K191" i="73" s="1"/>
  <c r="D184" i="98"/>
  <c r="E184" i="98" s="1"/>
  <c r="F184" i="98" s="1"/>
  <c r="G184" i="98" s="1"/>
  <c r="H184" i="98" s="1"/>
  <c r="I184" i="98" s="1"/>
  <c r="J195" i="73"/>
  <c r="K195" i="73" s="1"/>
  <c r="DA66" i="4"/>
  <c r="J217" i="73"/>
  <c r="K217" i="73" s="1"/>
  <c r="DB33" i="4"/>
  <c r="J187" i="73"/>
  <c r="K187" i="73" s="1"/>
  <c r="DA42" i="4"/>
  <c r="J196" i="73"/>
  <c r="K196" i="73" s="1"/>
  <c r="E46" i="100"/>
  <c r="J261" i="73"/>
  <c r="J260" i="73" s="1"/>
  <c r="J266" i="73" s="1"/>
  <c r="DE23" i="4"/>
  <c r="J177" i="73"/>
  <c r="K177" i="73" s="1"/>
  <c r="P64" i="94"/>
  <c r="Q64" i="94" s="1"/>
  <c r="DB44" i="4"/>
  <c r="J198" i="73"/>
  <c r="K198" i="73" s="1"/>
  <c r="DE14" i="4"/>
  <c r="J167" i="73"/>
  <c r="K167" i="73" s="1"/>
  <c r="BI59" i="4"/>
  <c r="BI78" i="4" s="1"/>
  <c r="J161" i="73"/>
  <c r="K161" i="73" s="1"/>
  <c r="DB10" i="4"/>
  <c r="J163" i="73"/>
  <c r="K163" i="73" s="1"/>
  <c r="E94" i="98"/>
  <c r="E6" i="89"/>
  <c r="B72" i="83"/>
  <c r="F141" i="95"/>
  <c r="G141" i="95" s="1"/>
  <c r="D272" i="95"/>
  <c r="D8" i="85"/>
  <c r="F8" i="85" s="1"/>
  <c r="D154" i="73"/>
  <c r="D155" i="73" s="1"/>
  <c r="D22" i="85"/>
  <c r="B7" i="99"/>
  <c r="G144" i="100"/>
  <c r="J256" i="73"/>
  <c r="J255" i="73" s="1"/>
  <c r="E42" i="100"/>
  <c r="E47" i="100"/>
  <c r="E45" i="100"/>
  <c r="DA24" i="4"/>
  <c r="DA10" i="4"/>
  <c r="P191" i="94"/>
  <c r="Q191" i="94" s="1"/>
  <c r="D153" i="98"/>
  <c r="E153" i="98" s="1"/>
  <c r="F153" i="98" s="1"/>
  <c r="G153" i="98" s="1"/>
  <c r="H153" i="98" s="1"/>
  <c r="I153" i="98" s="1"/>
  <c r="DA39" i="4"/>
  <c r="CV78" i="4"/>
  <c r="F147" i="83"/>
  <c r="DA33" i="4"/>
  <c r="CK56" i="4"/>
  <c r="CK59" i="4" s="1"/>
  <c r="F208" i="95" s="1"/>
  <c r="G208" i="95" s="1"/>
  <c r="DE33" i="4"/>
  <c r="CZ30" i="4"/>
  <c r="DA30" i="4" s="1"/>
  <c r="DA41" i="4"/>
  <c r="I123" i="83"/>
  <c r="P198" i="94"/>
  <c r="Q198" i="94" s="1"/>
  <c r="P199" i="94"/>
  <c r="Q199" i="94" s="1"/>
  <c r="K78" i="4"/>
  <c r="P10" i="83"/>
  <c r="E4" i="89"/>
  <c r="B70" i="83"/>
  <c r="O8" i="83"/>
  <c r="E159" i="73"/>
  <c r="F146" i="83" s="1"/>
  <c r="DB8" i="4"/>
  <c r="DB36" i="4"/>
  <c r="D182" i="98"/>
  <c r="E182" i="98" s="1"/>
  <c r="F182" i="98" s="1"/>
  <c r="G182" i="98" s="1"/>
  <c r="H182" i="98" s="1"/>
  <c r="I182" i="98" s="1"/>
  <c r="DA76" i="4"/>
  <c r="B73" i="83"/>
  <c r="E6" i="86"/>
  <c r="F6" i="86" s="1"/>
  <c r="G143" i="100"/>
  <c r="D6" i="85"/>
  <c r="AU6" i="85" s="1"/>
  <c r="E256" i="73"/>
  <c r="C275" i="95" s="1"/>
  <c r="F142" i="83"/>
  <c r="C4" i="89"/>
  <c r="F5" i="98"/>
  <c r="G17" i="85"/>
  <c r="G21" i="85" s="1"/>
  <c r="G50" i="85" s="1"/>
  <c r="M50" i="85" s="1"/>
  <c r="E143" i="83"/>
  <c r="E142" i="83"/>
  <c r="D256" i="73"/>
  <c r="D255" i="73" s="1"/>
  <c r="D253" i="73" s="1"/>
  <c r="B9" i="99"/>
  <c r="H154" i="73"/>
  <c r="H155" i="73" s="1"/>
  <c r="F5" i="85"/>
  <c r="M5" i="85"/>
  <c r="M17" i="85" s="1"/>
  <c r="B5" i="99"/>
  <c r="C42" i="83"/>
  <c r="E55" i="85"/>
  <c r="G5" i="98"/>
  <c r="B8" i="99"/>
  <c r="H258" i="73"/>
  <c r="F277" i="95" s="1"/>
  <c r="B6" i="99"/>
  <c r="D7" i="85"/>
  <c r="E9" i="86"/>
  <c r="F9" i="86" s="1"/>
  <c r="G9" i="86" s="1"/>
  <c r="H9" i="86" s="1"/>
  <c r="I9" i="86" s="1"/>
  <c r="J9" i="86" s="1"/>
  <c r="H257" i="73"/>
  <c r="F276" i="95" s="1"/>
  <c r="DE8" i="4"/>
  <c r="DA23" i="4"/>
  <c r="X59" i="4"/>
  <c r="X78" i="4" s="1"/>
  <c r="DA8" i="4"/>
  <c r="E46" i="86"/>
  <c r="DA44" i="4"/>
  <c r="E36" i="86"/>
  <c r="DA61" i="4"/>
  <c r="DB23" i="4"/>
  <c r="F240" i="95"/>
  <c r="G240" i="95" s="1"/>
  <c r="F266" i="95"/>
  <c r="G266" i="95" s="1"/>
  <c r="D213" i="98"/>
  <c r="H223" i="73"/>
  <c r="D157" i="98"/>
  <c r="E157" i="98" s="1"/>
  <c r="F157" i="98" s="1"/>
  <c r="G157" i="98" s="1"/>
  <c r="H157" i="98" s="1"/>
  <c r="I157" i="98" s="1"/>
  <c r="F44" i="85"/>
  <c r="DA14" i="4"/>
  <c r="V59" i="4"/>
  <c r="V78" i="4" s="1"/>
  <c r="DE44" i="4"/>
  <c r="DB14" i="4"/>
  <c r="AH59" i="4"/>
  <c r="AH78" i="4" s="1"/>
  <c r="DA38" i="4"/>
  <c r="D36" i="85"/>
  <c r="AU36" i="85" s="1"/>
  <c r="CN78" i="4"/>
  <c r="D181" i="98"/>
  <c r="E181" i="98" s="1"/>
  <c r="F181" i="98" s="1"/>
  <c r="G181" i="98" s="1"/>
  <c r="H181" i="98" s="1"/>
  <c r="I181" i="98" s="1"/>
  <c r="Y56" i="4"/>
  <c r="F187" i="95" s="1"/>
  <c r="G187" i="95" s="1"/>
  <c r="DE66" i="4"/>
  <c r="F34" i="85"/>
  <c r="F184" i="95"/>
  <c r="G184" i="95" s="1"/>
  <c r="F254" i="95"/>
  <c r="G254" i="95" s="1"/>
  <c r="I82" i="4"/>
  <c r="I91" i="4" s="1"/>
  <c r="J10" i="32"/>
  <c r="DE39" i="4"/>
  <c r="G155" i="95"/>
  <c r="DE38" i="4"/>
  <c r="AK56" i="4"/>
  <c r="AK59" i="4" s="1"/>
  <c r="DA37" i="4"/>
  <c r="M59" i="4"/>
  <c r="M78" i="4" s="1"/>
  <c r="DE37" i="4"/>
  <c r="D180" i="98"/>
  <c r="E180" i="98" s="1"/>
  <c r="F180" i="98" s="1"/>
  <c r="G180" i="98" s="1"/>
  <c r="H180" i="98" s="1"/>
  <c r="I180" i="98" s="1"/>
  <c r="DC56" i="4"/>
  <c r="DC59" i="4" s="1"/>
  <c r="DC78" i="4" s="1"/>
  <c r="AE56" i="4"/>
  <c r="F189" i="95" s="1"/>
  <c r="G189" i="95" s="1"/>
  <c r="I13" i="32"/>
  <c r="J13" i="32" s="1"/>
  <c r="DE57" i="4"/>
  <c r="DB57" i="4"/>
  <c r="F199" i="95"/>
  <c r="G199" i="95" s="1"/>
  <c r="BT59" i="4"/>
  <c r="BT78" i="4" s="1"/>
  <c r="DB49" i="4"/>
  <c r="DE49" i="4"/>
  <c r="D208" i="98"/>
  <c r="CD59" i="4"/>
  <c r="CD78" i="4" s="1"/>
  <c r="F205" i="95"/>
  <c r="G205" i="95" s="1"/>
  <c r="F225" i="95"/>
  <c r="G225" i="95" s="1"/>
  <c r="D41" i="85"/>
  <c r="P90" i="94"/>
  <c r="Q90" i="94" s="1"/>
  <c r="DB24" i="4"/>
  <c r="DE24" i="4"/>
  <c r="DA49" i="4"/>
  <c r="D39" i="85"/>
  <c r="P192" i="94"/>
  <c r="Q192" i="94" s="1"/>
  <c r="F245" i="95"/>
  <c r="G245" i="95" s="1"/>
  <c r="DA57" i="4"/>
  <c r="E127" i="75"/>
  <c r="E129" i="75" s="1"/>
  <c r="T13" i="97"/>
  <c r="D89" i="98"/>
  <c r="E90" i="98"/>
  <c r="K55" i="97"/>
  <c r="J55" i="97" s="1"/>
  <c r="K57" i="97"/>
  <c r="J57" i="97" s="1"/>
  <c r="K54" i="97"/>
  <c r="J54" i="97" s="1"/>
  <c r="K58" i="97"/>
  <c r="J50" i="97"/>
  <c r="K56" i="97"/>
  <c r="J56" i="97" s="1"/>
  <c r="DA72" i="4"/>
  <c r="DA50" i="4"/>
  <c r="DA9" i="4"/>
  <c r="G55" i="97"/>
  <c r="G57" i="97"/>
  <c r="G56" i="97"/>
  <c r="G54" i="97"/>
  <c r="G58" i="97" s="1"/>
  <c r="AN9" i="85"/>
  <c r="F211" i="95"/>
  <c r="G211" i="95" s="1"/>
  <c r="CS78" i="4"/>
  <c r="D25" i="98"/>
  <c r="J8" i="83"/>
  <c r="D159" i="73"/>
  <c r="C118" i="84"/>
  <c r="G59" i="84"/>
  <c r="B120" i="84" s="1"/>
  <c r="H25" i="96"/>
  <c r="G20" i="96"/>
  <c r="F275" i="95"/>
  <c r="H5" i="98"/>
  <c r="I6" i="98"/>
  <c r="I5" i="98" s="1"/>
  <c r="DE76" i="4"/>
  <c r="DB76" i="4"/>
  <c r="L16" i="4"/>
  <c r="L59" i="4" s="1"/>
  <c r="L78" i="4" s="1"/>
  <c r="CZ15" i="4"/>
  <c r="K9" i="83"/>
  <c r="L9" i="83"/>
  <c r="B123" i="84"/>
  <c r="C123" i="84"/>
  <c r="F340" i="35"/>
  <c r="G97" i="84"/>
  <c r="F36" i="86"/>
  <c r="F117" i="84"/>
  <c r="H262" i="73"/>
  <c r="F281" i="95" s="1"/>
  <c r="D215" i="98"/>
  <c r="E52" i="86"/>
  <c r="E55" i="86" s="1"/>
  <c r="D51" i="85"/>
  <c r="I35" i="4"/>
  <c r="F117" i="72" s="1"/>
  <c r="F118" i="72" s="1"/>
  <c r="DA27" i="4"/>
  <c r="DA26" i="4"/>
  <c r="CT78" i="4"/>
  <c r="P180" i="94"/>
  <c r="Q180" i="94" s="1"/>
  <c r="F252" i="95"/>
  <c r="G252" i="95" s="1"/>
  <c r="D32" i="85"/>
  <c r="S17" i="97"/>
  <c r="T17" i="97" s="1"/>
  <c r="S4" i="97"/>
  <c r="CU59" i="4"/>
  <c r="CU78" i="4" s="1"/>
  <c r="F213" i="95"/>
  <c r="G213" i="95" s="1"/>
  <c r="S23" i="97"/>
  <c r="T23" i="97" s="1"/>
  <c r="F39" i="98"/>
  <c r="E25" i="98"/>
  <c r="D50" i="97"/>
  <c r="S15" i="97"/>
  <c r="T15" i="97" s="1"/>
  <c r="F198" i="98"/>
  <c r="G20" i="86"/>
  <c r="G23" i="86" s="1"/>
  <c r="G51" i="86" s="1"/>
  <c r="G56" i="86" s="1"/>
  <c r="G97" i="98"/>
  <c r="F94" i="98"/>
  <c r="CZ21" i="4"/>
  <c r="H54" i="97"/>
  <c r="H57" i="97"/>
  <c r="H55" i="97"/>
  <c r="H58" i="97" s="1"/>
  <c r="H56" i="97"/>
  <c r="B118" i="84"/>
  <c r="B119" i="84" s="1"/>
  <c r="B130" i="84" s="1"/>
  <c r="B149" i="84" s="1"/>
  <c r="D5" i="98"/>
  <c r="H59" i="84"/>
  <c r="C5" i="89"/>
  <c r="E257" i="73"/>
  <c r="F143" i="83"/>
  <c r="C43" i="83"/>
  <c r="E154" i="73"/>
  <c r="M42" i="96"/>
  <c r="M40" i="96" s="1"/>
  <c r="C24" i="92"/>
  <c r="P24" i="92" s="1"/>
  <c r="E5" i="98"/>
  <c r="H27" i="98"/>
  <c r="N59" i="4"/>
  <c r="N78" i="4" s="1"/>
  <c r="F179" i="95"/>
  <c r="G179" i="95" s="1"/>
  <c r="DB13" i="4"/>
  <c r="DE13" i="4"/>
  <c r="DB29" i="4"/>
  <c r="DE29" i="4"/>
  <c r="D154" i="87"/>
  <c r="BU56" i="4"/>
  <c r="DE12" i="4"/>
  <c r="DB12" i="4"/>
  <c r="DA12" i="4"/>
  <c r="Q34" i="4"/>
  <c r="H127" i="87"/>
  <c r="I127" i="87" s="1"/>
  <c r="J18" i="75"/>
  <c r="CE56" i="4"/>
  <c r="S7" i="91"/>
  <c r="R7" i="91"/>
  <c r="T7" i="91"/>
  <c r="P7" i="91"/>
  <c r="F185" i="95"/>
  <c r="G185" i="95" s="1"/>
  <c r="W59" i="4"/>
  <c r="W78" i="4" s="1"/>
  <c r="DB20" i="4"/>
  <c r="DE20" i="4"/>
  <c r="G154" i="73"/>
  <c r="DE30" i="4"/>
  <c r="DB30" i="4"/>
  <c r="DE19" i="4"/>
  <c r="DB19" i="4"/>
  <c r="DE25" i="4"/>
  <c r="DB25" i="4"/>
  <c r="CZ35" i="4"/>
  <c r="DE26" i="4"/>
  <c r="DB26" i="4"/>
  <c r="DB72" i="4"/>
  <c r="DE72" i="4"/>
  <c r="S59" i="4"/>
  <c r="S78" i="4" s="1"/>
  <c r="F181" i="95"/>
  <c r="G181" i="95" s="1"/>
  <c r="DA28" i="4"/>
  <c r="DA46" i="4"/>
  <c r="F177" i="95"/>
  <c r="DE32" i="4"/>
  <c r="DB32" i="4"/>
  <c r="F255" i="95"/>
  <c r="G255" i="95" s="1"/>
  <c r="D35" i="85"/>
  <c r="P75" i="94"/>
  <c r="Q75" i="94" s="1"/>
  <c r="DA20" i="4"/>
  <c r="I215" i="94"/>
  <c r="D201" i="98"/>
  <c r="DB27" i="4"/>
  <c r="DE27" i="4"/>
  <c r="D166" i="98"/>
  <c r="E166" i="98" s="1"/>
  <c r="F166" i="98" s="1"/>
  <c r="G166" i="98" s="1"/>
  <c r="H166" i="98" s="1"/>
  <c r="I166" i="98" s="1"/>
  <c r="DE11" i="4"/>
  <c r="DA11" i="4"/>
  <c r="E42" i="86"/>
  <c r="AU40" i="85"/>
  <c r="F40" i="85"/>
  <c r="F233" i="95"/>
  <c r="G233" i="95" s="1"/>
  <c r="P43" i="94"/>
  <c r="Q43" i="94" s="1"/>
  <c r="D26" i="85"/>
  <c r="DA19" i="4"/>
  <c r="DA65" i="4"/>
  <c r="H98" i="35"/>
  <c r="I98" i="35" s="1"/>
  <c r="AK73" i="4"/>
  <c r="DB28" i="4"/>
  <c r="DE28" i="4"/>
  <c r="DB46" i="4"/>
  <c r="DE46" i="4"/>
  <c r="D183" i="98"/>
  <c r="E183" i="98" s="1"/>
  <c r="F183" i="98" s="1"/>
  <c r="G183" i="98" s="1"/>
  <c r="H183" i="98" s="1"/>
  <c r="I183" i="98" s="1"/>
  <c r="I22" i="4"/>
  <c r="J176" i="73" s="1"/>
  <c r="K176" i="73" s="1"/>
  <c r="CZ22" i="4"/>
  <c r="DA29" i="4"/>
  <c r="D209" i="98"/>
  <c r="D19" i="85"/>
  <c r="CH56" i="4"/>
  <c r="CH59" i="4" s="1"/>
  <c r="H131" i="87"/>
  <c r="I131" i="87" s="1"/>
  <c r="D151" i="98"/>
  <c r="DA64" i="4"/>
  <c r="DE64" i="4"/>
  <c r="I14" i="32"/>
  <c r="DB65" i="4"/>
  <c r="DE65" i="4"/>
  <c r="H14" i="32"/>
  <c r="H15" i="32" s="1"/>
  <c r="D176" i="98"/>
  <c r="E176" i="98" s="1"/>
  <c r="F176" i="98" s="1"/>
  <c r="G176" i="98" s="1"/>
  <c r="H176" i="98" s="1"/>
  <c r="I176" i="98" s="1"/>
  <c r="F258" i="95"/>
  <c r="G258" i="95" s="1"/>
  <c r="CW78" i="4"/>
  <c r="D37" i="85"/>
  <c r="P195" i="94"/>
  <c r="Q195" i="94" s="1"/>
  <c r="F182" i="95"/>
  <c r="G182" i="95" s="1"/>
  <c r="T59" i="4"/>
  <c r="T78" i="4" s="1"/>
  <c r="DB43" i="4"/>
  <c r="DE43" i="4"/>
  <c r="DA13" i="4"/>
  <c r="DE42" i="4"/>
  <c r="DB42" i="4"/>
  <c r="DE50" i="4"/>
  <c r="DB50" i="4"/>
  <c r="D47" i="85"/>
  <c r="P24" i="94"/>
  <c r="Q24" i="94" s="1"/>
  <c r="F231" i="95"/>
  <c r="DB9" i="4"/>
  <c r="DE9" i="4"/>
  <c r="F235" i="95"/>
  <c r="G235" i="95" s="1"/>
  <c r="P20" i="94"/>
  <c r="Q20" i="94" s="1"/>
  <c r="F180" i="95"/>
  <c r="G180" i="95" s="1"/>
  <c r="R59" i="4"/>
  <c r="R78" i="4" s="1"/>
  <c r="F144" i="100"/>
  <c r="F145" i="100" s="1"/>
  <c r="I21" i="4"/>
  <c r="J175" i="73" s="1"/>
  <c r="K175" i="73" s="1"/>
  <c r="DA25" i="4"/>
  <c r="DA32" i="4"/>
  <c r="DA43" i="4"/>
  <c r="E8" i="89" l="1"/>
  <c r="C269" i="95"/>
  <c r="J155" i="73"/>
  <c r="K155" i="73" s="1"/>
  <c r="K154" i="73"/>
  <c r="J168" i="73"/>
  <c r="K168" i="73" s="1"/>
  <c r="I16" i="4"/>
  <c r="F27" i="96"/>
  <c r="F35" i="96" s="1"/>
  <c r="D28" i="85"/>
  <c r="E30" i="86" s="1"/>
  <c r="BN78" i="4"/>
  <c r="F246" i="95"/>
  <c r="G246" i="95" s="1"/>
  <c r="H103" i="35"/>
  <c r="I103" i="35" s="1"/>
  <c r="H255" i="73"/>
  <c r="D29" i="96" s="1"/>
  <c r="D30" i="96" s="1"/>
  <c r="P8" i="91"/>
  <c r="P18" i="91" s="1"/>
  <c r="P27" i="91" s="1"/>
  <c r="P31" i="91" s="1"/>
  <c r="P34" i="91" s="1"/>
  <c r="P37" i="91" s="1"/>
  <c r="P42" i="91" s="1"/>
  <c r="F197" i="95"/>
  <c r="G197" i="95" s="1"/>
  <c r="F169" i="95"/>
  <c r="G169" i="95" s="1"/>
  <c r="BJ59" i="4"/>
  <c r="AB59" i="4"/>
  <c r="AB78" i="4" s="1"/>
  <c r="F168" i="95"/>
  <c r="G168" i="95" s="1"/>
  <c r="F170" i="95"/>
  <c r="G170" i="95" s="1"/>
  <c r="BF59" i="4"/>
  <c r="BF78" i="4" s="1"/>
  <c r="BC59" i="4"/>
  <c r="T8" i="91"/>
  <c r="T18" i="91" s="1"/>
  <c r="T27" i="91" s="1"/>
  <c r="AT59" i="4"/>
  <c r="AT78" i="4" s="1"/>
  <c r="AN59" i="4"/>
  <c r="S8" i="91"/>
  <c r="S18" i="91" s="1"/>
  <c r="S27" i="91" s="1"/>
  <c r="R8" i="91"/>
  <c r="R18" i="91" s="1"/>
  <c r="R27" i="91" s="1"/>
  <c r="F204" i="95"/>
  <c r="G204" i="95" s="1"/>
  <c r="AU42" i="85"/>
  <c r="G26" i="96"/>
  <c r="G27" i="96" s="1"/>
  <c r="G35" i="96" s="1"/>
  <c r="G23" i="96"/>
  <c r="AU27" i="85"/>
  <c r="E44" i="86"/>
  <c r="F30" i="85"/>
  <c r="E32" i="86"/>
  <c r="J267" i="73"/>
  <c r="F6" i="85"/>
  <c r="F274" i="95"/>
  <c r="F12" i="86"/>
  <c r="F146" i="95"/>
  <c r="G146" i="95" s="1"/>
  <c r="J253" i="73"/>
  <c r="DB35" i="4"/>
  <c r="J189" i="73"/>
  <c r="K189" i="73" s="1"/>
  <c r="G6" i="86"/>
  <c r="G12" i="86" s="1"/>
  <c r="C8" i="89"/>
  <c r="C10" i="89" s="1"/>
  <c r="E12" i="89" s="1"/>
  <c r="AU8" i="85"/>
  <c r="AV8" i="85" s="1"/>
  <c r="AW8" i="85" s="1"/>
  <c r="G145" i="100"/>
  <c r="M21" i="85"/>
  <c r="E12" i="86"/>
  <c r="E24" i="86"/>
  <c r="AU22" i="85"/>
  <c r="F22" i="85"/>
  <c r="DE35" i="4"/>
  <c r="DA35" i="4"/>
  <c r="CK78" i="4"/>
  <c r="F36" i="85"/>
  <c r="Y59" i="4"/>
  <c r="Y78" i="4" s="1"/>
  <c r="Q56" i="4"/>
  <c r="Q59" i="4" s="1"/>
  <c r="D15" i="85"/>
  <c r="E229" i="73"/>
  <c r="E231" i="73" s="1"/>
  <c r="H123" i="83"/>
  <c r="P8" i="83"/>
  <c r="E235" i="73"/>
  <c r="E236" i="73" s="1"/>
  <c r="K99" i="83" s="1"/>
  <c r="B74" i="83"/>
  <c r="C70" i="83" s="1"/>
  <c r="D9" i="85"/>
  <c r="E144" i="83"/>
  <c r="F144" i="83"/>
  <c r="AU7" i="85"/>
  <c r="F7" i="85"/>
  <c r="E38" i="86"/>
  <c r="D187" i="98"/>
  <c r="E187" i="98" s="1"/>
  <c r="F187" i="98" s="1"/>
  <c r="G187" i="98" s="1"/>
  <c r="H187" i="98" s="1"/>
  <c r="I187" i="98" s="1"/>
  <c r="B73" i="100"/>
  <c r="D206" i="98"/>
  <c r="D118" i="72"/>
  <c r="AE59" i="4"/>
  <c r="I15" i="32"/>
  <c r="H60" i="2"/>
  <c r="H61" i="2" s="1"/>
  <c r="F193" i="95"/>
  <c r="G193" i="95" s="1"/>
  <c r="G160" i="73"/>
  <c r="G211" i="73"/>
  <c r="E41" i="86"/>
  <c r="F39" i="85"/>
  <c r="AU39" i="85"/>
  <c r="D192" i="98"/>
  <c r="E192" i="98" s="1"/>
  <c r="F192" i="98" s="1"/>
  <c r="G192" i="98" s="1"/>
  <c r="H192" i="98" s="1"/>
  <c r="I192" i="98" s="1"/>
  <c r="D198" i="98"/>
  <c r="D18" i="85"/>
  <c r="H261" i="73"/>
  <c r="F280" i="95" s="1"/>
  <c r="F279" i="95" s="1"/>
  <c r="CZ16" i="4"/>
  <c r="F41" i="85"/>
  <c r="AU41" i="85"/>
  <c r="E43" i="86"/>
  <c r="D167" i="98"/>
  <c r="E167" i="98" s="1"/>
  <c r="F167" i="98" s="1"/>
  <c r="G167" i="98" s="1"/>
  <c r="H167" i="98" s="1"/>
  <c r="I167" i="98" s="1"/>
  <c r="E155" i="73"/>
  <c r="C276" i="95"/>
  <c r="C274" i="95" s="1"/>
  <c r="C272" i="95" s="1"/>
  <c r="E255" i="73"/>
  <c r="E253" i="73" s="1"/>
  <c r="G94" i="98"/>
  <c r="H97" i="98"/>
  <c r="C47" i="83"/>
  <c r="G39" i="98"/>
  <c r="F25" i="98"/>
  <c r="T4" i="97"/>
  <c r="F50" i="97"/>
  <c r="K8" i="83"/>
  <c r="L8" i="83"/>
  <c r="D146" i="98"/>
  <c r="DE15" i="4"/>
  <c r="DB15" i="4"/>
  <c r="H20" i="96"/>
  <c r="C120" i="84"/>
  <c r="C117" i="84"/>
  <c r="C119" i="84" s="1"/>
  <c r="C130" i="84" s="1"/>
  <c r="C149" i="84" s="1"/>
  <c r="C175" i="84" s="1"/>
  <c r="R42" i="96"/>
  <c r="R40" i="96" s="1"/>
  <c r="DA15" i="4"/>
  <c r="I50" i="97"/>
  <c r="Z51" i="85"/>
  <c r="AI51" i="85"/>
  <c r="AL51" i="85"/>
  <c r="AR51" i="85"/>
  <c r="W51" i="85"/>
  <c r="T51" i="85"/>
  <c r="AO51" i="85"/>
  <c r="Q51" i="85"/>
  <c r="AC51" i="85"/>
  <c r="D54" i="85"/>
  <c r="F54" i="85" s="1"/>
  <c r="G51" i="85"/>
  <c r="N51" i="85"/>
  <c r="F51" i="85"/>
  <c r="AF51" i="85"/>
  <c r="G198" i="98"/>
  <c r="H20" i="86"/>
  <c r="H23" i="86" s="1"/>
  <c r="H51" i="86" s="1"/>
  <c r="H56" i="86" s="1"/>
  <c r="E146" i="83"/>
  <c r="E148" i="83" s="1"/>
  <c r="D229" i="73"/>
  <c r="D235" i="73"/>
  <c r="D236" i="73" s="1"/>
  <c r="J99" i="83" s="1"/>
  <c r="E89" i="98"/>
  <c r="E146" i="98" s="1"/>
  <c r="F90" i="98"/>
  <c r="DA22" i="4"/>
  <c r="I27" i="98"/>
  <c r="D57" i="97"/>
  <c r="D55" i="97"/>
  <c r="D56" i="97"/>
  <c r="D54" i="97"/>
  <c r="D58" i="97"/>
  <c r="E34" i="86"/>
  <c r="F32" i="85"/>
  <c r="AU32" i="85"/>
  <c r="H26" i="96"/>
  <c r="C122" i="84"/>
  <c r="B122" i="84"/>
  <c r="J58" i="97"/>
  <c r="D186" i="98"/>
  <c r="E186" i="98" s="1"/>
  <c r="F186" i="98" s="1"/>
  <c r="G186" i="98" s="1"/>
  <c r="H186" i="98" s="1"/>
  <c r="I186" i="98" s="1"/>
  <c r="CH78" i="4"/>
  <c r="F207" i="95"/>
  <c r="G207" i="95" s="1"/>
  <c r="DB21" i="4"/>
  <c r="DE21" i="4"/>
  <c r="E21" i="86"/>
  <c r="AU19" i="85"/>
  <c r="D14" i="85"/>
  <c r="D156" i="87"/>
  <c r="G177" i="95"/>
  <c r="D210" i="98"/>
  <c r="D20" i="85"/>
  <c r="D169" i="98"/>
  <c r="E169" i="98" s="1"/>
  <c r="F169" i="98" s="1"/>
  <c r="G169" i="98" s="1"/>
  <c r="H169" i="98" s="1"/>
  <c r="I169" i="98" s="1"/>
  <c r="D168" i="98"/>
  <c r="E168" i="98" s="1"/>
  <c r="F168" i="98" s="1"/>
  <c r="G168" i="98" s="1"/>
  <c r="H168" i="98" s="1"/>
  <c r="I168" i="98" s="1"/>
  <c r="D162" i="98"/>
  <c r="D163" i="98"/>
  <c r="E163" i="98" s="1"/>
  <c r="F163" i="98" s="1"/>
  <c r="G163" i="98" s="1"/>
  <c r="H163" i="98" s="1"/>
  <c r="I163" i="98" s="1"/>
  <c r="G18" i="75"/>
  <c r="J15" i="75"/>
  <c r="J6" i="75" s="1"/>
  <c r="J36" i="75" s="1"/>
  <c r="J130" i="75" s="1"/>
  <c r="F200" i="95"/>
  <c r="G200" i="95" s="1"/>
  <c r="BU59" i="4"/>
  <c r="BU78" i="4" s="1"/>
  <c r="D156" i="98"/>
  <c r="E156" i="98" s="1"/>
  <c r="F156" i="98" s="1"/>
  <c r="G156" i="98" s="1"/>
  <c r="H156" i="98" s="1"/>
  <c r="I156" i="98" s="1"/>
  <c r="D190" i="98"/>
  <c r="E190" i="98" s="1"/>
  <c r="F190" i="98" s="1"/>
  <c r="G190" i="98" s="1"/>
  <c r="H190" i="98" s="1"/>
  <c r="I190" i="98" s="1"/>
  <c r="D203" i="98"/>
  <c r="AU47" i="85"/>
  <c r="F47" i="85"/>
  <c r="E49" i="86"/>
  <c r="D193" i="98"/>
  <c r="E193" i="98" s="1"/>
  <c r="F193" i="98" s="1"/>
  <c r="G193" i="98" s="1"/>
  <c r="H193" i="98" s="1"/>
  <c r="I193" i="98" s="1"/>
  <c r="D185" i="98"/>
  <c r="E185" i="98" s="1"/>
  <c r="F185" i="98" s="1"/>
  <c r="G185" i="98" s="1"/>
  <c r="H185" i="98" s="1"/>
  <c r="I185" i="98" s="1"/>
  <c r="F37" i="85"/>
  <c r="AU37" i="85"/>
  <c r="E39" i="86"/>
  <c r="D204" i="98"/>
  <c r="DB22" i="4"/>
  <c r="DE22" i="4"/>
  <c r="P67" i="94"/>
  <c r="Q67" i="94" s="1"/>
  <c r="D43" i="85"/>
  <c r="F243" i="95"/>
  <c r="G243" i="95" s="1"/>
  <c r="AU26" i="85"/>
  <c r="E28" i="86"/>
  <c r="F26" i="85"/>
  <c r="D154" i="98"/>
  <c r="E154" i="98" s="1"/>
  <c r="F154" i="98" s="1"/>
  <c r="G154" i="98" s="1"/>
  <c r="H154" i="98" s="1"/>
  <c r="I154" i="98" s="1"/>
  <c r="D12" i="85"/>
  <c r="D175" i="98"/>
  <c r="E175" i="98" s="1"/>
  <c r="F175" i="98" s="1"/>
  <c r="G175" i="98" s="1"/>
  <c r="H175" i="98" s="1"/>
  <c r="I175" i="98" s="1"/>
  <c r="AK78" i="4"/>
  <c r="D172" i="98"/>
  <c r="E172" i="98" s="1"/>
  <c r="F172" i="98" s="1"/>
  <c r="G172" i="98" s="1"/>
  <c r="H172" i="98" s="1"/>
  <c r="I172" i="98" s="1"/>
  <c r="D178" i="98"/>
  <c r="E178" i="98" s="1"/>
  <c r="F178" i="98" s="1"/>
  <c r="G178" i="98" s="1"/>
  <c r="H178" i="98" s="1"/>
  <c r="I178" i="98" s="1"/>
  <c r="E151" i="98"/>
  <c r="D171" i="98"/>
  <c r="E171" i="98" s="1"/>
  <c r="F171" i="98" s="1"/>
  <c r="G171" i="98" s="1"/>
  <c r="H171" i="98" s="1"/>
  <c r="I171" i="98" s="1"/>
  <c r="D170" i="98"/>
  <c r="E170" i="98" s="1"/>
  <c r="F170" i="98" s="1"/>
  <c r="G170" i="98" s="1"/>
  <c r="H170" i="98" s="1"/>
  <c r="I170" i="98" s="1"/>
  <c r="E37" i="86"/>
  <c r="AU35" i="85"/>
  <c r="D155" i="98"/>
  <c r="E155" i="98" s="1"/>
  <c r="F155" i="98" s="1"/>
  <c r="G155" i="98" s="1"/>
  <c r="H155" i="98" s="1"/>
  <c r="I155" i="98" s="1"/>
  <c r="I217" i="94"/>
  <c r="D152" i="98"/>
  <c r="E152" i="98" s="1"/>
  <c r="F152" i="98" s="1"/>
  <c r="G152" i="98" s="1"/>
  <c r="H152" i="98" s="1"/>
  <c r="I152" i="98" s="1"/>
  <c r="G231" i="95"/>
  <c r="D205" i="98"/>
  <c r="D16" i="85"/>
  <c r="D189" i="98"/>
  <c r="E189" i="98" s="1"/>
  <c r="F189" i="98" s="1"/>
  <c r="G189" i="98" s="1"/>
  <c r="H189" i="98" s="1"/>
  <c r="I189" i="98" s="1"/>
  <c r="H42" i="96"/>
  <c r="H40" i="96" s="1"/>
  <c r="D173" i="98"/>
  <c r="E173" i="98" s="1"/>
  <c r="F173" i="98" s="1"/>
  <c r="G173" i="98" s="1"/>
  <c r="H173" i="98" s="1"/>
  <c r="I173" i="98" s="1"/>
  <c r="DA21" i="4"/>
  <c r="CE59" i="4"/>
  <c r="CE78" i="4" s="1"/>
  <c r="F206" i="95"/>
  <c r="G206" i="95" s="1"/>
  <c r="D174" i="98"/>
  <c r="E174" i="98" s="1"/>
  <c r="F174" i="98" s="1"/>
  <c r="G174" i="98" s="1"/>
  <c r="H174" i="98" s="1"/>
  <c r="I174" i="98" s="1"/>
  <c r="D31" i="96" l="1"/>
  <c r="E29" i="96"/>
  <c r="E31" i="96" s="1"/>
  <c r="F28" i="85"/>
  <c r="J160" i="73"/>
  <c r="K160" i="73" s="1"/>
  <c r="AU28" i="85"/>
  <c r="F147" i="95"/>
  <c r="G147" i="95" s="1"/>
  <c r="H18" i="96"/>
  <c r="H23" i="96" s="1"/>
  <c r="F175" i="95"/>
  <c r="G175" i="95" s="1"/>
  <c r="F272" i="95"/>
  <c r="H6" i="86"/>
  <c r="I6" i="86" s="1"/>
  <c r="C71" i="83"/>
  <c r="C72" i="83"/>
  <c r="C73" i="83"/>
  <c r="O11" i="83"/>
  <c r="E230" i="73"/>
  <c r="F148" i="83"/>
  <c r="F9" i="85"/>
  <c r="AU9" i="85"/>
  <c r="H260" i="73"/>
  <c r="G170" i="73"/>
  <c r="G159" i="73" s="1"/>
  <c r="G229" i="73" s="1"/>
  <c r="E20" i="86"/>
  <c r="E23" i="86" s="1"/>
  <c r="F18" i="85"/>
  <c r="AU18" i="85"/>
  <c r="DE16" i="4"/>
  <c r="DB16" i="4"/>
  <c r="D13" i="85"/>
  <c r="AU13" i="85" s="1"/>
  <c r="AE51" i="85"/>
  <c r="AC54" i="85"/>
  <c r="AE54" i="85" s="1"/>
  <c r="W54" i="85"/>
  <c r="Y54" i="85" s="1"/>
  <c r="Y51" i="85"/>
  <c r="AB51" i="85"/>
  <c r="Z54" i="85"/>
  <c r="AB54" i="85" s="1"/>
  <c r="F56" i="97"/>
  <c r="F54" i="97"/>
  <c r="F58" i="97" s="1"/>
  <c r="E50" i="97"/>
  <c r="F55" i="97"/>
  <c r="F57" i="97"/>
  <c r="E47" i="83"/>
  <c r="E45" i="83"/>
  <c r="E44" i="83"/>
  <c r="E46" i="83"/>
  <c r="E42" i="83"/>
  <c r="M51" i="85"/>
  <c r="G54" i="85"/>
  <c r="N54" i="85"/>
  <c r="P54" i="85" s="1"/>
  <c r="P51" i="85"/>
  <c r="Q54" i="85"/>
  <c r="S54" i="85" s="1"/>
  <c r="S51" i="85"/>
  <c r="AT51" i="85"/>
  <c r="AR54" i="85"/>
  <c r="AU51" i="85"/>
  <c r="DA16" i="4"/>
  <c r="D158" i="98"/>
  <c r="E158" i="98" s="1"/>
  <c r="F158" i="98" s="1"/>
  <c r="G158" i="98" s="1"/>
  <c r="H158" i="98" s="1"/>
  <c r="I158" i="98" s="1"/>
  <c r="I97" i="98"/>
  <c r="I94" i="98" s="1"/>
  <c r="H94" i="98"/>
  <c r="I26" i="96"/>
  <c r="I18" i="96"/>
  <c r="D230" i="73"/>
  <c r="D231" i="73"/>
  <c r="AQ51" i="85"/>
  <c r="AO54" i="85"/>
  <c r="AQ54" i="85" s="1"/>
  <c r="AN51" i="85"/>
  <c r="AL54" i="85"/>
  <c r="AN54" i="85" s="1"/>
  <c r="I57" i="97"/>
  <c r="I56" i="97"/>
  <c r="I54" i="97"/>
  <c r="I58" i="97" s="1"/>
  <c r="I55" i="97"/>
  <c r="H27" i="96"/>
  <c r="H35" i="96" s="1"/>
  <c r="G90" i="98"/>
  <c r="F89" i="98"/>
  <c r="F146" i="98" s="1"/>
  <c r="AF54" i="85"/>
  <c r="AH54" i="85" s="1"/>
  <c r="AH51" i="85"/>
  <c r="V51" i="85"/>
  <c r="T54" i="85"/>
  <c r="V54" i="85" s="1"/>
  <c r="AK51" i="85"/>
  <c r="AI54" i="85"/>
  <c r="AK54" i="85" s="1"/>
  <c r="H39" i="98"/>
  <c r="G25" i="98"/>
  <c r="E43" i="83"/>
  <c r="H160" i="73"/>
  <c r="D202" i="98"/>
  <c r="H211" i="73"/>
  <c r="F151" i="98"/>
  <c r="E18" i="75"/>
  <c r="E15" i="75" s="1"/>
  <c r="G15" i="75"/>
  <c r="D177" i="98"/>
  <c r="D164" i="98"/>
  <c r="E164" i="98" s="1"/>
  <c r="F164" i="98" s="1"/>
  <c r="G164" i="98" s="1"/>
  <c r="H164" i="98" s="1"/>
  <c r="I164" i="98" s="1"/>
  <c r="F15" i="85"/>
  <c r="AU15" i="85"/>
  <c r="E18" i="86"/>
  <c r="F18" i="86" s="1"/>
  <c r="G18" i="86" s="1"/>
  <c r="H18" i="86" s="1"/>
  <c r="I18" i="86" s="1"/>
  <c r="J18" i="86" s="1"/>
  <c r="AU12" i="85"/>
  <c r="F12" i="85"/>
  <c r="E15" i="86"/>
  <c r="F15" i="86" s="1"/>
  <c r="G15" i="86" s="1"/>
  <c r="H15" i="86" s="1"/>
  <c r="I15" i="86" s="1"/>
  <c r="J15" i="86" s="1"/>
  <c r="D165" i="98"/>
  <c r="E165" i="98" s="1"/>
  <c r="F165" i="98" s="1"/>
  <c r="G165" i="98" s="1"/>
  <c r="H165" i="98" s="1"/>
  <c r="I165" i="98" s="1"/>
  <c r="H170" i="73"/>
  <c r="F20" i="85"/>
  <c r="AU20" i="85"/>
  <c r="F16" i="85"/>
  <c r="E19" i="86"/>
  <c r="F19" i="86" s="1"/>
  <c r="G19" i="86" s="1"/>
  <c r="H19" i="86" s="1"/>
  <c r="I19" i="86" s="1"/>
  <c r="J19" i="86" s="1"/>
  <c r="AU16" i="85"/>
  <c r="F14" i="85"/>
  <c r="E17" i="86"/>
  <c r="F17" i="86" s="1"/>
  <c r="G17" i="86" s="1"/>
  <c r="H17" i="86" s="1"/>
  <c r="I17" i="86" s="1"/>
  <c r="J17" i="86" s="1"/>
  <c r="AU14" i="85"/>
  <c r="AU43" i="85"/>
  <c r="E45" i="86"/>
  <c r="F43" i="85"/>
  <c r="E162" i="98"/>
  <c r="E30" i="96" l="1"/>
  <c r="F29" i="96"/>
  <c r="G29" i="96" s="1"/>
  <c r="H198" i="98"/>
  <c r="I23" i="96"/>
  <c r="H253" i="73"/>
  <c r="H266" i="73"/>
  <c r="J265" i="73" s="1"/>
  <c r="H12" i="86"/>
  <c r="I20" i="86"/>
  <c r="I23" i="86" s="1"/>
  <c r="I51" i="86" s="1"/>
  <c r="I56" i="86" s="1"/>
  <c r="F176" i="95"/>
  <c r="G176" i="95" s="1"/>
  <c r="Q11" i="83"/>
  <c r="Q9" i="83"/>
  <c r="P11" i="83"/>
  <c r="J123" i="83"/>
  <c r="Q10" i="83"/>
  <c r="Q8" i="83"/>
  <c r="E177" i="98"/>
  <c r="F177" i="98" s="1"/>
  <c r="G177" i="98" s="1"/>
  <c r="H177" i="98" s="1"/>
  <c r="I177" i="98" s="1"/>
  <c r="E16" i="86"/>
  <c r="F16" i="86" s="1"/>
  <c r="G16" i="86" s="1"/>
  <c r="H16" i="86" s="1"/>
  <c r="I16" i="86" s="1"/>
  <c r="J16" i="86" s="1"/>
  <c r="H267" i="73"/>
  <c r="H265" i="73" s="1"/>
  <c r="F13" i="85"/>
  <c r="B70" i="100"/>
  <c r="D11" i="85"/>
  <c r="V8" i="100"/>
  <c r="W8" i="100" s="1"/>
  <c r="B99" i="100" s="1"/>
  <c r="J6" i="86"/>
  <c r="J12" i="86" s="1"/>
  <c r="I12" i="86"/>
  <c r="J26" i="96"/>
  <c r="J18" i="96"/>
  <c r="J23" i="96" s="1"/>
  <c r="I27" i="96"/>
  <c r="I35" i="96" s="1"/>
  <c r="M54" i="85"/>
  <c r="M55" i="85" s="1"/>
  <c r="G55" i="85"/>
  <c r="N5" i="85" s="1"/>
  <c r="E57" i="97"/>
  <c r="E54" i="97"/>
  <c r="E58" i="97" s="1"/>
  <c r="D60" i="97" s="1"/>
  <c r="H90" i="98"/>
  <c r="G89" i="98"/>
  <c r="G146" i="98" s="1"/>
  <c r="I39" i="98"/>
  <c r="I25" i="98" s="1"/>
  <c r="H25" i="98"/>
  <c r="J20" i="86"/>
  <c r="J23" i="86" s="1"/>
  <c r="J51" i="86" s="1"/>
  <c r="J56" i="86" s="1"/>
  <c r="I198" i="98"/>
  <c r="AT54" i="85"/>
  <c r="AU54" i="85"/>
  <c r="E55" i="97"/>
  <c r="E56" i="97"/>
  <c r="G151" i="98"/>
  <c r="F162" i="98"/>
  <c r="B72" i="100"/>
  <c r="V10" i="100"/>
  <c r="B71" i="100"/>
  <c r="V9" i="100"/>
  <c r="H159" i="73"/>
  <c r="F31" i="96" l="1"/>
  <c r="F30" i="96"/>
  <c r="D149" i="98"/>
  <c r="D217" i="98" s="1"/>
  <c r="I133" i="83"/>
  <c r="H133" i="83"/>
  <c r="H29" i="96"/>
  <c r="G30" i="96"/>
  <c r="G31" i="96"/>
  <c r="H229" i="73"/>
  <c r="H235" i="73"/>
  <c r="H236" i="73" s="1"/>
  <c r="E149" i="98"/>
  <c r="E216" i="98" s="1"/>
  <c r="E217" i="98" s="1"/>
  <c r="I90" i="98"/>
  <c r="I89" i="98" s="1"/>
  <c r="I146" i="98" s="1"/>
  <c r="H89" i="98"/>
  <c r="H146" i="98" s="1"/>
  <c r="K26" i="96"/>
  <c r="K18" i="96"/>
  <c r="K23" i="96" s="1"/>
  <c r="J27" i="96"/>
  <c r="J35" i="96" s="1"/>
  <c r="F11" i="85"/>
  <c r="AU11" i="85"/>
  <c r="E14" i="86"/>
  <c r="D10" i="85"/>
  <c r="N17" i="85"/>
  <c r="N21" i="85" s="1"/>
  <c r="O5" i="85"/>
  <c r="B74" i="100"/>
  <c r="C71" i="100" s="1"/>
  <c r="W10" i="100"/>
  <c r="D99" i="100" s="1"/>
  <c r="G162" i="98"/>
  <c r="F149" i="98"/>
  <c r="F217" i="98" s="1"/>
  <c r="H151" i="98"/>
  <c r="W9" i="100"/>
  <c r="C99" i="100" s="1"/>
  <c r="V11" i="100" l="1"/>
  <c r="X10" i="100" s="1"/>
  <c r="H230" i="73"/>
  <c r="H231" i="73"/>
  <c r="I29" i="96"/>
  <c r="H30" i="96"/>
  <c r="H31" i="96"/>
  <c r="L124" i="100"/>
  <c r="K136" i="100" s="1"/>
  <c r="E13" i="86"/>
  <c r="F14" i="86"/>
  <c r="C72" i="100"/>
  <c r="N50" i="85"/>
  <c r="AU10" i="85"/>
  <c r="F10" i="85"/>
  <c r="D17" i="85"/>
  <c r="L18" i="96"/>
  <c r="L23" i="96" s="1"/>
  <c r="L26" i="96"/>
  <c r="K27" i="96"/>
  <c r="K35" i="96" s="1"/>
  <c r="O17" i="85"/>
  <c r="O21" i="85" s="1"/>
  <c r="O50" i="85" s="1"/>
  <c r="O55" i="85" s="1"/>
  <c r="P5" i="85"/>
  <c r="P17" i="85" s="1"/>
  <c r="I151" i="98"/>
  <c r="G149" i="98"/>
  <c r="G216" i="98" s="1"/>
  <c r="G217" i="98" s="1"/>
  <c r="H162" i="98"/>
  <c r="C73" i="100"/>
  <c r="C70" i="100"/>
  <c r="X9" i="100" l="1"/>
  <c r="X11" i="100"/>
  <c r="W11" i="100"/>
  <c r="E99" i="100" s="1"/>
  <c r="X8" i="100"/>
  <c r="J136" i="100"/>
  <c r="J29" i="96"/>
  <c r="I30" i="96"/>
  <c r="I31" i="96"/>
  <c r="D21" i="85"/>
  <c r="F17" i="85"/>
  <c r="F13" i="86"/>
  <c r="G14" i="86"/>
  <c r="M18" i="96"/>
  <c r="M23" i="96" s="1"/>
  <c r="L27" i="96"/>
  <c r="L35" i="96" s="1"/>
  <c r="M26" i="96"/>
  <c r="N55" i="85"/>
  <c r="Q5" i="85" s="1"/>
  <c r="P50" i="85"/>
  <c r="P55" i="85" s="1"/>
  <c r="P21" i="85"/>
  <c r="I162" i="98"/>
  <c r="I149" i="98" s="1"/>
  <c r="I216" i="98" s="1"/>
  <c r="I217" i="98" s="1"/>
  <c r="H149" i="98"/>
  <c r="H216" i="98" s="1"/>
  <c r="H217" i="98" s="1"/>
  <c r="K29" i="96" l="1"/>
  <c r="J30" i="96"/>
  <c r="J31" i="96"/>
  <c r="Q17" i="85"/>
  <c r="Q21" i="85" s="1"/>
  <c r="R5" i="85"/>
  <c r="R17" i="85" s="1"/>
  <c r="R21" i="85" s="1"/>
  <c r="R50" i="85" s="1"/>
  <c r="R55" i="85" s="1"/>
  <c r="G13" i="86"/>
  <c r="H14" i="86"/>
  <c r="N26" i="96"/>
  <c r="N18" i="96"/>
  <c r="N23" i="96" s="1"/>
  <c r="M27" i="96"/>
  <c r="M35" i="96" s="1"/>
  <c r="F21" i="85"/>
  <c r="L29" i="96" l="1"/>
  <c r="K30" i="96"/>
  <c r="K31" i="96"/>
  <c r="N27" i="96"/>
  <c r="N35" i="96" s="1"/>
  <c r="O26" i="96"/>
  <c r="O18" i="96"/>
  <c r="O23" i="96" s="1"/>
  <c r="Q50" i="85"/>
  <c r="S21" i="85"/>
  <c r="I14" i="86"/>
  <c r="H13" i="86"/>
  <c r="S5" i="85"/>
  <c r="S17" i="85" s="1"/>
  <c r="M29" i="96" l="1"/>
  <c r="L30" i="96"/>
  <c r="L31" i="96"/>
  <c r="Q55" i="85"/>
  <c r="T5" i="85" s="1"/>
  <c r="S50" i="85"/>
  <c r="S55" i="85" s="1"/>
  <c r="P18" i="96"/>
  <c r="P23" i="96" s="1"/>
  <c r="O27" i="96"/>
  <c r="O35" i="96" s="1"/>
  <c r="P26" i="96"/>
  <c r="J14" i="86"/>
  <c r="J13" i="86" s="1"/>
  <c r="I13" i="86"/>
  <c r="N29" i="96" l="1"/>
  <c r="M30" i="96"/>
  <c r="M31" i="96"/>
  <c r="P27" i="96"/>
  <c r="P35" i="96" s="1"/>
  <c r="Q26" i="96"/>
  <c r="Q18" i="96"/>
  <c r="Q23" i="96" s="1"/>
  <c r="U5" i="85"/>
  <c r="T17" i="85"/>
  <c r="T21" i="85" s="1"/>
  <c r="O29" i="96" l="1"/>
  <c r="N30" i="96"/>
  <c r="N31" i="96"/>
  <c r="T50" i="85"/>
  <c r="R18" i="96"/>
  <c r="R23" i="96" s="1"/>
  <c r="R26" i="96"/>
  <c r="Q27" i="96"/>
  <c r="Q35" i="96" s="1"/>
  <c r="U17" i="85"/>
  <c r="U21" i="85" s="1"/>
  <c r="U50" i="85" s="1"/>
  <c r="U55" i="85" s="1"/>
  <c r="V5" i="85"/>
  <c r="V17" i="85" s="1"/>
  <c r="P29" i="96" l="1"/>
  <c r="O30" i="96"/>
  <c r="O31" i="96"/>
  <c r="S26" i="96"/>
  <c r="S18" i="96"/>
  <c r="S23" i="96" s="1"/>
  <c r="R27" i="96"/>
  <c r="R35" i="96" s="1"/>
  <c r="T55" i="85"/>
  <c r="W5" i="85" s="1"/>
  <c r="V50" i="85"/>
  <c r="V55" i="85" s="1"/>
  <c r="V21" i="85"/>
  <c r="Q29" i="96" l="1"/>
  <c r="P30" i="96"/>
  <c r="P31" i="96"/>
  <c r="W17" i="85"/>
  <c r="W21" i="85" s="1"/>
  <c r="X5" i="85"/>
  <c r="T26" i="96"/>
  <c r="S27" i="96"/>
  <c r="S35" i="96" s="1"/>
  <c r="T18" i="96"/>
  <c r="T23" i="96" s="1"/>
  <c r="R29" i="96" l="1"/>
  <c r="Q30" i="96"/>
  <c r="Q31" i="96"/>
  <c r="X17" i="85"/>
  <c r="X21" i="85" s="1"/>
  <c r="X50" i="85" s="1"/>
  <c r="X55" i="85" s="1"/>
  <c r="Y5" i="85"/>
  <c r="Y17" i="85" s="1"/>
  <c r="T27" i="96"/>
  <c r="T35" i="96" s="1"/>
  <c r="U18" i="96"/>
  <c r="U23" i="96" s="1"/>
  <c r="U26" i="96"/>
  <c r="W50" i="85"/>
  <c r="S29" i="96" l="1"/>
  <c r="R30" i="96"/>
  <c r="R31" i="96"/>
  <c r="Y50" i="85"/>
  <c r="Y55" i="85" s="1"/>
  <c r="W55" i="85"/>
  <c r="Z5" i="85" s="1"/>
  <c r="U27" i="96"/>
  <c r="U35" i="96" s="1"/>
  <c r="V26" i="96"/>
  <c r="V27" i="96" s="1"/>
  <c r="V35" i="96" s="1"/>
  <c r="Y21" i="85"/>
  <c r="T29" i="96" l="1"/>
  <c r="S30" i="96"/>
  <c r="S31" i="96"/>
  <c r="Z17" i="85"/>
  <c r="Z21" i="85" s="1"/>
  <c r="AA5" i="85"/>
  <c r="U29" i="96" l="1"/>
  <c r="T30" i="96"/>
  <c r="T31" i="96"/>
  <c r="AA17" i="85"/>
  <c r="AA21" i="85" s="1"/>
  <c r="AA50" i="85" s="1"/>
  <c r="AA55" i="85" s="1"/>
  <c r="AB5" i="85"/>
  <c r="AB17" i="85" s="1"/>
  <c r="Z50" i="85"/>
  <c r="V29" i="96" l="1"/>
  <c r="U30" i="96"/>
  <c r="U31" i="96"/>
  <c r="AB21" i="85"/>
  <c r="Z55" i="85"/>
  <c r="AC5" i="85" s="1"/>
  <c r="AB50" i="85"/>
  <c r="AB55" i="85" s="1"/>
  <c r="V30" i="96" l="1"/>
  <c r="V31" i="96"/>
  <c r="AD5" i="85"/>
  <c r="AD17" i="85" s="1"/>
  <c r="AD21" i="85" s="1"/>
  <c r="AD50" i="85" s="1"/>
  <c r="AD55" i="85" s="1"/>
  <c r="AC17" i="85"/>
  <c r="AC21" i="85" s="1"/>
  <c r="AE5" i="85" l="1"/>
  <c r="AE17" i="85" s="1"/>
  <c r="AC50" i="85"/>
  <c r="AE21" i="85"/>
  <c r="AC55" i="85" l="1"/>
  <c r="AF5" i="85" s="1"/>
  <c r="AE50" i="85"/>
  <c r="AE55" i="85" s="1"/>
  <c r="AF17" i="85" l="1"/>
  <c r="AF21" i="85" s="1"/>
  <c r="AG5" i="85"/>
  <c r="AG17" i="85" l="1"/>
  <c r="AG21" i="85" s="1"/>
  <c r="AG50" i="85" s="1"/>
  <c r="AG55" i="85" s="1"/>
  <c r="AH5" i="85"/>
  <c r="AH17" i="85" s="1"/>
  <c r="AF50" i="85"/>
  <c r="AH21" i="85" l="1"/>
  <c r="AH50" i="85"/>
  <c r="AH55" i="85" s="1"/>
  <c r="AF55" i="85"/>
  <c r="AI5" i="85" s="1"/>
  <c r="AI17" i="85" l="1"/>
  <c r="AI21" i="85" s="1"/>
  <c r="AJ5" i="85"/>
  <c r="AJ17" i="85" s="1"/>
  <c r="AJ21" i="85" s="1"/>
  <c r="AJ50" i="85" s="1"/>
  <c r="AJ55" i="85" s="1"/>
  <c r="AK5" i="85" l="1"/>
  <c r="AK17" i="85" s="1"/>
  <c r="AI50" i="85"/>
  <c r="AK21" i="85"/>
  <c r="AK50" i="85" l="1"/>
  <c r="AK55" i="85" s="1"/>
  <c r="AI55" i="85"/>
  <c r="AL5" i="85" s="1"/>
  <c r="AM5" i="85" l="1"/>
  <c r="AM17" i="85" s="1"/>
  <c r="AM21" i="85" s="1"/>
  <c r="AM50" i="85" s="1"/>
  <c r="AM55" i="85" s="1"/>
  <c r="AL17" i="85"/>
  <c r="AL21" i="85" s="1"/>
  <c r="AL50" i="85" l="1"/>
  <c r="AN21" i="85"/>
  <c r="AN5" i="85"/>
  <c r="AN17" i="85" s="1"/>
  <c r="AL55" i="85" l="1"/>
  <c r="AO5" i="85" s="1"/>
  <c r="AN50" i="85"/>
  <c r="AN55" i="85" s="1"/>
  <c r="AP5" i="85" l="1"/>
  <c r="AO17" i="85"/>
  <c r="AO21" i="85" s="1"/>
  <c r="AO50" i="85" l="1"/>
  <c r="AP17" i="85"/>
  <c r="AP21" i="85" s="1"/>
  <c r="AP50" i="85" s="1"/>
  <c r="AP55" i="85" s="1"/>
  <c r="AQ5" i="85"/>
  <c r="AQ17" i="85" s="1"/>
  <c r="AQ21" i="85" l="1"/>
  <c r="AQ50" i="85"/>
  <c r="AQ55" i="85" s="1"/>
  <c r="AO55" i="85"/>
  <c r="AR5" i="85" s="1"/>
  <c r="AR17" i="85" l="1"/>
  <c r="AS5" i="85"/>
  <c r="AS55" i="85" s="1"/>
  <c r="AT5" i="85" l="1"/>
  <c r="AT17" i="85"/>
  <c r="AR21" i="85"/>
  <c r="AR50" i="85" l="1"/>
  <c r="AT21" i="85"/>
  <c r="AT50" i="85" l="1"/>
  <c r="AR55" i="85"/>
  <c r="AT55" i="85" s="1"/>
  <c r="BM31" i="4" l="1"/>
  <c r="CZ31" i="4" l="1"/>
  <c r="I31" i="4"/>
  <c r="BM56" i="4"/>
  <c r="DA31" i="4" l="1"/>
  <c r="F196" i="95"/>
  <c r="BM59" i="4"/>
  <c r="J185" i="73"/>
  <c r="K185" i="73" s="1"/>
  <c r="DE31" i="4"/>
  <c r="DB31" i="4"/>
  <c r="BM78" i="4" l="1"/>
  <c r="G196" i="95"/>
  <c r="K213" i="94" l="1"/>
  <c r="L213" i="94" s="1"/>
  <c r="CX62" i="4" l="1"/>
  <c r="K211" i="94"/>
  <c r="L211" i="94" s="1"/>
  <c r="L171" i="94" l="1"/>
  <c r="K214" i="94"/>
  <c r="CX73" i="4"/>
  <c r="I334" i="35"/>
  <c r="CZ68" i="4"/>
  <c r="I68" i="4"/>
  <c r="D49" i="85"/>
  <c r="L214" i="94" l="1"/>
  <c r="DA68" i="4"/>
  <c r="D38" i="85"/>
  <c r="P214" i="94"/>
  <c r="Q214" i="94" s="1"/>
  <c r="CX78" i="4"/>
  <c r="F259" i="95"/>
  <c r="G259" i="95" s="1"/>
  <c r="E50" i="86"/>
  <c r="F49" i="85"/>
  <c r="AU49" i="85"/>
  <c r="J219" i="73"/>
  <c r="K219" i="73" s="1"/>
  <c r="DE68" i="4"/>
  <c r="DB68" i="4"/>
  <c r="I16" i="34"/>
  <c r="E40" i="86" l="1"/>
  <c r="F38" i="85"/>
  <c r="AU38" i="85"/>
  <c r="CP34" i="4" l="1"/>
  <c r="CP56" i="4" l="1"/>
  <c r="CP59" i="4" s="1"/>
  <c r="CP78" i="4" s="1"/>
  <c r="CO34" i="4"/>
  <c r="H112" i="87" l="1"/>
  <c r="I112" i="87" s="1"/>
  <c r="CZ34" i="4"/>
  <c r="CO56" i="4"/>
  <c r="I34" i="4"/>
  <c r="F155" i="87" l="1"/>
  <c r="F156" i="87" s="1"/>
  <c r="J188" i="73"/>
  <c r="K188" i="73" s="1"/>
  <c r="DE34" i="4"/>
  <c r="DB34" i="4"/>
  <c r="F210" i="95"/>
  <c r="CO59" i="4"/>
  <c r="DA34" i="4"/>
  <c r="CO78" i="4" l="1"/>
  <c r="G210" i="95"/>
  <c r="L51" i="94" l="1"/>
  <c r="AN62" i="4" l="1"/>
  <c r="K78" i="94"/>
  <c r="L78" i="94" s="1"/>
  <c r="K79" i="94" l="1"/>
  <c r="L79" i="94" s="1"/>
  <c r="AN73" i="4"/>
  <c r="H107" i="35"/>
  <c r="I107" i="35" s="1"/>
  <c r="P79" i="94" l="1"/>
  <c r="Q79" i="94" s="1"/>
  <c r="D33" i="85"/>
  <c r="F244" i="95"/>
  <c r="AN78" i="4"/>
  <c r="G244" i="95" l="1"/>
  <c r="E35" i="86"/>
  <c r="F35" i="86" s="1"/>
  <c r="F26" i="86" s="1"/>
  <c r="F51" i="86" s="1"/>
  <c r="F56" i="86" s="1"/>
  <c r="AU33" i="85"/>
  <c r="K182" i="94" l="1"/>
  <c r="L182" i="94" s="1"/>
  <c r="K188" i="94" l="1"/>
  <c r="L188" i="94" l="1"/>
  <c r="BY62" i="4"/>
  <c r="BJ63" i="4" l="1"/>
  <c r="BJ73" i="4" s="1"/>
  <c r="K105" i="94"/>
  <c r="L105" i="94" s="1"/>
  <c r="BC62" i="4"/>
  <c r="K99" i="94"/>
  <c r="L99" i="94" s="1"/>
  <c r="H296" i="35"/>
  <c r="I296" i="35" s="1"/>
  <c r="BY73" i="4"/>
  <c r="AE63" i="4"/>
  <c r="K107" i="94" l="1"/>
  <c r="P107" i="94"/>
  <c r="D46" i="85"/>
  <c r="F228" i="95"/>
  <c r="G228" i="95" s="1"/>
  <c r="BJ78" i="4"/>
  <c r="H33" i="30"/>
  <c r="K100" i="94"/>
  <c r="L100" i="94" s="1"/>
  <c r="H140" i="35"/>
  <c r="I140" i="35" s="1"/>
  <c r="BC73" i="4"/>
  <c r="F250" i="95"/>
  <c r="D31" i="85"/>
  <c r="P188" i="94"/>
  <c r="Q188" i="94" s="1"/>
  <c r="BY78" i="4"/>
  <c r="Q107" i="94" l="1"/>
  <c r="L107" i="94"/>
  <c r="AU46" i="85"/>
  <c r="E48" i="86"/>
  <c r="F46" i="85"/>
  <c r="D45" i="85"/>
  <c r="P100" i="94"/>
  <c r="Q100" i="94" s="1"/>
  <c r="F226" i="95"/>
  <c r="BC78" i="4"/>
  <c r="E33" i="86"/>
  <c r="AU31" i="85"/>
  <c r="F31" i="85"/>
  <c r="G250" i="95"/>
  <c r="G226" i="95" l="1"/>
  <c r="E47" i="86"/>
  <c r="F45" i="85"/>
  <c r="AU45" i="85"/>
  <c r="F164" i="95" l="1"/>
  <c r="G164" i="95" l="1"/>
  <c r="F165" i="95"/>
  <c r="F166" i="95" l="1"/>
  <c r="G165" i="95"/>
  <c r="G166" i="95" l="1"/>
  <c r="F167" i="95"/>
  <c r="G167" i="95" s="1"/>
  <c r="K48" i="94" l="1"/>
  <c r="K46" i="94"/>
  <c r="L46" i="94" s="1"/>
  <c r="L48" i="94" l="1"/>
  <c r="K53" i="94"/>
  <c r="AE62" i="4"/>
  <c r="I63" i="35" l="1"/>
  <c r="AE73" i="4"/>
  <c r="L53" i="94"/>
  <c r="F234" i="95" l="1"/>
  <c r="AE78" i="4"/>
  <c r="D25" i="85"/>
  <c r="P53" i="94"/>
  <c r="Q53" i="94" s="1"/>
  <c r="E27" i="86" l="1"/>
  <c r="F25" i="85"/>
  <c r="AU25" i="85"/>
  <c r="G234" i="95"/>
  <c r="K167" i="94" l="1"/>
  <c r="L167" i="94" l="1"/>
  <c r="K166" i="94" l="1"/>
  <c r="L166" i="94" l="1"/>
  <c r="K164" i="94" l="1"/>
  <c r="K163" i="94"/>
  <c r="L164" i="94" l="1"/>
  <c r="L163" i="94"/>
  <c r="BQ47" i="4" l="1"/>
  <c r="CZ47" i="4" l="1"/>
  <c r="I47" i="4"/>
  <c r="BQ56" i="4"/>
  <c r="K121" i="94" l="1"/>
  <c r="L121" i="94" s="1"/>
  <c r="F198" i="95"/>
  <c r="BQ59" i="4"/>
  <c r="CZ59" i="4" s="1"/>
  <c r="CZ56" i="4"/>
  <c r="J201" i="73"/>
  <c r="DB47" i="4"/>
  <c r="DE47" i="4"/>
  <c r="I56" i="4"/>
  <c r="DA47" i="4"/>
  <c r="K140" i="94" l="1"/>
  <c r="L140" i="94" s="1"/>
  <c r="K201" i="73"/>
  <c r="J170" i="73"/>
  <c r="I59" i="4"/>
  <c r="DA59" i="4" s="1"/>
  <c r="DB56" i="4"/>
  <c r="DE56" i="4"/>
  <c r="DA56" i="4"/>
  <c r="G198" i="95"/>
  <c r="F220" i="95"/>
  <c r="DB59" i="4" l="1"/>
  <c r="DE59" i="4"/>
  <c r="K170" i="73"/>
  <c r="J159" i="73"/>
  <c r="F221" i="95"/>
  <c r="G220" i="95"/>
  <c r="K159" i="73" l="1"/>
  <c r="J235" i="73"/>
  <c r="J236" i="73" s="1"/>
  <c r="G221" i="95"/>
  <c r="F223" i="95"/>
  <c r="K161" i="94"/>
  <c r="K162" i="94"/>
  <c r="K160" i="94"/>
  <c r="K159" i="94"/>
  <c r="K150" i="94" l="1"/>
  <c r="L150" i="94" s="1"/>
  <c r="K147" i="94"/>
  <c r="L147" i="94" s="1"/>
  <c r="K155" i="94"/>
  <c r="L155" i="94" s="1"/>
  <c r="K142" i="94"/>
  <c r="L142" i="94" s="1"/>
  <c r="K146" i="94"/>
  <c r="L146" i="94" s="1"/>
  <c r="K141" i="94"/>
  <c r="K145" i="94"/>
  <c r="L145" i="94" s="1"/>
  <c r="K149" i="94"/>
  <c r="L149" i="94" s="1"/>
  <c r="K153" i="94"/>
  <c r="L153" i="94" s="1"/>
  <c r="K157" i="94"/>
  <c r="J157" i="94"/>
  <c r="K144" i="94"/>
  <c r="L144" i="94" s="1"/>
  <c r="K148" i="94"/>
  <c r="L148" i="94" s="1"/>
  <c r="K152" i="94"/>
  <c r="L152" i="94" s="1"/>
  <c r="K143" i="94"/>
  <c r="L143" i="94" s="1"/>
  <c r="K151" i="94"/>
  <c r="L151" i="94" s="1"/>
  <c r="L160" i="94"/>
  <c r="L161" i="94"/>
  <c r="L159" i="94"/>
  <c r="L162" i="94"/>
  <c r="F224" i="95"/>
  <c r="G224" i="95" s="1"/>
  <c r="G223" i="95"/>
  <c r="L141" i="94" l="1"/>
  <c r="K154" i="94"/>
  <c r="L154" i="94" s="1"/>
  <c r="K158" i="94"/>
  <c r="L158" i="94" s="1"/>
  <c r="K156" i="94"/>
  <c r="L156" i="94" s="1"/>
  <c r="L157" i="94"/>
  <c r="K10" i="75"/>
  <c r="G10" i="75" l="1"/>
  <c r="K8" i="75"/>
  <c r="K6" i="75" s="1"/>
  <c r="K36" i="75" s="1"/>
  <c r="K130" i="75" s="1"/>
  <c r="E10" i="75" l="1"/>
  <c r="G8" i="75"/>
  <c r="G6" i="75" s="1"/>
  <c r="G36" i="75" s="1"/>
  <c r="G130" i="75" s="1"/>
  <c r="F21" i="86" l="1"/>
  <c r="G21" i="86" s="1"/>
  <c r="E8" i="75"/>
  <c r="D22" i="96" l="1"/>
  <c r="E6" i="75"/>
  <c r="E36" i="75" s="1"/>
  <c r="E130" i="75" s="1"/>
  <c r="K172" i="94" l="1"/>
  <c r="L172" i="94" s="1"/>
  <c r="K119" i="94"/>
  <c r="K120" i="94"/>
  <c r="L120" i="94" l="1"/>
  <c r="L119" i="94"/>
  <c r="K135" i="94" l="1"/>
  <c r="K138" i="94"/>
  <c r="K131" i="94"/>
  <c r="K130" i="94" l="1"/>
  <c r="L130" i="94" s="1"/>
  <c r="K133" i="94"/>
  <c r="L133" i="94" s="1"/>
  <c r="K132" i="94"/>
  <c r="L132" i="94" s="1"/>
  <c r="K137" i="94"/>
  <c r="L137" i="94" s="1"/>
  <c r="K136" i="94"/>
  <c r="L136" i="94" s="1"/>
  <c r="K128" i="94"/>
  <c r="K134" i="94"/>
  <c r="L134" i="94" s="1"/>
  <c r="K139" i="94"/>
  <c r="L139" i="94" s="1"/>
  <c r="L135" i="94"/>
  <c r="L138" i="94"/>
  <c r="L131" i="94"/>
  <c r="L128" i="94" l="1"/>
  <c r="K125" i="94"/>
  <c r="L125" i="94" s="1"/>
  <c r="K129" i="94" l="1"/>
  <c r="L129" i="94" s="1"/>
  <c r="K123" i="94" l="1"/>
  <c r="K124" i="94" l="1"/>
  <c r="L124" i="94" s="1"/>
  <c r="K126" i="94"/>
  <c r="L123" i="94"/>
  <c r="K122" i="94"/>
  <c r="K127" i="94"/>
  <c r="Q69" i="4"/>
  <c r="L126" i="94" l="1"/>
  <c r="I69" i="4"/>
  <c r="CZ69" i="4"/>
  <c r="Q73" i="4"/>
  <c r="Q79" i="4"/>
  <c r="Q80" i="4" s="1"/>
  <c r="L127" i="94"/>
  <c r="BQ63" i="4"/>
  <c r="H96" i="30" s="1"/>
  <c r="BQ62" i="4"/>
  <c r="CZ62" i="4" s="1"/>
  <c r="L122" i="94"/>
  <c r="K179" i="94"/>
  <c r="I173" i="35" l="1"/>
  <c r="Q95" i="4"/>
  <c r="Q82" i="4"/>
  <c r="F229" i="95"/>
  <c r="P16" i="94"/>
  <c r="Q16" i="94" s="1"/>
  <c r="Q78" i="4"/>
  <c r="DA69" i="4"/>
  <c r="J220" i="73"/>
  <c r="K220" i="73" s="1"/>
  <c r="DB69" i="4"/>
  <c r="DE69" i="4"/>
  <c r="BQ73" i="4"/>
  <c r="D29" i="85" s="1"/>
  <c r="I63" i="4"/>
  <c r="E203" i="30" s="1"/>
  <c r="E204" i="30" s="1"/>
  <c r="CZ63" i="4"/>
  <c r="I62" i="4"/>
  <c r="DA62" i="4" s="1"/>
  <c r="BQ5" i="4"/>
  <c r="L179" i="94"/>
  <c r="K215" i="94"/>
  <c r="L215" i="94" s="1"/>
  <c r="J214" i="73" l="1"/>
  <c r="K214" i="73" s="1"/>
  <c r="DE63" i="4"/>
  <c r="DA63" i="4"/>
  <c r="CZ73" i="4"/>
  <c r="F247" i="95"/>
  <c r="F260" i="95" s="1"/>
  <c r="DB63" i="4"/>
  <c r="K216" i="94"/>
  <c r="K217" i="94" s="1"/>
  <c r="BQ78" i="4"/>
  <c r="CZ78" i="4" s="1"/>
  <c r="P179" i="94"/>
  <c r="Q179" i="94" s="1"/>
  <c r="G229" i="95"/>
  <c r="F230" i="95"/>
  <c r="G230" i="95" s="1"/>
  <c r="E341" i="35"/>
  <c r="E342" i="35" s="1"/>
  <c r="J213" i="73"/>
  <c r="K213" i="73" s="1"/>
  <c r="DE62" i="4"/>
  <c r="DB62" i="4"/>
  <c r="I73" i="4"/>
  <c r="DB73" i="4" s="1"/>
  <c r="F29" i="85"/>
  <c r="E31" i="86"/>
  <c r="AU29" i="85"/>
  <c r="D24" i="85"/>
  <c r="G247" i="95"/>
  <c r="J211" i="73" l="1"/>
  <c r="J229" i="73" s="1"/>
  <c r="I78" i="4"/>
  <c r="D57" i="85" s="1"/>
  <c r="DA73" i="4"/>
  <c r="DE73" i="4"/>
  <c r="G260" i="95"/>
  <c r="F261" i="95"/>
  <c r="D50" i="85"/>
  <c r="E26" i="86"/>
  <c r="E51" i="86" s="1"/>
  <c r="E56" i="86" s="1"/>
  <c r="F24" i="85"/>
  <c r="D56" i="85"/>
  <c r="AU24" i="85"/>
  <c r="K211" i="73" l="1"/>
  <c r="DE78" i="4"/>
  <c r="DA78" i="4"/>
  <c r="I79" i="4"/>
  <c r="DB78" i="4"/>
  <c r="K229" i="73"/>
  <c r="J231" i="73"/>
  <c r="K231" i="73" s="1"/>
  <c r="J230" i="73"/>
  <c r="K230" i="73" s="1"/>
  <c r="G261" i="95"/>
  <c r="F262" i="95"/>
  <c r="G262" i="95" s="1"/>
  <c r="F267" i="95"/>
  <c r="F50" i="85"/>
  <c r="D55" i="85"/>
  <c r="F55" i="85" s="1"/>
  <c r="D58" i="85"/>
  <c r="F268" i="95" l="1"/>
  <c r="G268" i="95" s="1"/>
  <c r="G267" i="95"/>
  <c r="F269" i="95"/>
  <c r="G269" i="95" s="1"/>
</calcChain>
</file>

<file path=xl/comments1.xml><?xml version="1.0" encoding="utf-8"?>
<comments xmlns="http://schemas.openxmlformats.org/spreadsheetml/2006/main">
  <authors>
    <author>Alexis Kimbembe</author>
  </authors>
  <commentList>
    <comment ref="L43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příspěvek Pošembeři  96 000,_Kč, svazková škola po vymoly 126 000,-Kč, svazek obcí Úvalsko 315 000,-Kč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sociální fond 500 000, stravenky a ostatní</t>
        </r>
      </text>
    </comment>
  </commentList>
</comments>
</file>

<file path=xl/sharedStrings.xml><?xml version="1.0" encoding="utf-8"?>
<sst xmlns="http://schemas.openxmlformats.org/spreadsheetml/2006/main" count="5210" uniqueCount="1658">
  <si>
    <t>Ukazatel</t>
  </si>
  <si>
    <t xml:space="preserve">Kapitola </t>
  </si>
  <si>
    <t>Celkem</t>
  </si>
  <si>
    <t>Investiční výdaje</t>
  </si>
  <si>
    <t>Název akce</t>
  </si>
  <si>
    <t>Dotace</t>
  </si>
  <si>
    <t>Město</t>
  </si>
  <si>
    <t>Rozdíl</t>
  </si>
  <si>
    <t xml:space="preserve">Název </t>
  </si>
  <si>
    <t xml:space="preserve">Příjmy z pronájmu majetku </t>
  </si>
  <si>
    <t>Příjmy z pronájmu majetku  celkem</t>
  </si>
  <si>
    <t>Úroky</t>
  </si>
  <si>
    <t>Kapitola 6125 - Výpočetní technika</t>
  </si>
  <si>
    <t>Kapitola 6111 - Programové vybavení</t>
  </si>
  <si>
    <t>Kapitola 6122 - Stroje a zařízení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</si>
  <si>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</si>
  <si>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</si>
  <si>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</si>
  <si>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</si>
  <si>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</si>
  <si>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</si>
  <si>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</si>
  <si>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</si>
  <si>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</si>
  <si>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</si>
  <si>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</si>
  <si>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</si>
  <si>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</si>
  <si>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</si>
  <si>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</si>
  <si>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</si>
  <si>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</si>
  <si>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</si>
  <si>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</si>
  <si>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</si>
  <si>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</si>
  <si>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</si>
  <si>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</si>
  <si>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</si>
  <si>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</si>
  <si>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</si>
  <si>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</si>
  <si>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</si>
  <si>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Úřad práce UZ13234</t>
  </si>
  <si>
    <t>2420</t>
  </si>
  <si>
    <t>Splátky půjček Sokol</t>
  </si>
  <si>
    <t>4111</t>
  </si>
  <si>
    <t>Neinv dotace PAP</t>
  </si>
  <si>
    <t>Volby</t>
  </si>
  <si>
    <t>Neinvestiční přijaté dotace ze SR</t>
  </si>
  <si>
    <t>Neinvestiční přijaté dotace od obcí</t>
  </si>
  <si>
    <t>MMR dotace povodně</t>
  </si>
  <si>
    <t>4122</t>
  </si>
  <si>
    <t>Dotace - bezpečnost na silnicích</t>
  </si>
  <si>
    <t>4216</t>
  </si>
  <si>
    <t>Dotace VODA</t>
  </si>
  <si>
    <t>Dotace zateplení č.p. 897/7</t>
  </si>
  <si>
    <t>Dotace oprava hasičského auta</t>
  </si>
  <si>
    <t>Dotace auto pečovatelská služba</t>
  </si>
  <si>
    <t>Dotace zasakovací pás</t>
  </si>
  <si>
    <t>Dotace most Horova</t>
  </si>
  <si>
    <t>Dotace Pošembeří</t>
  </si>
  <si>
    <t>4223</t>
  </si>
  <si>
    <t>Dotace protipovodňová opatření</t>
  </si>
  <si>
    <t>Dotace zateplení č.p. 95</t>
  </si>
  <si>
    <t>pečovatelská sl. - příspěvek KÚ</t>
  </si>
  <si>
    <t>8115</t>
  </si>
  <si>
    <t>rezerva z daně z nemovitosti</t>
  </si>
  <si>
    <t>rezerva - úspora na nákladech na investicích do vodovodu</t>
  </si>
  <si>
    <t>úspora - aukce na energie</t>
  </si>
  <si>
    <t>financování z rezervy developera</t>
  </si>
  <si>
    <t>3631</t>
  </si>
  <si>
    <t>3121</t>
  </si>
  <si>
    <t>dary na dlouh.maj. VO Hodov</t>
  </si>
  <si>
    <t>2310</t>
  </si>
  <si>
    <t>dary na dlouh.maj.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</si>
  <si>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</si>
  <si>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</si>
  <si>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</si>
  <si>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</si>
  <si>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</si>
  <si>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</si>
  <si>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</si>
  <si>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</si>
  <si>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spec. škola - pronájem</t>
  </si>
  <si>
    <t>knihovna - poplatky</t>
  </si>
  <si>
    <t>Život Úval - inzerce</t>
  </si>
  <si>
    <t xml:space="preserve">kultura </t>
  </si>
  <si>
    <t>kultura – dary</t>
  </si>
  <si>
    <t>Koupaliště - pronájem</t>
  </si>
  <si>
    <t>Tesko - služby</t>
  </si>
  <si>
    <t>Tesko - pronájem</t>
  </si>
  <si>
    <t>2322</t>
  </si>
  <si>
    <t>pojistné náhrady-povodně</t>
  </si>
  <si>
    <t>zdrav. střed.- služby</t>
  </si>
  <si>
    <t>zdrav. střed.- pronájem</t>
  </si>
  <si>
    <t>Pojistná náhrada</t>
  </si>
  <si>
    <t>byty - služby</t>
  </si>
  <si>
    <t>byty - pronájem</t>
  </si>
  <si>
    <t>3113</t>
  </si>
  <si>
    <t>byty – prodej majetku</t>
  </si>
  <si>
    <t>Neinv dary</t>
  </si>
  <si>
    <t>nebytové služby</t>
  </si>
  <si>
    <t>nebytové - pronájem</t>
  </si>
  <si>
    <t>hřbitov - služby</t>
  </si>
  <si>
    <t>nájemné Eltodo</t>
  </si>
  <si>
    <t>věcné břemeno</t>
  </si>
  <si>
    <t>odpady - vratka za tříděný odpad</t>
  </si>
  <si>
    <t>pečovatelská klienti</t>
  </si>
  <si>
    <t>hasiči - služby</t>
  </si>
  <si>
    <t>hasiči - nájem</t>
  </si>
  <si>
    <t>prodej has.auta</t>
  </si>
  <si>
    <t>přijaté neinv.dary</t>
  </si>
  <si>
    <t>prodej dřeva z těžby</t>
  </si>
  <si>
    <t>vývěska, kopírování</t>
  </si>
  <si>
    <t>Příjmy  z úroků</t>
  </si>
  <si>
    <t>2210</t>
  </si>
  <si>
    <t>2211</t>
  </si>
  <si>
    <t>Přijaté sankční platby</t>
  </si>
  <si>
    <t>2131</t>
  </si>
  <si>
    <t>pronájem pozemků</t>
  </si>
  <si>
    <t>8123</t>
  </si>
  <si>
    <t>revolvingový úvěr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</si>
  <si>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</si>
  <si>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</si>
  <si>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</si>
  <si>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</si>
  <si>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</si>
  <si>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</si>
  <si>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</si>
  <si>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</si>
  <si>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</si>
  <si>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</si>
  <si>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</si>
  <si>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</si>
  <si>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</si>
  <si>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</si>
  <si>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</si>
  <si>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</si>
  <si>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</si>
  <si>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</si>
  <si>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</si>
  <si>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</si>
  <si>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</si>
  <si>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</si>
  <si>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</si>
  <si>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</si>
  <si>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</si>
  <si>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</si>
  <si>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</si>
  <si>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</si>
  <si>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</si>
  <si>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</si>
  <si>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</si>
  <si>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</si>
  <si>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</si>
  <si>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</si>
  <si>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</si>
  <si>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</si>
  <si>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</si>
  <si>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</si>
  <si>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</si>
  <si>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</si>
  <si>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</si>
  <si>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Sociální dávky</t>
  </si>
  <si>
    <t>Finanční dary</t>
  </si>
  <si>
    <t>Převody vl. fondům</t>
  </si>
  <si>
    <t xml:space="preserve">příspěvky spolkům </t>
  </si>
  <si>
    <t>Ostatní výdaje-spolky</t>
  </si>
  <si>
    <t>Ostatní výdaje, rezerva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</si>
  <si>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</si>
  <si>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</si>
  <si>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</si>
  <si>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</si>
  <si>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</si>
  <si>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</si>
  <si>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</si>
  <si>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</si>
  <si>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</si>
  <si>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</si>
  <si>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Rezervy účelové</t>
  </si>
  <si>
    <t>Rezervy na projekty 2015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</si>
  <si>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</si>
  <si>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</si>
  <si>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</si>
  <si>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</si>
  <si>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</si>
  <si>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</si>
  <si>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</si>
  <si>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</si>
  <si>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</si>
  <si>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 xml:space="preserve">Přehled  příjmů jednotlivých kapitol </t>
  </si>
  <si>
    <t>Osobní náklady celkem</t>
  </si>
  <si>
    <t>plán</t>
  </si>
  <si>
    <t>skutečnost</t>
  </si>
  <si>
    <t>Počáteční zůstatek:</t>
  </si>
  <si>
    <t>Mzdy</t>
  </si>
  <si>
    <t>Energie</t>
  </si>
  <si>
    <t>Služby</t>
  </si>
  <si>
    <t>Konečný zůstatek:</t>
  </si>
  <si>
    <t>Nákup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</si>
  <si>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</si>
  <si>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</si>
  <si>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</si>
  <si>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</si>
  <si>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</si>
  <si>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</si>
  <si>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zastupitelé</t>
  </si>
  <si>
    <t>správa</t>
  </si>
  <si>
    <t>peč. sl.</t>
  </si>
  <si>
    <t>Agentura SCSA</t>
  </si>
  <si>
    <t>MP</t>
  </si>
  <si>
    <t>kronika</t>
  </si>
  <si>
    <t>Knih.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</si>
  <si>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</si>
  <si>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</si>
  <si>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</si>
  <si>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</si>
  <si>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</si>
  <si>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</si>
  <si>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</si>
  <si>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</si>
  <si>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</si>
  <si>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Koupal. + ZČ</t>
  </si>
  <si>
    <t>ZŠ</t>
  </si>
  <si>
    <t>č.p. 65</t>
  </si>
  <si>
    <t>MDDM</t>
  </si>
  <si>
    <t>MŠ Prk</t>
  </si>
  <si>
    <t>MŠ Koll</t>
  </si>
  <si>
    <t>Jíd. ZŠ</t>
  </si>
  <si>
    <t xml:space="preserve">Jíd. MŠ </t>
  </si>
  <si>
    <t>Úz.plán</t>
  </si>
  <si>
    <t>VO</t>
  </si>
  <si>
    <t>Silnice</t>
  </si>
  <si>
    <t>Doprava</t>
  </si>
  <si>
    <t>Vodovod</t>
  </si>
  <si>
    <t>Vodovod - obn.</t>
  </si>
  <si>
    <t>Kanalizace</t>
  </si>
  <si>
    <t>Kanalizace - obn.</t>
  </si>
  <si>
    <t>Inž.sítě</t>
  </si>
  <si>
    <t>Lesy</t>
  </si>
  <si>
    <t>Popelnice</t>
  </si>
  <si>
    <t>Odpady</t>
  </si>
  <si>
    <t>Čer. skl.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</si>
  <si>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</si>
  <si>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</si>
  <si>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</si>
  <si>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</si>
  <si>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</si>
  <si>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</si>
  <si>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</si>
  <si>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</si>
  <si>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</si>
  <si>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</si>
  <si>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</si>
  <si>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</si>
  <si>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</si>
  <si>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3412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</si>
  <si>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</si>
  <si>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</si>
  <si>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</si>
  <si>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</si>
  <si>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</si>
  <si>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</si>
  <si>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</si>
  <si>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</si>
  <si>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</si>
  <si>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</si>
  <si>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</si>
  <si>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</si>
  <si>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</si>
  <si>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</si>
  <si>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</si>
  <si>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</si>
  <si>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</si>
  <si>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Leden</t>
  </si>
  <si>
    <t>Únor</t>
  </si>
  <si>
    <t>Březen</t>
  </si>
  <si>
    <t>Duben</t>
  </si>
  <si>
    <t>Květen</t>
  </si>
  <si>
    <t>červen</t>
  </si>
  <si>
    <t>červenec</t>
  </si>
  <si>
    <t>Září</t>
  </si>
  <si>
    <t>Říjen</t>
  </si>
  <si>
    <t>Listopad</t>
  </si>
  <si>
    <t>Prosinec</t>
  </si>
  <si>
    <t>Srpen</t>
  </si>
  <si>
    <t>% plnění</t>
  </si>
  <si>
    <t>Spl.půjč.prostř.od obyvatelstva</t>
  </si>
  <si>
    <t>Příjmy od dlužniků za realizace záruk</t>
  </si>
  <si>
    <t>3129</t>
  </si>
  <si>
    <t>Fond oprav</t>
  </si>
  <si>
    <t>odvodnění dvora multitec</t>
  </si>
  <si>
    <t>čp105</t>
  </si>
  <si>
    <t>Knihovna</t>
  </si>
  <si>
    <t>oprava a údržba aut</t>
  </si>
  <si>
    <t>drobné opravy, revize</t>
  </si>
  <si>
    <t>3111-311</t>
  </si>
  <si>
    <t>3111-303</t>
  </si>
  <si>
    <t>3141-309</t>
  </si>
  <si>
    <t>běžné opravy, údržba, čištění střechy</t>
  </si>
  <si>
    <t>3141-308</t>
  </si>
  <si>
    <t>opravy</t>
  </si>
  <si>
    <t>opravy vodoměrných šachet, hrníčků</t>
  </si>
  <si>
    <t>2321-38</t>
  </si>
  <si>
    <t>opravy šachet, nákupy poklopů</t>
  </si>
  <si>
    <t>drobné opravy</t>
  </si>
  <si>
    <t xml:space="preserve">veškeré opravy a údržba </t>
  </si>
  <si>
    <t>5311/1</t>
  </si>
  <si>
    <t>2310-1</t>
  </si>
  <si>
    <t>3612-77</t>
  </si>
  <si>
    <t>mytí oken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</si>
  <si>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</si>
  <si>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</si>
  <si>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</si>
  <si>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</si>
  <si>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</si>
  <si>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</si>
  <si>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</si>
  <si>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</si>
  <si>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</si>
  <si>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</si>
  <si>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</si>
  <si>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</si>
  <si>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</si>
  <si>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</si>
  <si>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</si>
  <si>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</si>
  <si>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</si>
  <si>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</si>
  <si>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zateplení multitec</t>
  </si>
  <si>
    <t>TDI</t>
  </si>
  <si>
    <t>AD</t>
  </si>
  <si>
    <t>administrace dotace</t>
  </si>
  <si>
    <t>stavební práce</t>
  </si>
  <si>
    <t>zpracování ZD</t>
  </si>
  <si>
    <t xml:space="preserve">AD </t>
  </si>
  <si>
    <t>Průtah III/01214</t>
  </si>
  <si>
    <t>3111-306</t>
  </si>
  <si>
    <t>monitorovací zpráva</t>
  </si>
  <si>
    <t>PD</t>
  </si>
  <si>
    <t xml:space="preserve">Programové vybavení </t>
  </si>
  <si>
    <t>Plnění v %</t>
  </si>
  <si>
    <t>2321/1</t>
  </si>
  <si>
    <t>Příjmy</t>
  </si>
  <si>
    <t>Třída 1</t>
  </si>
  <si>
    <t>Daňové příjmy</t>
  </si>
  <si>
    <t>Třída 2</t>
  </si>
  <si>
    <t xml:space="preserve">Nedaňové příjmy </t>
  </si>
  <si>
    <t>Dar hašici roku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</si>
  <si>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</si>
  <si>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</si>
  <si>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</si>
  <si>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</si>
  <si>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</si>
  <si>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</si>
  <si>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</si>
  <si>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</si>
  <si>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</si>
  <si>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Dotace- Obnova sochy Arnošta z Pardubic NZ</t>
  </si>
  <si>
    <t>Dotace-Obnova sochy Arnošta z Pardubic EU</t>
  </si>
  <si>
    <t>Dotace Cesty v Úvalech-národní zdroje</t>
  </si>
  <si>
    <t>Dotace Městská knihovna</t>
  </si>
  <si>
    <t>Datoace IT EU</t>
  </si>
  <si>
    <t>Datoace IT z národního fondu</t>
  </si>
  <si>
    <t>Třída 8</t>
  </si>
  <si>
    <t>Financování</t>
  </si>
  <si>
    <t>Změna stavu krátk.prostř.na bankovních účtů</t>
  </si>
  <si>
    <t>rozpočtová rezerva 2015+ voda</t>
  </si>
  <si>
    <t>rezerva z čerpání úvěru 2013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</si>
  <si>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</si>
  <si>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</si>
  <si>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</si>
  <si>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</si>
  <si>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</si>
  <si>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</si>
  <si>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</si>
  <si>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</si>
  <si>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</si>
  <si>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</si>
  <si>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</si>
  <si>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</si>
  <si>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</si>
  <si>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Zůstatek na bankovních účtech</t>
  </si>
  <si>
    <t>Poč.stav 1.1.</t>
  </si>
  <si>
    <t>základní běžný účet</t>
  </si>
  <si>
    <t>běžný účet fonfů</t>
  </si>
  <si>
    <t>K.stav k 31.12.</t>
  </si>
  <si>
    <t>HV</t>
  </si>
  <si>
    <t>Schválený rozpočet 2016</t>
  </si>
  <si>
    <t>Rozpočet  na rok 2016</t>
  </si>
  <si>
    <t>TSÚ</t>
  </si>
  <si>
    <t>Návrh rozpočetu 2016</t>
  </si>
  <si>
    <t>3141/306</t>
  </si>
  <si>
    <t xml:space="preserve"> MŠ Čuk.</t>
  </si>
  <si>
    <t>nákup č.p 12</t>
  </si>
  <si>
    <t>Monitorovací zpráva</t>
  </si>
  <si>
    <t>VŘ</t>
  </si>
  <si>
    <t>Rekonstrukce komunikace</t>
  </si>
  <si>
    <t>Barakova ul.</t>
  </si>
  <si>
    <t>Lávka přes I/12</t>
  </si>
  <si>
    <t>nový výtah</t>
  </si>
  <si>
    <t>kolumbárium</t>
  </si>
  <si>
    <t>Lokalita Horoušánky</t>
  </si>
  <si>
    <t>Realizace - Výpustek, Guth-Jark., Šafař,</t>
  </si>
  <si>
    <t>č.p 75, 181</t>
  </si>
  <si>
    <t>čp. 1095,1096</t>
  </si>
  <si>
    <t>p.Velikého 1347</t>
  </si>
  <si>
    <t>p.Velikého 1346</t>
  </si>
  <si>
    <t>projektový manažer</t>
  </si>
  <si>
    <t>MŠ Čuk.  celkem</t>
  </si>
  <si>
    <t>Kanalizace obn. celkem</t>
  </si>
  <si>
    <t>Inž.sítě  celkem</t>
  </si>
  <si>
    <t>Administrace dotace</t>
  </si>
  <si>
    <t>přesun měú do čp 95</t>
  </si>
  <si>
    <t>cyklostezka - koupaliště - stavba</t>
  </si>
  <si>
    <t>Zprovoznění lok. K Hájovně II</t>
  </si>
  <si>
    <t>Obnova veřejného osvětlení</t>
  </si>
  <si>
    <t>Městská policie</t>
  </si>
  <si>
    <t>Hřbitov Celkem</t>
  </si>
  <si>
    <t>Silnice Celkem</t>
  </si>
  <si>
    <t>navrtávky</t>
  </si>
  <si>
    <t>Návrh rozpočtu 2016</t>
  </si>
  <si>
    <t>žádost o dotaci</t>
  </si>
  <si>
    <t>Ostatní stavby</t>
  </si>
  <si>
    <t>Most Horova</t>
  </si>
  <si>
    <t>Realizace VO Želivského</t>
  </si>
  <si>
    <t>Odstupné</t>
  </si>
  <si>
    <t>Rezervní fond</t>
  </si>
  <si>
    <t>Výnosy z úroků</t>
  </si>
  <si>
    <t>Ostatní výnosy</t>
  </si>
  <si>
    <t>Odpisy</t>
  </si>
  <si>
    <t>Vodovod a kanalizace</t>
  </si>
  <si>
    <t>Příspěvek na investice</t>
  </si>
  <si>
    <t>klimatizace</t>
  </si>
  <si>
    <t>řešení nádvoří čp. 897, lomu a propojení s čp. 95 - studie</t>
  </si>
  <si>
    <t>stavební práce - zateplení B</t>
  </si>
  <si>
    <t>studie - tělocvična</t>
  </si>
  <si>
    <t>parkoviště a točna autobusů (terminál)</t>
  </si>
  <si>
    <t>parkoviště u nádraží</t>
  </si>
  <si>
    <t>chodník Jiráskova po hasičárnu</t>
  </si>
  <si>
    <t>chodník Diamantová - Horoušánky</t>
  </si>
  <si>
    <t>chodník Na Spojce</t>
  </si>
  <si>
    <t>rekonstrukce komunikace Prokopa Velikého</t>
  </si>
  <si>
    <t>rekonstrukce komunikace Kollárova v úseku ul. Erbenova - B. Němcové</t>
  </si>
  <si>
    <t>rekonstrukce komunikace Bulharská</t>
  </si>
  <si>
    <t>Dostavba SK - II. etapa Zálesí - Hájovna III</t>
  </si>
  <si>
    <t>Dostavba SK - Nad Okrájkem</t>
  </si>
  <si>
    <t>SK Horova - gravitač.kanal.</t>
  </si>
  <si>
    <t>SK Horova - tlaková kanal.</t>
  </si>
  <si>
    <t>monitorovcí zpráva - Hrad Skara</t>
  </si>
  <si>
    <t>Realizace VO Pod tratí</t>
  </si>
  <si>
    <t>Jid.ZŠ</t>
  </si>
  <si>
    <t>vyhodnocení úpravy pro dotaci (ener.audit, ener.průzkum)</t>
  </si>
  <si>
    <t>zateplení čp95</t>
  </si>
  <si>
    <t>instalatérské práce, materiál k opravě, odstraňování závad - nebytové prostory</t>
  </si>
  <si>
    <t>opravy silnice po i před zimou</t>
  </si>
  <si>
    <t>Oprava silnic U Kaberny, U Výmoly, U Starého koupadla, Kladská, Lužická, Rumunská...</t>
  </si>
  <si>
    <t>Park Úvaly vinice</t>
  </si>
  <si>
    <t>3749/1</t>
  </si>
  <si>
    <t>obnova 2016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</si>
  <si>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</si>
  <si>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</si>
  <si>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</si>
  <si>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</si>
  <si>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</si>
  <si>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</si>
  <si>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</si>
  <si>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</si>
  <si>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</si>
  <si>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</si>
  <si>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</si>
  <si>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</si>
  <si>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</si>
  <si>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</si>
  <si>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</si>
  <si>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</si>
  <si>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</si>
  <si>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</si>
  <si>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</si>
  <si>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</si>
  <si>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</si>
  <si>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</si>
  <si>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</si>
  <si>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</si>
  <si>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</si>
  <si>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</si>
  <si>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</si>
  <si>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</si>
  <si>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</si>
  <si>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</si>
  <si>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zateplení budovy "B"</t>
  </si>
  <si>
    <t>6130</t>
  </si>
  <si>
    <t>6111</t>
  </si>
  <si>
    <t>6123</t>
  </si>
  <si>
    <t>Kapitoly - Investice celkem</t>
  </si>
  <si>
    <t>2749/1</t>
  </si>
  <si>
    <t>park Úvaly Vinice(Amfiteatr )</t>
  </si>
  <si>
    <t>Koupaliště</t>
  </si>
  <si>
    <t>rekonstrukce</t>
  </si>
  <si>
    <t>Investiční příjaté transfery od krajů průtah III/O1212</t>
  </si>
  <si>
    <t>Investiční příjaté  MŠ Koll.</t>
  </si>
  <si>
    <t>Investiční příspěvek</t>
  </si>
  <si>
    <t>3749/2</t>
  </si>
  <si>
    <t>Rybníky</t>
  </si>
  <si>
    <t>Dotace Park vinice</t>
  </si>
  <si>
    <t>Dotace Park Vinice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</si>
  <si>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</si>
  <si>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</si>
  <si>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</si>
  <si>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</si>
  <si>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</si>
  <si>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</si>
  <si>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</si>
  <si>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</si>
  <si>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</si>
  <si>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</si>
  <si>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</si>
  <si>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</si>
  <si>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</si>
  <si>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</si>
  <si>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</si>
  <si>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</si>
  <si>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</si>
  <si>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</si>
  <si>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</si>
  <si>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</si>
  <si>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</si>
  <si>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</si>
  <si>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</si>
  <si>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</si>
  <si>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</si>
  <si>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</si>
  <si>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</si>
  <si>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</si>
  <si>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</si>
  <si>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</si>
  <si>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</si>
  <si>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</si>
  <si>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</si>
  <si>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</si>
  <si>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</si>
  <si>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</si>
  <si>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</si>
  <si>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</si>
  <si>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</si>
  <si>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</si>
  <si>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</si>
  <si>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</si>
  <si>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</si>
  <si>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</si>
  <si>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</si>
  <si>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</si>
  <si>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fluktuant</t>
  </si>
  <si>
    <t>chlornan sodný</t>
  </si>
  <si>
    <t>materiál VaK (hrnky, šoupata, trubky)</t>
  </si>
  <si>
    <t>vodoměry</t>
  </si>
  <si>
    <t>nákup soli, štěrku, betonu a malty</t>
  </si>
  <si>
    <t>BOZP a revize</t>
  </si>
  <si>
    <t>laboratoř</t>
  </si>
  <si>
    <t>oprava nářadí, zařízení a strojů</t>
  </si>
  <si>
    <t>údržba budov a hal</t>
  </si>
  <si>
    <t>Jméno</t>
  </si>
  <si>
    <t>úvazek</t>
  </si>
  <si>
    <t>Mzda</t>
  </si>
  <si>
    <t>Sociální</t>
  </si>
  <si>
    <t>Zdravotní</t>
  </si>
  <si>
    <t>FKSP</t>
  </si>
  <si>
    <t>Celkem měsíc</t>
  </si>
  <si>
    <t>Celkem rok</t>
  </si>
  <si>
    <t>měsíc</t>
  </si>
  <si>
    <t>rok</t>
  </si>
  <si>
    <t>Pavlína Slavíková</t>
  </si>
  <si>
    <t>HPP</t>
  </si>
  <si>
    <t>Markéta Řepková</t>
  </si>
  <si>
    <t>Romana Slavíková</t>
  </si>
  <si>
    <t>Jana Hokůvová</t>
  </si>
  <si>
    <t>Lenka Prchalová</t>
  </si>
  <si>
    <t>DPP</t>
  </si>
  <si>
    <t>Jiří Hiršl</t>
  </si>
  <si>
    <t>Jan Hiršl</t>
  </si>
  <si>
    <t>Jiří Jeřábek</t>
  </si>
  <si>
    <t>Veronika Jáglová</t>
  </si>
  <si>
    <t>Jitka Lulová</t>
  </si>
  <si>
    <t>Jarmila Janecká</t>
  </si>
  <si>
    <t>Miroslava Sobotková</t>
  </si>
  <si>
    <t>Petr Prchal</t>
  </si>
  <si>
    <t>Jakub Berger</t>
  </si>
  <si>
    <t>Jiří Dědina</t>
  </si>
  <si>
    <t>Denemark Jiří</t>
  </si>
  <si>
    <t>Pavel Francl</t>
  </si>
  <si>
    <t>Jiří Hříbal</t>
  </si>
  <si>
    <t>Václav Krůta</t>
  </si>
  <si>
    <t>Vladimír Novotný</t>
  </si>
  <si>
    <t>Vilém Reiner</t>
  </si>
  <si>
    <t>Vladimír Rémiš</t>
  </si>
  <si>
    <t>Václav Škorpil</t>
  </si>
  <si>
    <t>Miroslav Šmejkal</t>
  </si>
  <si>
    <t>Jiří Štromajer</t>
  </si>
  <si>
    <t>CELKEM</t>
  </si>
  <si>
    <t>na údržbu zeleně</t>
  </si>
  <si>
    <t>Auto</t>
  </si>
  <si>
    <t>51-9x</t>
  </si>
  <si>
    <t xml:space="preserve">Neinvestiční přijaté dotace od obcí </t>
  </si>
  <si>
    <t>Neinvestiční přijaté dotace od obcí (MP)</t>
  </si>
  <si>
    <t>Veřejnoprávní smlouvy - MP</t>
  </si>
  <si>
    <t>správa VO</t>
  </si>
  <si>
    <t>oprava a údržba komunikací</t>
  </si>
  <si>
    <t>VPS</t>
  </si>
  <si>
    <t>svozové auto</t>
  </si>
  <si>
    <t>ostatní služby</t>
  </si>
  <si>
    <t>Dotace IT z národního fondu</t>
  </si>
  <si>
    <t>Dotace MŠ Cukrovar</t>
  </si>
  <si>
    <t>4221</t>
  </si>
  <si>
    <t>Dotace revitalizace Výmoly - projekt</t>
  </si>
  <si>
    <t>pojistná náhrada</t>
  </si>
  <si>
    <t>dar - přístroj</t>
  </si>
  <si>
    <t>cvičák-psy</t>
  </si>
  <si>
    <t>vratka transferů-PS</t>
  </si>
  <si>
    <t>Investice prijate transferz od regionalnich rad</t>
  </si>
  <si>
    <t>Ostatní výdaje, z finac.</t>
  </si>
  <si>
    <t>rok 2014</t>
  </si>
  <si>
    <t>Přijaté transfery_Dotace</t>
  </si>
  <si>
    <t>Správa</t>
  </si>
  <si>
    <t>Poskytnuté nahrady</t>
  </si>
  <si>
    <t>Daňové příjmy-RUD</t>
  </si>
  <si>
    <t xml:space="preserve">Osobní náklady </t>
  </si>
  <si>
    <t xml:space="preserve">Celkem  výdaje </t>
  </si>
  <si>
    <t>Rok</t>
  </si>
  <si>
    <t>pronájem ELTODO</t>
  </si>
  <si>
    <t>dar - přístroj MP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</si>
  <si>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</si>
  <si>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</si>
  <si>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</si>
  <si>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</si>
  <si>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</si>
  <si>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</si>
  <si>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RO č.1</t>
  </si>
  <si>
    <t>povodně</t>
  </si>
  <si>
    <t>Gadimo- příspěvek</t>
  </si>
  <si>
    <t>Palmer Capital- příspěvek</t>
  </si>
  <si>
    <t>Zeta Benátky -příspěvek</t>
  </si>
  <si>
    <t>parkoviště ZŠ</t>
  </si>
  <si>
    <t>obnova</t>
  </si>
  <si>
    <t>Cyklostezky + chodníky</t>
  </si>
  <si>
    <t>Jíd. ZŠ a družiny</t>
  </si>
  <si>
    <t>Zásobník projektů města Úvaly 2016 - 2020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</si>
  <si>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</si>
  <si>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</si>
  <si>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</si>
  <si>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</si>
  <si>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</si>
  <si>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</si>
  <si>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</si>
  <si>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</si>
  <si>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</si>
  <si>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</si>
  <si>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</si>
  <si>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</si>
  <si>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</si>
  <si>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</si>
  <si>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</si>
  <si>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</si>
  <si>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</si>
  <si>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</si>
  <si>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</si>
  <si>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</si>
  <si>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</si>
  <si>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Náměstí Arnošta z Pardubic + Husova ulice</t>
  </si>
  <si>
    <t>Město Úvaly + Stč. Kraj</t>
  </si>
  <si>
    <t>ANO</t>
  </si>
  <si>
    <t>A.LT + CityPlan</t>
  </si>
  <si>
    <t>ano</t>
  </si>
  <si>
    <t>SOU</t>
  </si>
  <si>
    <t>soukromí vlastníci</t>
  </si>
  <si>
    <t>Škvorecká</t>
  </si>
  <si>
    <t>PV</t>
  </si>
  <si>
    <t>probíhá proces převodu vlastnictví na město Úvaly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</si>
  <si>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</si>
  <si>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</si>
  <si>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</si>
  <si>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</si>
  <si>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</si>
  <si>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</si>
  <si>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</si>
  <si>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</si>
  <si>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</si>
  <si>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</si>
  <si>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</si>
  <si>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</si>
  <si>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</si>
  <si>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</si>
  <si>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</si>
  <si>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</si>
  <si>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</si>
  <si>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</si>
  <si>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</si>
  <si>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Denisova</t>
  </si>
  <si>
    <t>Vydrova</t>
  </si>
  <si>
    <t>Město Úvaly + NIV</t>
  </si>
  <si>
    <t>Kollárova</t>
  </si>
  <si>
    <t>ČÁST</t>
  </si>
  <si>
    <t>Hydroprojekt</t>
  </si>
  <si>
    <t>zažádáno</t>
  </si>
  <si>
    <t>Barákova</t>
  </si>
  <si>
    <t>Tigridova</t>
  </si>
  <si>
    <t>není</t>
  </si>
  <si>
    <t>Janáčkova</t>
  </si>
  <si>
    <t>K Hájovně</t>
  </si>
  <si>
    <t>?</t>
  </si>
  <si>
    <t>Erbenova</t>
  </si>
  <si>
    <t>U Výmoly</t>
  </si>
  <si>
    <t>U Kaberny</t>
  </si>
  <si>
    <t>Město + SOU</t>
  </si>
  <si>
    <t>Lužická</t>
  </si>
  <si>
    <t>Ruská</t>
  </si>
  <si>
    <t>Srbská</t>
  </si>
  <si>
    <t>Slovinská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</si>
  <si>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</si>
  <si>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</si>
  <si>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</si>
  <si>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</si>
  <si>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</si>
  <si>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</si>
  <si>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</si>
  <si>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</si>
  <si>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</si>
  <si>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</si>
  <si>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</si>
  <si>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</si>
  <si>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</si>
  <si>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</si>
  <si>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</si>
  <si>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</si>
  <si>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</si>
  <si>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</si>
  <si>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</si>
  <si>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</si>
  <si>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</si>
  <si>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</si>
  <si>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</si>
  <si>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</si>
  <si>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</si>
  <si>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</si>
  <si>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Zateplení MŠ Kollárova</t>
  </si>
  <si>
    <t>Rozšíření školní jídelny</t>
  </si>
  <si>
    <t>Rozšíření školní družiny - TESKO</t>
  </si>
  <si>
    <t>Zateplení ZŠ Úvaly budova B</t>
  </si>
  <si>
    <t>Rekonstrukce  č.p. 95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</si>
  <si>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</si>
  <si>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</si>
  <si>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</si>
  <si>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</si>
  <si>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</si>
  <si>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</si>
  <si>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</si>
  <si>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</si>
  <si>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</si>
  <si>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</si>
  <si>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</si>
  <si>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</si>
  <si>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</si>
  <si>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</si>
  <si>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</si>
  <si>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</si>
  <si>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</si>
  <si>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</si>
  <si>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</si>
  <si>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</si>
  <si>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</si>
  <si>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</si>
  <si>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</si>
  <si>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</si>
  <si>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</si>
  <si>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</si>
  <si>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</si>
  <si>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</si>
  <si>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Běžné přijaté dotace-přijaté transféry</t>
  </si>
  <si>
    <t>Běžné příjmy celkem</t>
  </si>
  <si>
    <t>Běžné výdaje před úrok</t>
  </si>
  <si>
    <t>Provozní přebytek/Deficit před úroky</t>
  </si>
  <si>
    <t>Provozní přebytek/Deficit po úrocích</t>
  </si>
  <si>
    <t>Přijaté kapitalové dotace</t>
  </si>
  <si>
    <t>Kapitalové výdaje</t>
  </si>
  <si>
    <t>Rozpočtový přebytek/Deficit</t>
  </si>
  <si>
    <t>Čerpání úvěru</t>
  </si>
  <si>
    <t>Změna stavu rozpočtových účtů</t>
  </si>
  <si>
    <t>Finacování celkem</t>
  </si>
  <si>
    <t>Běžný rozpočet</t>
  </si>
  <si>
    <t>Kapitalový rozpočet</t>
  </si>
  <si>
    <t>Peněžní tok</t>
  </si>
  <si>
    <t>Průběžně musí být aktualizován</t>
  </si>
  <si>
    <t>Datace IT EU</t>
  </si>
  <si>
    <t>Investiční příjaté dotace</t>
  </si>
  <si>
    <t xml:space="preserve">příjmy z poskytovaných služeb </t>
  </si>
  <si>
    <t>pečovatelská služba - klienti</t>
  </si>
  <si>
    <t>Odměny zastupitelů</t>
  </si>
  <si>
    <t xml:space="preserve">Převody sociálnímu fondu </t>
  </si>
  <si>
    <t>Neinvesticni transfer.obecne prospěšným spol.</t>
  </si>
  <si>
    <t>RO č.2</t>
  </si>
  <si>
    <t>Schválený RO č. 1</t>
  </si>
  <si>
    <t>3111/306</t>
  </si>
  <si>
    <t>SR2016</t>
  </si>
  <si>
    <t>Gadimmo- příspěvek</t>
  </si>
  <si>
    <t>pojitná náhrada 897</t>
  </si>
  <si>
    <t>Příjmy z prodeje nemovitostí (Radlická čtvrť, Skupa)</t>
  </si>
  <si>
    <t>studie parku poliklinika</t>
  </si>
  <si>
    <t>I.KV 2016</t>
  </si>
  <si>
    <t>Příspěvky do infrastruktury města dle plánovacích smluv</t>
  </si>
  <si>
    <t>Daň z  příjmu fyzických osob ze kap.výnosů</t>
  </si>
  <si>
    <t>odvod z VHP</t>
  </si>
  <si>
    <t>odvod loterií a podobných her kromě VHP</t>
  </si>
  <si>
    <t>Dotace revitalizace Výmola</t>
  </si>
  <si>
    <t>Pokuta PK, ŽP</t>
  </si>
  <si>
    <t>Pokuty MP</t>
  </si>
  <si>
    <t>cvičák-psi</t>
  </si>
  <si>
    <t>Rozpočet  na rok 2017</t>
  </si>
  <si>
    <t>Plán 2017</t>
  </si>
  <si>
    <t>AÚ</t>
  </si>
  <si>
    <t>Sběrný dvůr</t>
  </si>
  <si>
    <t>poplatek za uložení SKO</t>
  </si>
  <si>
    <t>Jarní a podzimní kolečko</t>
  </si>
  <si>
    <t>UNC</t>
  </si>
  <si>
    <t>Avie</t>
  </si>
  <si>
    <t>nájemné Policie ČR</t>
  </si>
  <si>
    <t>monitorovací zprávy</t>
  </si>
  <si>
    <t>č.p 105</t>
  </si>
  <si>
    <t>energetický audit</t>
  </si>
  <si>
    <t>čp. 75</t>
  </si>
  <si>
    <t>č.p. 181</t>
  </si>
  <si>
    <t>č.p. 1347</t>
  </si>
  <si>
    <t>č.p. 1095 a 1096</t>
  </si>
  <si>
    <t>č.p. 1346</t>
  </si>
  <si>
    <t>Adminstrace dotace</t>
  </si>
  <si>
    <t>č.p. 12</t>
  </si>
  <si>
    <t>PD + Stavba</t>
  </si>
  <si>
    <t>TESKO</t>
  </si>
  <si>
    <t xml:space="preserve">stavební práce </t>
  </si>
  <si>
    <t>Kap.</t>
  </si>
  <si>
    <t>Č.P 65</t>
  </si>
  <si>
    <t xml:space="preserve"> MŠ Koll</t>
  </si>
  <si>
    <t>žádost dotace</t>
  </si>
  <si>
    <t>MŠ Cukr</t>
  </si>
  <si>
    <t>Projekt  VO Želivského</t>
  </si>
  <si>
    <t>Doplnění VO Čelakovského</t>
  </si>
  <si>
    <t>chodník podíl II/101</t>
  </si>
  <si>
    <t>Průtah III/01214 - 3.úsek</t>
  </si>
  <si>
    <t>propuste + DK</t>
  </si>
  <si>
    <t>autobusové zastávky</t>
  </si>
  <si>
    <t>rekonstrukce ulice Barákova</t>
  </si>
  <si>
    <t xml:space="preserve">rekonstrukce komunikace Kollárova </t>
  </si>
  <si>
    <t>křižovatka u Billy</t>
  </si>
  <si>
    <t>chodník u MŠ Pražská</t>
  </si>
  <si>
    <t>skatepark</t>
  </si>
  <si>
    <t>chodník ulice Dobročovická a I/12</t>
  </si>
  <si>
    <t>rekonstrukce komunikace 5.května</t>
  </si>
  <si>
    <t>rekonstrukce komunikace Škvorecká</t>
  </si>
  <si>
    <t>rekonstrukce náměstí</t>
  </si>
  <si>
    <t>Dostavba SK - II. etapa Zálesí/Hájovna, Nad Okrájkem, Horova</t>
  </si>
  <si>
    <t>Stonehenge</t>
  </si>
  <si>
    <t>SK Zálesí</t>
  </si>
  <si>
    <t>SK Pod Slovany</t>
  </si>
  <si>
    <t>Bendlova cyklostezka - stavba</t>
  </si>
  <si>
    <t>Park Vinice</t>
  </si>
  <si>
    <t>monitorovací zpráva, administrace dotace - rozšíření ZŠ</t>
  </si>
  <si>
    <t>zpracování PD</t>
  </si>
  <si>
    <t>kontrola PD</t>
  </si>
  <si>
    <t xml:space="preserve">PD </t>
  </si>
  <si>
    <t>studie proveditelnosti</t>
  </si>
  <si>
    <t>Zpracování PD MŠ Koll.</t>
  </si>
  <si>
    <t>Pd</t>
  </si>
  <si>
    <t>koncepce DZ nad tratí</t>
  </si>
  <si>
    <t>úvěr</t>
  </si>
  <si>
    <t>práce VaK</t>
  </si>
  <si>
    <t>pronájem plošiny</t>
  </si>
  <si>
    <t>plošina</t>
  </si>
  <si>
    <t>traktůrek</t>
  </si>
  <si>
    <t>mulčovací rameno</t>
  </si>
  <si>
    <t>kancelářské spotřeby</t>
  </si>
  <si>
    <r>
      <t xml:space="preserve">Služby zpracování podkladů </t>
    </r>
    <r>
      <rPr>
        <i/>
        <sz val="10"/>
        <rFont val="Calibri"/>
        <family val="2"/>
        <charset val="238"/>
      </rPr>
      <t>IT</t>
    </r>
  </si>
  <si>
    <t>stravenky</t>
  </si>
  <si>
    <t>poradenské služby - Rubikon</t>
  </si>
  <si>
    <t>parkoviště u zdravotního střediska</t>
  </si>
  <si>
    <t>zajištění dopravního opatření - ulice Dobročovická/ I/12 a napojovací pruh</t>
  </si>
  <si>
    <t>rekonstrukce III/01214 - 1.úsek</t>
  </si>
  <si>
    <t>vozidla, kancelářská technika</t>
  </si>
  <si>
    <t>oprava bytů, odstraňování závad</t>
  </si>
  <si>
    <t>instalatérské práce</t>
  </si>
  <si>
    <t>oprava či výměna spotřebičů do bytů-boiler,sporák...</t>
  </si>
  <si>
    <t>Odstranění vlhkosti, oprava narušené hydroizolace - sál, režiem sklad,chodby PP</t>
  </si>
  <si>
    <t>údržba hřišť, doplňování písku, kačírku, opravy, nátěry</t>
  </si>
  <si>
    <t>nový herní prvek</t>
  </si>
  <si>
    <t>koupaliště</t>
  </si>
  <si>
    <t>Oprava obkladů WC, oprava dlažby</t>
  </si>
  <si>
    <t>pravidelné nátěry prken,teras</t>
  </si>
  <si>
    <t>Obnova lamp ul. Hálkova</t>
  </si>
  <si>
    <t>opravy silnice - výtluky</t>
  </si>
  <si>
    <t>Ul. Šafaříkova-podkladní vrstvy</t>
  </si>
  <si>
    <t>Oprava komunikací - dle seznamu zásobníku projektů</t>
  </si>
  <si>
    <t>opravy DK</t>
  </si>
  <si>
    <t>5159_nákup služeb</t>
  </si>
  <si>
    <t>Vš.pokladna</t>
  </si>
  <si>
    <t>Zastupitelé</t>
  </si>
  <si>
    <t>Kronika</t>
  </si>
  <si>
    <t>Kultura</t>
  </si>
  <si>
    <t>3722/1</t>
  </si>
  <si>
    <t>Čer.skl.</t>
  </si>
  <si>
    <t>Sběrný.dvůr</t>
  </si>
  <si>
    <t xml:space="preserve">Výdaje na nákup služeb celkem </t>
  </si>
  <si>
    <t>akce Bezpečná sobota</t>
  </si>
  <si>
    <t>inzerce, odchytová služba,  tisk (vizitky, blahopřání, letáky), skartace…..</t>
  </si>
  <si>
    <t>tiskařské služby, mytí aut..</t>
  </si>
  <si>
    <t>vazba, digitalizace dokumentů</t>
  </si>
  <si>
    <t>zpracování kronikářských zápisů</t>
  </si>
  <si>
    <t>tisk ŽÚ</t>
  </si>
  <si>
    <t>honoráře účinkujícím</t>
  </si>
  <si>
    <t>street art+veřejné prostory</t>
  </si>
  <si>
    <t>letní kino</t>
  </si>
  <si>
    <t>akce Advent</t>
  </si>
  <si>
    <t>praní potahů…</t>
  </si>
  <si>
    <t>mimořádné posudky, či odhady</t>
  </si>
  <si>
    <t>vyúčtování přeplatků - vratky nájemníkům</t>
  </si>
  <si>
    <t>odečty ISTA, revize plyn, has. Přístroje, komíny, školení obsluhy</t>
  </si>
  <si>
    <t>revize plyn, has. Přístroje, komíny, výtah, prohlídky BOZP</t>
  </si>
  <si>
    <t>geometrické plány</t>
  </si>
  <si>
    <t>vratky  nájemcům</t>
  </si>
  <si>
    <t>revize-výtah, has. Přístroje</t>
  </si>
  <si>
    <t>revize</t>
  </si>
  <si>
    <t>OSPR</t>
  </si>
  <si>
    <t>OSM</t>
  </si>
  <si>
    <t>hřiště, parková zahrada, hrad Skara - revize hřišť, WC servis</t>
  </si>
  <si>
    <t>revize, kontroly-rozhlas, výtah, UPC, komíny</t>
  </si>
  <si>
    <t>dodavatelské služby</t>
  </si>
  <si>
    <t>reinstalace technologie ozvučení</t>
  </si>
  <si>
    <t>povinné revize, kontroly</t>
  </si>
  <si>
    <t>revize výtah, vzduchotechniky, dodavatelské služby</t>
  </si>
  <si>
    <t>revize vzduchotechnika</t>
  </si>
  <si>
    <t>revize komínů, has.přístr.</t>
  </si>
  <si>
    <t>revize kotlů</t>
  </si>
  <si>
    <t>dodavatelské služby, revize</t>
  </si>
  <si>
    <t xml:space="preserve">Revize VO </t>
  </si>
  <si>
    <t>Nákup dalších ozdob</t>
  </si>
  <si>
    <t>Vánoční osvětlení-strom,dekory</t>
  </si>
  <si>
    <t>smlouvy, geometrické plány, zaměření souvísejí s vodovodem</t>
  </si>
  <si>
    <t>deratizace SK a DK</t>
  </si>
  <si>
    <t>znalecké posudky  na inž. sítě</t>
  </si>
  <si>
    <t>Geometrické plány k provedeným stavbám SK, zaměření</t>
  </si>
  <si>
    <t>Čištění vpustí, kamerové prohlídky</t>
  </si>
  <si>
    <t>servis výtah</t>
  </si>
  <si>
    <t>Průzkumy, posudky</t>
  </si>
  <si>
    <t>Těžba, zalesňování, pěstební a výchovné práce</t>
  </si>
  <si>
    <t>Sběr a svoz směsného komunálního a</t>
  </si>
  <si>
    <t>tříděného odpadu A.S.A. (TSÚ)</t>
  </si>
  <si>
    <t>Jarní a podzimní svoz (kolečko)</t>
  </si>
  <si>
    <t xml:space="preserve">Příkazní smlouva - ProfiOdpady </t>
  </si>
  <si>
    <t>Plán odpad. hosp. města Úvaly</t>
  </si>
  <si>
    <t>Průběžná likvidace černých skládek</t>
  </si>
  <si>
    <t>Údržba hrází a toků</t>
  </si>
  <si>
    <t>zapůjčka SIM + provozování internet.Serveru</t>
  </si>
  <si>
    <t>digitální povodňový plán</t>
  </si>
  <si>
    <t>ozeleňování města</t>
  </si>
  <si>
    <t>Nachlingerový park</t>
  </si>
  <si>
    <t xml:space="preserve">SD-nebezpečné odpady, ostatní odpady, provoz sběrného dvora </t>
  </si>
  <si>
    <t>světelná křižovatka</t>
  </si>
  <si>
    <t>zaměření, GP</t>
  </si>
  <si>
    <t>nebytové - pronájem č.p. 203</t>
  </si>
  <si>
    <t>nebytové služby č.p. 203</t>
  </si>
  <si>
    <t>stavba - I.etapa  rekonstrukce komunikace</t>
  </si>
  <si>
    <t>stavba - II. Etapa rekonstrukce komunikace</t>
  </si>
  <si>
    <t>jarní a podzimní kolečko</t>
  </si>
  <si>
    <t>Příspěvek zřizovatele na specifické činnosti</t>
  </si>
  <si>
    <t>obnova  a oprava VO</t>
  </si>
  <si>
    <t>Materiál na správu objektů města</t>
  </si>
  <si>
    <t>OŽPÚR</t>
  </si>
  <si>
    <t>výdaje města</t>
  </si>
  <si>
    <t>Koupaliště , hřiště a zahrada celkem</t>
  </si>
  <si>
    <t>TSÚ - kamerovky, poslechovky</t>
  </si>
  <si>
    <t>Dopravní prostředky + IT</t>
  </si>
  <si>
    <t>Zpracoval: Petr Borecký, 3.3.2016, 22:55</t>
  </si>
  <si>
    <t>Indikativní zásobník projektů města Úvaly 2016 -2020</t>
  </si>
  <si>
    <t>Autobusový terminál u nádraží + PR</t>
  </si>
  <si>
    <t xml:space="preserve">Rekonstrukce autobusových zastávek (8 ks) </t>
  </si>
  <si>
    <t>-</t>
  </si>
  <si>
    <t>Rumunská</t>
  </si>
  <si>
    <t>Kladská</t>
  </si>
  <si>
    <t>U starého koupadla</t>
  </si>
  <si>
    <t>Modřínová</t>
  </si>
  <si>
    <t>Jedlová</t>
  </si>
  <si>
    <t>Lesní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</si>
  <si>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</si>
  <si>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</si>
  <si>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</si>
  <si>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</si>
  <si>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</si>
  <si>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</si>
  <si>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</si>
  <si>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</si>
  <si>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Prokopa Velikého</t>
  </si>
  <si>
    <t>Šrámkova</t>
  </si>
  <si>
    <t>Poděbradova</t>
  </si>
  <si>
    <t>Roháčova</t>
  </si>
  <si>
    <t>U Obory</t>
  </si>
  <si>
    <t>Mánesova</t>
  </si>
  <si>
    <t>Diamantová + Dr. Strusky</t>
  </si>
  <si>
    <t>Město Úvaly + Horoušany</t>
  </si>
  <si>
    <t>E.E.Kische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</si>
  <si>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</si>
  <si>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</si>
  <si>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</si>
  <si>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</si>
  <si>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</si>
  <si>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</si>
  <si>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</si>
  <si>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</si>
  <si>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</si>
  <si>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</si>
  <si>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Rozšíření MŠ Cukrovar - příprava projektu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</si>
  <si>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</si>
  <si>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</si>
  <si>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</si>
  <si>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</si>
  <si>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</si>
  <si>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</si>
  <si>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</si>
  <si>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</si>
  <si>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95</t>
  </si>
  <si>
    <t>Rekonstrukce č.p. 276</t>
  </si>
  <si>
    <t>Projekty navržené k zařazení do III. etapy</t>
  </si>
  <si>
    <t>Zpracoval: Ing. Alexis Kimbembe</t>
  </si>
  <si>
    <t>oprava zdí</t>
  </si>
  <si>
    <t>výměna podlahové krytiny, modernizace umývacích center</t>
  </si>
  <si>
    <t>modernizace osvětlení ve 4 třídách</t>
  </si>
  <si>
    <t>oprava terénu dvora</t>
  </si>
  <si>
    <t>plot</t>
  </si>
  <si>
    <t>drobné opravy, údržba</t>
  </si>
  <si>
    <t>opravy mimo záruky</t>
  </si>
  <si>
    <t>Hlásiče - rozhlas</t>
  </si>
  <si>
    <t>menší opravy zařízení</t>
  </si>
  <si>
    <t>5171 - Opravy a udržování celkem</t>
  </si>
  <si>
    <t>Pol. 6121 - Projektova dokumentace</t>
  </si>
  <si>
    <t>Pol.  6121 - Budovy, haly a stavby</t>
  </si>
  <si>
    <t>Pol. 6123 - Dopravní prostředky</t>
  </si>
  <si>
    <t>Pol. 6130 - Pozemky</t>
  </si>
  <si>
    <t xml:space="preserve"> WC - společná záchod včetně kan. přípojky</t>
  </si>
  <si>
    <t>Věcné břemeno Fišer</t>
  </si>
  <si>
    <t>odkup pozemku pro parkoviště u ČD ( nádraží)</t>
  </si>
  <si>
    <t>PD  - ÚR, SP/PDPS</t>
  </si>
  <si>
    <t>rekonstrukce Úvalák včetně SK</t>
  </si>
  <si>
    <t>Řepková Markéta</t>
  </si>
  <si>
    <t>Kuštová Jitka</t>
  </si>
  <si>
    <t>Hiršl Jiří</t>
  </si>
  <si>
    <t>Hiršl Jan</t>
  </si>
  <si>
    <t>Jeřábek Jiří</t>
  </si>
  <si>
    <t>Jáglová Veronika</t>
  </si>
  <si>
    <t>Schwarzová Kramářová Ilona</t>
  </si>
  <si>
    <t>Sobotková Miroslava</t>
  </si>
  <si>
    <t>Janecká Jarmila</t>
  </si>
  <si>
    <t>Prchal Petr</t>
  </si>
  <si>
    <t>Berger Jakub</t>
  </si>
  <si>
    <t>Dědina Jiří</t>
  </si>
  <si>
    <t>Francl Pavel</t>
  </si>
  <si>
    <t>Hříbal Jiří</t>
  </si>
  <si>
    <t>Karlin Jan</t>
  </si>
  <si>
    <t>Krůta Václav</t>
  </si>
  <si>
    <t>Novotný Vladimír</t>
  </si>
  <si>
    <t>Reiner Vilém</t>
  </si>
  <si>
    <t>Rémiš Vladimír</t>
  </si>
  <si>
    <t>Rendek Rudolf</t>
  </si>
  <si>
    <t>Škorpil Václav</t>
  </si>
  <si>
    <t>Štromajer Jiří</t>
  </si>
  <si>
    <t>Šmejkal Miroslav</t>
  </si>
  <si>
    <t>Koleňák Ondřej</t>
  </si>
  <si>
    <t>Černý Miroslav</t>
  </si>
  <si>
    <t>Pokorný Vladimír</t>
  </si>
  <si>
    <t>Štellová Simona</t>
  </si>
  <si>
    <t>hřbitov</t>
  </si>
  <si>
    <t>Komentář</t>
  </si>
  <si>
    <t>dopravní značení</t>
  </si>
  <si>
    <t>postřiky na zeleň</t>
  </si>
  <si>
    <t>nákup květin</t>
  </si>
  <si>
    <t>nákup stromů</t>
  </si>
  <si>
    <t>ostatní materiál(DPS, MŠ,ZŠ)</t>
  </si>
  <si>
    <t>oprava hřišť a koupališť</t>
  </si>
  <si>
    <t>materiál na oprava hřbitov</t>
  </si>
  <si>
    <t>materiál na oprava a obnovu VO</t>
  </si>
  <si>
    <t>Developeři</t>
  </si>
  <si>
    <t>Dotace z SFDI-Průtah-úsek č. 3- 85%</t>
  </si>
  <si>
    <t>Dotace hasiči - obnova zastaralých prostředků</t>
  </si>
  <si>
    <t>přijaté pojistné náhrady</t>
  </si>
  <si>
    <t>Hospodářský výsledek za rok  2017</t>
  </si>
  <si>
    <t>2016_skut.1-10</t>
  </si>
  <si>
    <t>Saldo</t>
  </si>
  <si>
    <t>Rezerva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</si>
  <si>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</si>
  <si>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</si>
  <si>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</si>
  <si>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</si>
  <si>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</si>
  <si>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</si>
  <si>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</si>
  <si>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</si>
  <si>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</si>
  <si>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</si>
  <si>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</si>
  <si>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</si>
  <si>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</si>
  <si>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</si>
  <si>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</si>
  <si>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</si>
  <si>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</si>
  <si>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</si>
  <si>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</si>
  <si>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</si>
  <si>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</si>
  <si>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</si>
  <si>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</si>
  <si>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</si>
  <si>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</si>
  <si>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 xml:space="preserve"> platba za vodné a stočné</t>
  </si>
  <si>
    <t>Úvěry</t>
  </si>
  <si>
    <t>Svoz odpadů</t>
  </si>
  <si>
    <t>ostatní</t>
  </si>
  <si>
    <t>Celkem výdaje kapitol</t>
  </si>
  <si>
    <t>nákup popelnic od FCC</t>
  </si>
  <si>
    <t>služby VaK (Kolařík, Hovorka, Bernardy)</t>
  </si>
  <si>
    <t xml:space="preserve"> </t>
  </si>
  <si>
    <t>posudky a průzkumy</t>
  </si>
  <si>
    <t>pozastávka</t>
  </si>
  <si>
    <t>připojení čp. 65 s policií</t>
  </si>
  <si>
    <t>Převod z.r. 2016</t>
  </si>
  <si>
    <t>PD Želivského, VO Čelakovského, Opatření k snožení Efekt, osvětlení přechodu II/</t>
  </si>
  <si>
    <t>RO č. 1 - převod z r. 2016</t>
  </si>
  <si>
    <t>Odpad</t>
  </si>
  <si>
    <t>3722-34</t>
  </si>
  <si>
    <t>archeologický průzkum sběrný dvůr</t>
  </si>
  <si>
    <t>cyklostezky, Úvaly</t>
  </si>
  <si>
    <t>cyklostezka II/101</t>
  </si>
  <si>
    <t>RO I, převod z roku 2016</t>
  </si>
  <si>
    <t>poplatky</t>
  </si>
  <si>
    <t>RO I 87.081 Kč převod z 2016</t>
  </si>
  <si>
    <t>RO I převod z 2016</t>
  </si>
  <si>
    <t>RO I převod z 2017</t>
  </si>
  <si>
    <t>RO I převod z 2016, vodoprávka, vodní prvky včetně poplatků</t>
  </si>
  <si>
    <t>RO I převod 172.977 Kč z 2016 včetně poplatků</t>
  </si>
  <si>
    <t>Lávka u devíti oblouků</t>
  </si>
  <si>
    <t xml:space="preserve">RO I 54.582 Kč převod z 2016 </t>
  </si>
  <si>
    <t>RO I převod 80.000 Kč z 2016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</si>
  <si>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</si>
  <si>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</si>
  <si>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</si>
  <si>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</si>
  <si>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</si>
  <si>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</si>
  <si>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</si>
  <si>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</si>
  <si>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</si>
  <si>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</si>
  <si>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</si>
  <si>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</si>
  <si>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</si>
  <si>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</si>
  <si>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</si>
  <si>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</si>
  <si>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</si>
  <si>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</si>
  <si>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</si>
  <si>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</si>
  <si>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</si>
  <si>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</si>
  <si>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</si>
  <si>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</si>
  <si>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</si>
  <si>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</si>
  <si>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</si>
  <si>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</si>
  <si>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</si>
  <si>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</si>
  <si>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</si>
  <si>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</si>
  <si>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</si>
  <si>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</si>
  <si>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</si>
  <si>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</si>
  <si>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</si>
  <si>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z toho nájem VaK</t>
  </si>
  <si>
    <t>Daňové příjmy   z toho</t>
  </si>
  <si>
    <t xml:space="preserve"> daň z nemovitosti</t>
  </si>
  <si>
    <t>tis.Kč</t>
  </si>
  <si>
    <t>výhled -2019</t>
  </si>
  <si>
    <t>výhled -2020</t>
  </si>
  <si>
    <t>výhled -2021</t>
  </si>
  <si>
    <t>výhled -2022</t>
  </si>
  <si>
    <t>Rok 2016</t>
  </si>
  <si>
    <t>skut.</t>
  </si>
  <si>
    <t>Projekty</t>
  </si>
  <si>
    <t>Stavba</t>
  </si>
  <si>
    <t>zateplení čp95- monitorovací zpráva</t>
  </si>
  <si>
    <t>zateplení multitec-monitorovací zpráva</t>
  </si>
  <si>
    <t>č.p. 12 poslední splátka</t>
  </si>
  <si>
    <t>TESKO-PD</t>
  </si>
  <si>
    <t>TESKO-stavba</t>
  </si>
  <si>
    <t>Sportoviště u ZŠ-stavba</t>
  </si>
  <si>
    <t>3141-310</t>
  </si>
  <si>
    <t>3111/307</t>
  </si>
  <si>
    <t>PD - II.etapa</t>
  </si>
  <si>
    <t>cyklostezka - koupaliště PD</t>
  </si>
  <si>
    <t>PD-Pod Slovany</t>
  </si>
  <si>
    <t>PD-SK Zálesí</t>
  </si>
  <si>
    <t>Nákup svozového auta</t>
  </si>
  <si>
    <t>Traktůrek</t>
  </si>
  <si>
    <t>Mulčovací rameno</t>
  </si>
  <si>
    <t>odnětí ze ZPF sběrný dvůr</t>
  </si>
  <si>
    <t>pozemek Třešňovka u rozhledny - Frintová</t>
  </si>
  <si>
    <t>Projektová dokumentace-Ing. Štefl</t>
  </si>
  <si>
    <t>Dotace Výzva 28 -spoluúčast</t>
  </si>
  <si>
    <t>TSÚ Celkem</t>
  </si>
  <si>
    <t>Byty Celkem</t>
  </si>
  <si>
    <t>Nebyty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</si>
  <si>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</si>
  <si>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</si>
  <si>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</si>
  <si>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</si>
  <si>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</si>
  <si>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</si>
  <si>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</si>
  <si>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</si>
  <si>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</si>
  <si>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</si>
  <si>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</si>
  <si>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</si>
  <si>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</si>
  <si>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</si>
  <si>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</si>
  <si>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</si>
  <si>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Středočeský kraj</t>
  </si>
  <si>
    <t>Úvěr</t>
  </si>
  <si>
    <t>Příspěvkové organizace celkem</t>
  </si>
  <si>
    <t>OR -Životní prostředí</t>
  </si>
  <si>
    <t>Život Úval</t>
  </si>
  <si>
    <t>OID+OSM</t>
  </si>
  <si>
    <t xml:space="preserve"> ekonomický odbor</t>
  </si>
  <si>
    <t>Správní , soc,právník odbor</t>
  </si>
  <si>
    <t>Základní škola</t>
  </si>
  <si>
    <t>Mateřská škola Prk</t>
  </si>
  <si>
    <t>Jídelná ZŠ</t>
  </si>
  <si>
    <t xml:space="preserve"> Mateřská škola Cuk.</t>
  </si>
  <si>
    <t>Mateřská škola Koll</t>
  </si>
  <si>
    <t xml:space="preserve">Jídelna  MŠ </t>
  </si>
  <si>
    <t>Technické služby Úvaly</t>
  </si>
  <si>
    <t>Zdravotní střediska</t>
  </si>
  <si>
    <t>všeobečná pokladna</t>
  </si>
  <si>
    <t>Odbory celkem</t>
  </si>
  <si>
    <t>Tajemnice, sekretariat</t>
  </si>
  <si>
    <t>měsícně</t>
  </si>
  <si>
    <t>Ostatní kapitoly</t>
  </si>
  <si>
    <t>Schval. rozpočet 2017</t>
  </si>
  <si>
    <t>Dokončení dne</t>
  </si>
  <si>
    <t>Zhotovitel</t>
  </si>
  <si>
    <t>Porr a.s.</t>
  </si>
  <si>
    <t>Od</t>
  </si>
  <si>
    <t>Do</t>
  </si>
  <si>
    <t>Pontex+poplatek PD</t>
  </si>
  <si>
    <t>chodník podíl II/101 - PD</t>
  </si>
  <si>
    <t>Průtah III/01214 - 3.úsek - PD</t>
  </si>
  <si>
    <t>autobusové zastávky-PD</t>
  </si>
  <si>
    <t>Lávka přes I/12 - PD</t>
  </si>
  <si>
    <t>parkoviště a točna autobusů (terminál)-PD</t>
  </si>
  <si>
    <t>chodník Na Spojce - PD</t>
  </si>
  <si>
    <t>rekonstrukce komunikace Kollárova - PD</t>
  </si>
  <si>
    <t>křižovatka u Billy - PD</t>
  </si>
  <si>
    <t>parkoviště u zdravotního střediska - PD</t>
  </si>
  <si>
    <t>chodník u MŠ Pražská - PD</t>
  </si>
  <si>
    <t>skatepark - PD</t>
  </si>
  <si>
    <t>chodník ulice Dobročovická a I/12-PD</t>
  </si>
  <si>
    <t>rekonstrukce komunikace 5.května - PD</t>
  </si>
  <si>
    <t>rekonstrukce komunikace Škvorecká - PD</t>
  </si>
  <si>
    <t>rekonstrukce III/01214 - 1.úsek - PD</t>
  </si>
  <si>
    <t>rekonstrukce Úvalák včetně SK - PD</t>
  </si>
  <si>
    <t>zateplení budovy "B"- PD</t>
  </si>
  <si>
    <t>Sportoviště u ZŠ- PD</t>
  </si>
  <si>
    <t>propojení v Radlické čtvrti</t>
  </si>
  <si>
    <t>propojení v Radlické čtvrti- PD</t>
  </si>
  <si>
    <t>Vodovod celkem</t>
  </si>
  <si>
    <t>Dostavba SK - II. etapa Zálesí/Hájovna, Nad Okrájkem, Horova- PD</t>
  </si>
  <si>
    <t>PD-Pod Slovany - PD</t>
  </si>
  <si>
    <t>PD-SK Zálesí - PD</t>
  </si>
  <si>
    <t>monitorovcí zpráva - Hrad Skara a Stonehenge</t>
  </si>
  <si>
    <t>Vseob.pokladna</t>
  </si>
  <si>
    <t>přesun měú do čp 95 PD, úprava PBŘ, rozpočet a yměna dispozice</t>
  </si>
  <si>
    <t>přesun měú do čp 95  stavba</t>
  </si>
  <si>
    <t>odvodnění dvora multitec - PD</t>
  </si>
  <si>
    <t>Lávka u devíti oblouků - PD</t>
  </si>
  <si>
    <t>Hasiči celkem</t>
  </si>
  <si>
    <t>Vseob.pokladna celkem</t>
  </si>
  <si>
    <t>archeologický průzkum sběrný dvůr - městské muzeum Čelákovice</t>
  </si>
  <si>
    <t>Popis projektů</t>
  </si>
  <si>
    <t>Nákup plošíny+kontéjnery</t>
  </si>
  <si>
    <t>věcná břemena(ČEZ, Pod Slovanyatd.)</t>
  </si>
  <si>
    <t>Pokuty SÚ</t>
  </si>
  <si>
    <t>Volby-doplatek 2016</t>
  </si>
  <si>
    <t>Městská stezka</t>
  </si>
  <si>
    <t>3749/3</t>
  </si>
  <si>
    <t>Úprava PD Park Úvaly od HG Partner</t>
  </si>
  <si>
    <t>GP - Horova</t>
  </si>
  <si>
    <t>3111-307</t>
  </si>
  <si>
    <t>Ostatní kapitoly+úroky</t>
  </si>
  <si>
    <t>Dluhová služba</t>
  </si>
  <si>
    <t>Dluhová základna</t>
  </si>
  <si>
    <t>tř.1</t>
  </si>
  <si>
    <t>tř.2</t>
  </si>
  <si>
    <t>tř.4</t>
  </si>
  <si>
    <t>Ukazatel dluhové služby</t>
  </si>
  <si>
    <t>Dluhová služby</t>
  </si>
  <si>
    <t>třída 1</t>
  </si>
  <si>
    <t>třída 2</t>
  </si>
  <si>
    <t>třída 4</t>
  </si>
  <si>
    <t>Ukazatel dluhové služby ( dluhové služby / dluhová základna)</t>
  </si>
  <si>
    <t>311/308</t>
  </si>
  <si>
    <t>3141/308</t>
  </si>
  <si>
    <t>dotace - úvěr</t>
  </si>
  <si>
    <t>úvěr + dotace</t>
  </si>
  <si>
    <t>Sanace kanalizace -bezvýk.techn</t>
  </si>
  <si>
    <t>RO č. 1b</t>
  </si>
  <si>
    <t>viz tab. Investice</t>
  </si>
  <si>
    <t>RVG</t>
  </si>
  <si>
    <t>dotace kanalizace</t>
  </si>
  <si>
    <t xml:space="preserve">dotace Tesko 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</si>
  <si>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</si>
  <si>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</si>
  <si>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</si>
  <si>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</si>
  <si>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</si>
  <si>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</si>
  <si>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</si>
  <si>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</si>
  <si>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</si>
  <si>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</si>
  <si>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</si>
  <si>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</si>
  <si>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</si>
  <si>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</si>
  <si>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</si>
  <si>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Podíl zadluženosti</t>
  </si>
  <si>
    <t>Schval. RO č.1</t>
  </si>
  <si>
    <t>Poplátek úvěr</t>
  </si>
  <si>
    <t>Piano</t>
  </si>
  <si>
    <t>Infraset</t>
  </si>
  <si>
    <t>ČD - zřízení VB - VO</t>
  </si>
  <si>
    <t>Koupě pozemků Lesů ČR</t>
  </si>
  <si>
    <t>Úřad práce UZ13101</t>
  </si>
  <si>
    <t>Schval. RO č.1b</t>
  </si>
  <si>
    <t>navýšení</t>
  </si>
  <si>
    <t>Přesuny</t>
  </si>
  <si>
    <t>služby  bezbariové</t>
  </si>
  <si>
    <t>Poplatek úvěr</t>
  </si>
  <si>
    <t>DSCR-ukazatel</t>
  </si>
  <si>
    <t>Cash flow</t>
  </si>
  <si>
    <t>dluhová služby</t>
  </si>
  <si>
    <t>Cash flow/ peněžní  zůstatek+ investice dotace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</si>
  <si>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</si>
  <si>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</si>
  <si>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</si>
  <si>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</si>
  <si>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</si>
  <si>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</si>
  <si>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Schval. RO č.2</t>
  </si>
  <si>
    <t>Návrh rozpočtu Města Úvaly na rok 2018</t>
  </si>
  <si>
    <t>Návrh rozpočtu opatření č. 3 rok 2018 dle odborů a kapitol</t>
  </si>
  <si>
    <t>Rozpočet  na rok 2018</t>
  </si>
  <si>
    <t>Návrh rozpočtu 2018</t>
  </si>
  <si>
    <t>Návrh rozpočtu TSÚ 2018</t>
  </si>
  <si>
    <t>Kapitálové výdaje  2018_ projekty</t>
  </si>
  <si>
    <t>Koupal. + Hřišť</t>
  </si>
  <si>
    <t>rezerva z přebytku 2017</t>
  </si>
  <si>
    <t>pújčené prostředky zřízeným PO</t>
  </si>
  <si>
    <t>I.KV 2017</t>
  </si>
  <si>
    <t>1-8/2017</t>
  </si>
  <si>
    <t>Návrh plánu 2018</t>
  </si>
  <si>
    <t>Plán 2018</t>
  </si>
  <si>
    <t>MP Manažer+ implementace</t>
  </si>
  <si>
    <t>PD - rekonstrukce,vstupní portál, zeď, hygienické zázemí</t>
  </si>
  <si>
    <t xml:space="preserve">pozemek </t>
  </si>
  <si>
    <t>PD - č.p 105</t>
  </si>
  <si>
    <t>PD - čp. 75</t>
  </si>
  <si>
    <t>PD - č.p. 1346</t>
  </si>
  <si>
    <t>PD - č.p. 1095 a 1096</t>
  </si>
  <si>
    <t>PD - č.p. 1347</t>
  </si>
  <si>
    <t>PD - č.p. 181</t>
  </si>
  <si>
    <t>klimatizace (kotelna)</t>
  </si>
  <si>
    <t>Koupě pozemků</t>
  </si>
  <si>
    <t>PD-V.Špály, Švermova, Slovinská</t>
  </si>
  <si>
    <t>Doplnění lamp, Švermova, V. Špály, Slovinská</t>
  </si>
  <si>
    <t>Příruční radový měřič rychlosti</t>
  </si>
  <si>
    <t xml:space="preserve">Rezerva na ztrátu hlásičů  </t>
  </si>
  <si>
    <t xml:space="preserve"> RO č.4</t>
  </si>
  <si>
    <t>č.p. 1346 - kotelna</t>
  </si>
  <si>
    <t>hřiště slovany</t>
  </si>
  <si>
    <t>dovybavení nerez</t>
  </si>
  <si>
    <t>parkoviště u nádraží PD</t>
  </si>
  <si>
    <t>chodník Diamantová - Horoušánky PD</t>
  </si>
  <si>
    <t xml:space="preserve">chodník Diamantová - Horoušánky </t>
  </si>
  <si>
    <t>odkup - sportovci</t>
  </si>
  <si>
    <t>Návrh rozpočtu  na rok 2018</t>
  </si>
  <si>
    <t>RO č.4</t>
  </si>
  <si>
    <t>Altán do DPS</t>
  </si>
  <si>
    <t>TDI při realizaci střechy</t>
  </si>
  <si>
    <t>Peč.služby</t>
  </si>
  <si>
    <t>auto</t>
  </si>
  <si>
    <t>VEŘEJNÉ Osvětlení v Úvalech</t>
  </si>
  <si>
    <t>VO - výměna v ul. Jiráskova</t>
  </si>
  <si>
    <t>pozemky pod komunikacemi</t>
  </si>
  <si>
    <t>Ortofoto mapa</t>
  </si>
  <si>
    <t>dodávka</t>
  </si>
  <si>
    <t>pick-up do terénu</t>
  </si>
  <si>
    <t>Holder Muvo/Multicar</t>
  </si>
  <si>
    <t>elektromateriál ostatní</t>
  </si>
  <si>
    <t>nářadí do 1000kč</t>
  </si>
  <si>
    <t>instalatérský a instalační materiál</t>
  </si>
  <si>
    <t>barvy, laky</t>
  </si>
  <si>
    <t>koše a pytlíky na psi exkrementy</t>
  </si>
  <si>
    <t>náhradní díly na techniku</t>
  </si>
  <si>
    <t>spojovací materiál</t>
  </si>
  <si>
    <t>poplatek SFŽP za vypouštění odpadních vod</t>
  </si>
  <si>
    <t>stravenky daňové</t>
  </si>
  <si>
    <t>stravenky nedaňové</t>
  </si>
  <si>
    <t>poplatek za uložení bioodpad</t>
  </si>
  <si>
    <t>prohlídky a programy zaměstnanců</t>
  </si>
  <si>
    <t>ostraha objektu</t>
  </si>
  <si>
    <t>oprava a údržba VaK</t>
  </si>
  <si>
    <t>Vybavení objektu města</t>
  </si>
  <si>
    <t>Dotace ZŠ Úvaly - TESKO</t>
  </si>
  <si>
    <t>RO č. 4</t>
  </si>
  <si>
    <t>Dotace SFDI - chodník Klánovická</t>
  </si>
  <si>
    <t>GDPR</t>
  </si>
  <si>
    <t>Oslavy 100.let ČSR</t>
  </si>
  <si>
    <t>lakování cisterny</t>
  </si>
  <si>
    <t>městský arborista Karburka</t>
  </si>
  <si>
    <t xml:space="preserve">zahradník, zahradní archit.města Štefl </t>
  </si>
  <si>
    <t>projektová dokumentace k SP + provedení stavby</t>
  </si>
  <si>
    <t xml:space="preserve">rozbor sedimentů - AQUATEST </t>
  </si>
  <si>
    <t>Výmalba bytovek-veřej.pr.</t>
  </si>
  <si>
    <t>opravy, údržba MěÚ objektů</t>
  </si>
  <si>
    <t>oprava shnilých oken + nátěr</t>
  </si>
  <si>
    <t>údržba, výtahu, kotle</t>
  </si>
  <si>
    <t>drobné přípravné práce na provoz koupaliště</t>
  </si>
  <si>
    <t>Koncepce rozvoje sportu</t>
  </si>
  <si>
    <t xml:space="preserve">nákup nových dveří - sociálky, </t>
  </si>
  <si>
    <t>drobné opravy - sociálek, čištění potrubí, výměna dveří</t>
  </si>
  <si>
    <t>odstranění závad dle revizí, větší opravy</t>
  </si>
  <si>
    <t>20.000,- TSÚ - drobné opravy</t>
  </si>
  <si>
    <t>Výměna koberce na pódiu</t>
  </si>
  <si>
    <t xml:space="preserve"> drobné opravy</t>
  </si>
  <si>
    <t>běžné opravy, čištění střechy</t>
  </si>
  <si>
    <t>Přípravné práce - prostřik vlastního rycyklátu</t>
  </si>
  <si>
    <t>Oprava komunikací-Modřínová, Jedlová</t>
  </si>
  <si>
    <t>Oprava chodníků Pařezina</t>
  </si>
  <si>
    <t>Dláždění chodníků - přípravné materiály</t>
  </si>
  <si>
    <t>Kanalizace  celkem</t>
  </si>
  <si>
    <t>Ul. Nerudova (pí Navrátilová)</t>
  </si>
  <si>
    <t>Smetanova oprava, 50.000,- TSÚ - tlak. vůz čištění</t>
  </si>
  <si>
    <t>monitorovací zpráva na rev.rybníků</t>
  </si>
  <si>
    <t>Rok 2018</t>
  </si>
  <si>
    <t>výhled -2023</t>
  </si>
  <si>
    <t>Osobní číslo</t>
  </si>
  <si>
    <t>Příjmení a jméno</t>
  </si>
  <si>
    <t>Druh PP</t>
  </si>
  <si>
    <t>Třída</t>
  </si>
  <si>
    <t>Stupeň</t>
  </si>
  <si>
    <t>Tarif do října</t>
  </si>
  <si>
    <t>Tarif od listopadu</t>
  </si>
  <si>
    <t>Příplatky</t>
  </si>
  <si>
    <t>Měsíčně od listopadu</t>
  </si>
  <si>
    <t>Pohotovost</t>
  </si>
  <si>
    <t>S pohotovostí</t>
  </si>
  <si>
    <t>Zima</t>
  </si>
  <si>
    <t>Bez pohotovosti</t>
  </si>
  <si>
    <t>Celkem za rok</t>
  </si>
  <si>
    <t>Vedení</t>
  </si>
  <si>
    <t>Osobní</t>
  </si>
  <si>
    <t>Riziko</t>
  </si>
  <si>
    <t>Jiné</t>
  </si>
  <si>
    <t>Hrubá</t>
  </si>
  <si>
    <t>Superhrubá</t>
  </si>
  <si>
    <t>Zimní -     VPS</t>
  </si>
  <si>
    <t>Celoroční - VaK</t>
  </si>
  <si>
    <t>hlavní na dobu neurčitou</t>
  </si>
  <si>
    <t>06</t>
  </si>
  <si>
    <t>11</t>
  </si>
  <si>
    <t>03</t>
  </si>
  <si>
    <t>05</t>
  </si>
  <si>
    <t>Bogdan Ján</t>
  </si>
  <si>
    <t>hlavní na dobu určitou</t>
  </si>
  <si>
    <t>08</t>
  </si>
  <si>
    <t>Březinová Věra</t>
  </si>
  <si>
    <t>09</t>
  </si>
  <si>
    <t>Dujsík Stanislav</t>
  </si>
  <si>
    <t>10</t>
  </si>
  <si>
    <t>12</t>
  </si>
  <si>
    <t>07</t>
  </si>
  <si>
    <t>04</t>
  </si>
  <si>
    <t>Brázda Jiří</t>
  </si>
  <si>
    <t>02</t>
  </si>
  <si>
    <t>dohoda o provedení práce</t>
  </si>
  <si>
    <t/>
  </si>
  <si>
    <t>Novotný Marek</t>
  </si>
  <si>
    <t>dohoda o pracovní činnosti</t>
  </si>
  <si>
    <t>Slavíková Pavlína</t>
  </si>
  <si>
    <t>Slavíková Romana</t>
  </si>
  <si>
    <t>Řepka Jakub</t>
  </si>
  <si>
    <t>Dotace  Nachlingerův park</t>
  </si>
  <si>
    <t>Střednědobý rozpočtový výhled 2019- 2023</t>
  </si>
  <si>
    <t>y</t>
  </si>
  <si>
    <t xml:space="preserve">Běžné výdaje </t>
  </si>
  <si>
    <t>Výhled 2019</t>
  </si>
  <si>
    <t>Výhled 2020</t>
  </si>
  <si>
    <t>Výhled 2021</t>
  </si>
  <si>
    <t>Výhled 2022</t>
  </si>
  <si>
    <t>Výhled 2023</t>
  </si>
  <si>
    <t xml:space="preserve">Hospodářský výsledek </t>
  </si>
  <si>
    <t>Bezpečnostní  víkendy</t>
  </si>
  <si>
    <t>Osobní náklady</t>
  </si>
  <si>
    <t>2018-plán</t>
  </si>
  <si>
    <t>2017-oček.</t>
  </si>
  <si>
    <t>2017 oček.</t>
  </si>
  <si>
    <t>volby do parlamentu - doplatek roku 2016</t>
  </si>
  <si>
    <t>dotace Základní škola -Šablony</t>
  </si>
  <si>
    <t>Dotace-  Průtah č. 3</t>
  </si>
  <si>
    <t>Dotace - Úvaly splašková kanalizace -II.etapa-rozšíření</t>
  </si>
  <si>
    <t>svoz odpadů</t>
  </si>
  <si>
    <t>příjmy ze separace odpadů</t>
  </si>
  <si>
    <t>obnova VaK - fakturace městu</t>
  </si>
  <si>
    <t>přistavení kontejneru občanům</t>
  </si>
  <si>
    <t>jinde nezařazený materiál</t>
  </si>
  <si>
    <t>ČOV Horoušany</t>
  </si>
  <si>
    <t>černé skládky</t>
  </si>
  <si>
    <t>Poplatky a daně</t>
  </si>
  <si>
    <t>Ostatní daně a poplatky</t>
  </si>
  <si>
    <t>TESKO - vybavení</t>
  </si>
  <si>
    <t>Počet zaměstnanců města Úvaly 2006 - 2018 (mimo příspěvkové organizace města - ZŠ, MŠ, MDDM, TS)</t>
  </si>
  <si>
    <t>2018 výhled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</si>
  <si>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</si>
  <si>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</si>
  <si>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</si>
  <si>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</si>
  <si>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</si>
  <si>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</si>
  <si>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</si>
  <si>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r>
      <rPr>
        <b/>
        <sz val="11"/>
        <color indexed="8"/>
        <rFont val="Calibri"/>
        <family val="2"/>
        <charset val="238"/>
      </rPr>
      <t xml:space="preserve">Městská policie  </t>
    </r>
    <r>
      <rPr>
        <sz val="10"/>
        <rFont val="Arial"/>
        <family val="2"/>
        <charset val="238"/>
      </rPr>
      <t>postupný nárůst pracovníků od roku 2014 - vznik MP, v roce 2017 navýšení o 1 strážníka</t>
    </r>
  </si>
  <si>
    <t>Dotace Výžva č.28 IT</t>
  </si>
  <si>
    <t>Transfery přijaté od kraje</t>
  </si>
  <si>
    <t>Dotace Výzva č.28 IT</t>
  </si>
  <si>
    <t>čerpání Ok</t>
  </si>
  <si>
    <t>RO Č.1           rok 2018</t>
  </si>
  <si>
    <t>RO Č.1                     rok 2018</t>
  </si>
  <si>
    <t xml:space="preserve">Rozdíl </t>
  </si>
  <si>
    <t>návrh koncepce rozšíření ČOV</t>
  </si>
  <si>
    <t>dotace průtah - komunikace</t>
  </si>
  <si>
    <t>MMCITÉ - MOBILIÁŘ</t>
  </si>
  <si>
    <t>Skut.</t>
  </si>
  <si>
    <t>Plán</t>
  </si>
  <si>
    <t>Tabulka SIMU</t>
  </si>
  <si>
    <t>Příloha č. 2</t>
  </si>
  <si>
    <t>Monitorig hospodaření obcí</t>
  </si>
  <si>
    <t>MF ČR - odbor 12</t>
  </si>
  <si>
    <t>v tisících Kč</t>
  </si>
  <si>
    <t xml:space="preserve">Počet </t>
  </si>
  <si>
    <t>Příjem</t>
  </si>
  <si>
    <t>Uhrazené splátky</t>
  </si>
  <si>
    <t>Aktiva</t>
  </si>
  <si>
    <t>Stav na</t>
  </si>
  <si>
    <t>Úvěry a</t>
  </si>
  <si>
    <t>PNFV</t>
  </si>
  <si>
    <t>Zadluženost</t>
  </si>
  <si>
    <t>Podíl cizích zdrojů</t>
  </si>
  <si>
    <t>8-leté</t>
  </si>
  <si>
    <t>Oběžná</t>
  </si>
  <si>
    <t>Krátkodobé</t>
  </si>
  <si>
    <t>Celková</t>
  </si>
  <si>
    <t>LAU 1</t>
  </si>
  <si>
    <t>Název obce</t>
  </si>
  <si>
    <t xml:space="preserve">obyvatel </t>
  </si>
  <si>
    <t xml:space="preserve">celkem </t>
  </si>
  <si>
    <t>dluhopisů a</t>
  </si>
  <si>
    <t xml:space="preserve"> (DS) celkem </t>
  </si>
  <si>
    <t>DS</t>
  </si>
  <si>
    <t>Cizí zdroje</t>
  </si>
  <si>
    <t>bankovních</t>
  </si>
  <si>
    <t>komunální</t>
  </si>
  <si>
    <t>a ostatní</t>
  </si>
  <si>
    <t>k celkovým aktivům</t>
  </si>
  <si>
    <t>na cizích zdrojích</t>
  </si>
  <si>
    <t>saldo</t>
  </si>
  <si>
    <t>aktiva</t>
  </si>
  <si>
    <t>závazky</t>
  </si>
  <si>
    <t>likvidita</t>
  </si>
  <si>
    <t>obce</t>
  </si>
  <si>
    <t>(po konsolidaci)</t>
  </si>
  <si>
    <t>půjčených prostředků</t>
  </si>
  <si>
    <t>3+4</t>
  </si>
  <si>
    <t>5:2 (%)</t>
  </si>
  <si>
    <t>účtech celkem</t>
  </si>
  <si>
    <t>dluhopisy</t>
  </si>
  <si>
    <t>dluhy</t>
  </si>
  <si>
    <t>10+11</t>
  </si>
  <si>
    <t>8:7 (%)</t>
  </si>
  <si>
    <t>12:8 (%)</t>
  </si>
  <si>
    <t>16:17</t>
  </si>
  <si>
    <t>období 12/2017 - 2018</t>
  </si>
  <si>
    <t>1 /2018</t>
  </si>
  <si>
    <t>2 /2018</t>
  </si>
  <si>
    <t>3 /2018</t>
  </si>
  <si>
    <t>4 /2018</t>
  </si>
  <si>
    <t>5 /2018</t>
  </si>
  <si>
    <t>6 /2018</t>
  </si>
  <si>
    <t>7 /2018</t>
  </si>
  <si>
    <t>8 /2018</t>
  </si>
  <si>
    <t>9 /2018</t>
  </si>
  <si>
    <t>10 /2018</t>
  </si>
  <si>
    <t>11 /2018</t>
  </si>
  <si>
    <t>12 /2018</t>
  </si>
  <si>
    <t>Úvaly</t>
  </si>
  <si>
    <t>bez TSÚ</t>
  </si>
  <si>
    <t>nápis "pětašedesátka"</t>
  </si>
  <si>
    <t>Přechod ulice Bulharská</t>
  </si>
  <si>
    <t>Přechod ulice Bulharská PD</t>
  </si>
  <si>
    <t>Rezervy na projekty 2018</t>
  </si>
  <si>
    <t xml:space="preserve">Celkový dluh města </t>
  </si>
  <si>
    <t>RO Č.2           rok 2018</t>
  </si>
  <si>
    <t>RO Č.2                     rok 2018</t>
  </si>
  <si>
    <t>Dotace + rozpočet města</t>
  </si>
  <si>
    <t>Dotace + rozpočet</t>
  </si>
  <si>
    <t>Platba rok 2019 dle smlouvy</t>
  </si>
  <si>
    <t>Úvěr zůstátek</t>
  </si>
  <si>
    <t>povinné soc. poj.</t>
  </si>
  <si>
    <t xml:space="preserve">povinné zdrav. Poj. </t>
  </si>
  <si>
    <t>přesun administrativa M.policie na 5011</t>
  </si>
  <si>
    <t>Park Úvaly Vinice(Amfiteatr )</t>
  </si>
  <si>
    <t>novela katalogu zařazení do plat. tříd a postupy 35 prac.</t>
  </si>
  <si>
    <t>odchodné volby 4+1 plat starosta, 3+1  2x místostarosta</t>
  </si>
  <si>
    <t>přesun do pol 5492</t>
  </si>
  <si>
    <t>Inv.přísp. Úvěr+Svaz.škola PD</t>
  </si>
  <si>
    <t>Okénko č. p 95</t>
  </si>
  <si>
    <t>Sinice Dar</t>
  </si>
  <si>
    <t>Rekonstrukce č.p.95 monitorovací zpráva</t>
  </si>
  <si>
    <t>ČVUT - doprava - PD</t>
  </si>
  <si>
    <t>rekonstrukce náměstí PD</t>
  </si>
  <si>
    <t>VL Lachmanová, VL Povodí Labe</t>
  </si>
  <si>
    <t>viz Tab. nákup služeb</t>
  </si>
  <si>
    <t>viz Tab. opravy a udržování</t>
  </si>
  <si>
    <t>viz Tab. Investice</t>
  </si>
  <si>
    <t xml:space="preserve">planovácí smlouva </t>
  </si>
  <si>
    <t>-20 000,-Kč kap.3399-kultura přesun do pol. 5194, +280 000,-Kč kap. 2212-silnice</t>
  </si>
  <si>
    <t>-124 400,-Kč Kap. 3111/311 MŠ Koll.</t>
  </si>
  <si>
    <t>přesun z pol. 5139, kap. 3399 kultura</t>
  </si>
  <si>
    <t>+143 000,-Kč, kap. 3113-ZŠ</t>
  </si>
  <si>
    <t>Přehled  výdajů jednotlivých kapitol RO č.2/2018</t>
  </si>
  <si>
    <t>Návrh RO č.2/ 2018</t>
  </si>
  <si>
    <t>50 000,-Kč přesun z pol 5222, 600 000,-Kč 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</si>
</sst>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000000"/>
    <numFmt numFmtId="173" formatCode="_-* #,##0.0\ _K_č_-;\-* #,##0.0\ _K_č_-;_-* &quot;-&quot;?\ _K_č_-;_-@_-"/>
    <numFmt numFmtId="174" formatCode="###,###,##0"/>
    <numFmt numFmtId="175" formatCode="###,###,##0.00"/>
  </numFmts>
  <fonts count="9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 CE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 CE"/>
      <family val="2"/>
      <charset val="238"/>
    </font>
    <font>
      <sz val="9"/>
      <color theme="0"/>
      <name val="Arial CE"/>
      <charset val="238"/>
    </font>
    <font>
      <b/>
      <sz val="18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</cellStyleXfs>
  <cellXfs count="2029">
    <xf numFmtId="0" fontId="0" fillId="0" borderId="0" xfId="0"/>
    <xf numFmtId="0" fontId="18" fillId="0" borderId="0" xfId="6" applyFont="1"/>
    <xf numFmtId="3" fontId="18" fillId="0" borderId="0" xfId="6" applyNumberFormat="1" applyFont="1"/>
    <xf numFmtId="0" fontId="19" fillId="0" borderId="0" xfId="6" applyFont="1"/>
    <xf numFmtId="3" fontId="20" fillId="0" borderId="0" xfId="6" applyNumberFormat="1" applyFont="1"/>
    <xf numFmtId="0" fontId="21" fillId="2" borderId="1" xfId="6" applyFont="1" applyFill="1" applyBorder="1" applyAlignment="1">
      <alignment horizontal="center" vertical="center"/>
    </xf>
    <xf numFmtId="0" fontId="21" fillId="2" borderId="2" xfId="6" applyFont="1" applyFill="1" applyBorder="1" applyAlignment="1">
      <alignment horizontal="center" vertical="center"/>
    </xf>
    <xf numFmtId="0" fontId="21" fillId="2" borderId="3" xfId="6" applyFont="1" applyFill="1" applyBorder="1" applyAlignment="1">
      <alignment horizontal="center" vertical="center" wrapText="1"/>
    </xf>
    <xf numFmtId="0" fontId="22" fillId="0" borderId="0" xfId="6" applyFont="1"/>
    <xf numFmtId="0" fontId="18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wrapText="1"/>
    </xf>
    <xf numFmtId="3" fontId="20" fillId="0" borderId="0" xfId="0" applyNumberFormat="1" applyFont="1"/>
    <xf numFmtId="3" fontId="18" fillId="0" borderId="0" xfId="0" applyNumberFormat="1" applyFont="1"/>
    <xf numFmtId="0" fontId="20" fillId="0" borderId="0" xfId="6" applyFont="1" applyAlignment="1">
      <alignment horizontal="center"/>
    </xf>
    <xf numFmtId="0" fontId="19" fillId="0" borderId="0" xfId="6" applyFont="1" applyAlignment="1">
      <alignment horizontal="left"/>
    </xf>
    <xf numFmtId="0" fontId="23" fillId="0" borderId="0" xfId="6" applyFont="1" applyAlignment="1">
      <alignment wrapText="1"/>
    </xf>
    <xf numFmtId="0" fontId="23" fillId="0" borderId="0" xfId="0" applyFont="1"/>
    <xf numFmtId="3" fontId="24" fillId="0" borderId="0" xfId="0" applyNumberFormat="1" applyFont="1" applyAlignment="1">
      <alignment horizontal="right"/>
    </xf>
    <xf numFmtId="0" fontId="21" fillId="2" borderId="2" xfId="6" applyFont="1" applyFill="1" applyBorder="1" applyAlignment="1">
      <alignment horizontal="center" vertical="center" wrapText="1"/>
    </xf>
    <xf numFmtId="3" fontId="20" fillId="2" borderId="4" xfId="6" applyNumberFormat="1" applyFont="1" applyFill="1" applyBorder="1" applyAlignment="1">
      <alignment horizontal="center" vertical="center" wrapText="1"/>
    </xf>
    <xf numFmtId="3" fontId="24" fillId="0" borderId="0" xfId="0" applyNumberFormat="1" applyFont="1"/>
    <xf numFmtId="0" fontId="24" fillId="0" borderId="0" xfId="0" applyFont="1"/>
    <xf numFmtId="0" fontId="24" fillId="3" borderId="1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1" fillId="3" borderId="6" xfId="0" applyFont="1" applyFill="1" applyBorder="1" applyAlignment="1">
      <alignment wrapText="1"/>
    </xf>
    <xf numFmtId="3" fontId="24" fillId="3" borderId="3" xfId="0" applyNumberFormat="1" applyFont="1" applyFill="1" applyBorder="1"/>
    <xf numFmtId="0" fontId="18" fillId="3" borderId="7" xfId="0" applyFont="1" applyFill="1" applyBorder="1" applyAlignment="1">
      <alignment wrapText="1"/>
    </xf>
    <xf numFmtId="0" fontId="18" fillId="3" borderId="8" xfId="0" applyFont="1" applyFill="1" applyBorder="1" applyAlignment="1">
      <alignment wrapText="1"/>
    </xf>
    <xf numFmtId="0" fontId="18" fillId="3" borderId="9" xfId="0" applyFont="1" applyFill="1" applyBorder="1" applyAlignment="1">
      <alignment wrapText="1"/>
    </xf>
    <xf numFmtId="3" fontId="21" fillId="3" borderId="3" xfId="0" applyNumberFormat="1" applyFont="1" applyFill="1" applyBorder="1"/>
    <xf numFmtId="3" fontId="21" fillId="3" borderId="6" xfId="0" applyNumberFormat="1" applyFont="1" applyFill="1" applyBorder="1"/>
    <xf numFmtId="3" fontId="21" fillId="0" borderId="0" xfId="0" applyNumberFormat="1" applyFont="1"/>
    <xf numFmtId="0" fontId="21" fillId="0" borderId="0" xfId="0" applyFont="1"/>
    <xf numFmtId="0" fontId="18" fillId="0" borderId="0" xfId="0" applyFont="1" applyAlignment="1">
      <alignment horizontal="center"/>
    </xf>
    <xf numFmtId="165" fontId="25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20" fillId="0" borderId="10" xfId="0" applyNumberFormat="1" applyFont="1" applyFill="1" applyBorder="1"/>
    <xf numFmtId="3" fontId="18" fillId="0" borderId="11" xfId="0" applyNumberFormat="1" applyFont="1" applyFill="1" applyBorder="1"/>
    <xf numFmtId="3" fontId="20" fillId="0" borderId="11" xfId="0" applyNumberFormat="1" applyFont="1" applyFill="1" applyBorder="1"/>
    <xf numFmtId="3" fontId="20" fillId="0" borderId="12" xfId="0" applyNumberFormat="1" applyFont="1" applyFill="1" applyBorder="1"/>
    <xf numFmtId="0" fontId="26" fillId="0" borderId="0" xfId="6" applyFont="1"/>
    <xf numFmtId="49" fontId="18" fillId="0" borderId="0" xfId="7" applyNumberFormat="1" applyFont="1" applyAlignment="1">
      <alignment horizontal="center"/>
    </xf>
    <xf numFmtId="0" fontId="18" fillId="0" borderId="0" xfId="7" applyFont="1"/>
    <xf numFmtId="0" fontId="21" fillId="2" borderId="5" xfId="7" applyFont="1" applyFill="1" applyBorder="1" applyAlignment="1">
      <alignment horizontal="center"/>
    </xf>
    <xf numFmtId="3" fontId="20" fillId="2" borderId="4" xfId="6" applyNumberFormat="1" applyFont="1" applyFill="1" applyBorder="1" applyAlignment="1">
      <alignment horizontal="center" wrapText="1"/>
    </xf>
    <xf numFmtId="0" fontId="18" fillId="0" borderId="13" xfId="7" applyFont="1" applyBorder="1" applyAlignment="1">
      <alignment horizontal="center" wrapText="1"/>
    </xf>
    <xf numFmtId="0" fontId="18" fillId="0" borderId="13" xfId="7" applyFont="1" applyBorder="1" applyAlignment="1">
      <alignment wrapText="1"/>
    </xf>
    <xf numFmtId="0" fontId="18" fillId="0" borderId="14" xfId="7" applyFont="1" applyBorder="1" applyAlignment="1">
      <alignment horizontal="center" wrapText="1"/>
    </xf>
    <xf numFmtId="0" fontId="18" fillId="0" borderId="14" xfId="7" applyFont="1" applyBorder="1" applyAlignment="1">
      <alignment wrapText="1"/>
    </xf>
    <xf numFmtId="3" fontId="20" fillId="0" borderId="11" xfId="7" applyNumberFormat="1" applyFont="1" applyFill="1" applyBorder="1"/>
    <xf numFmtId="3" fontId="18" fillId="0" borderId="0" xfId="6" applyNumberFormat="1" applyFont="1" applyAlignment="1"/>
    <xf numFmtId="3" fontId="18" fillId="0" borderId="0" xfId="0" applyNumberFormat="1" applyFont="1" applyAlignment="1"/>
    <xf numFmtId="3" fontId="18" fillId="0" borderId="0" xfId="0" applyNumberFormat="1" applyFont="1" applyBorder="1" applyAlignment="1"/>
    <xf numFmtId="3" fontId="25" fillId="0" borderId="0" xfId="0" applyNumberFormat="1" applyFont="1" applyAlignment="1">
      <alignment horizontal="right"/>
    </xf>
    <xf numFmtId="0" fontId="21" fillId="2" borderId="1" xfId="6" applyFont="1" applyFill="1" applyBorder="1" applyAlignment="1">
      <alignment horizontal="center" vertical="center" wrapText="1"/>
    </xf>
    <xf numFmtId="0" fontId="18" fillId="0" borderId="15" xfId="0" applyFont="1" applyFill="1" applyBorder="1"/>
    <xf numFmtId="3" fontId="18" fillId="0" borderId="16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>
      <alignment horizontal="right"/>
    </xf>
    <xf numFmtId="0" fontId="18" fillId="0" borderId="17" xfId="0" applyFont="1" applyFill="1" applyBorder="1"/>
    <xf numFmtId="3" fontId="18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21" fillId="0" borderId="3" xfId="0" applyNumberFormat="1" applyFont="1" applyFill="1" applyBorder="1"/>
    <xf numFmtId="0" fontId="20" fillId="0" borderId="0" xfId="0" applyFont="1"/>
    <xf numFmtId="3" fontId="18" fillId="0" borderId="0" xfId="0" applyNumberFormat="1" applyFont="1" applyBorder="1"/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3" fontId="24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0" fontId="23" fillId="0" borderId="0" xfId="0" applyFont="1" applyBorder="1"/>
    <xf numFmtId="3" fontId="24" fillId="0" borderId="0" xfId="0" applyNumberFormat="1" applyFont="1" applyBorder="1" applyAlignment="1"/>
    <xf numFmtId="3" fontId="24" fillId="0" borderId="0" xfId="0" applyNumberFormat="1" applyFont="1" applyBorder="1"/>
    <xf numFmtId="3" fontId="21" fillId="0" borderId="0" xfId="0" applyNumberFormat="1" applyFont="1" applyBorder="1" applyAlignment="1"/>
    <xf numFmtId="3" fontId="20" fillId="0" borderId="0" xfId="0" applyNumberFormat="1" applyFont="1" applyBorder="1"/>
    <xf numFmtId="0" fontId="20" fillId="0" borderId="0" xfId="0" applyFont="1" applyBorder="1"/>
    <xf numFmtId="0" fontId="18" fillId="0" borderId="0" xfId="8" applyFont="1"/>
    <xf numFmtId="0" fontId="23" fillId="0" borderId="0" xfId="8" applyFont="1"/>
    <xf numFmtId="3" fontId="20" fillId="0" borderId="0" xfId="8" applyNumberFormat="1" applyFont="1"/>
    <xf numFmtId="0" fontId="27" fillId="0" borderId="0" xfId="8" applyFont="1"/>
    <xf numFmtId="0" fontId="28" fillId="0" borderId="0" xfId="8" applyFont="1" applyBorder="1"/>
    <xf numFmtId="3" fontId="21" fillId="0" borderId="0" xfId="8" applyNumberFormat="1" applyFont="1" applyBorder="1"/>
    <xf numFmtId="0" fontId="28" fillId="0" borderId="0" xfId="8" applyFont="1"/>
    <xf numFmtId="0" fontId="18" fillId="0" borderId="18" xfId="8" applyFont="1" applyBorder="1" applyAlignment="1">
      <alignment horizontal="center"/>
    </xf>
    <xf numFmtId="3" fontId="20" fillId="0" borderId="16" xfId="8" applyNumberFormat="1" applyFont="1" applyBorder="1" applyAlignment="1">
      <alignment horizontal="right"/>
    </xf>
    <xf numFmtId="0" fontId="18" fillId="0" borderId="0" xfId="8" applyFont="1" applyAlignment="1">
      <alignment horizontal="left"/>
    </xf>
    <xf numFmtId="0" fontId="18" fillId="0" borderId="0" xfId="8" applyFont="1" applyAlignment="1"/>
    <xf numFmtId="0" fontId="18" fillId="0" borderId="19" xfId="8" applyFont="1" applyBorder="1" applyAlignment="1">
      <alignment horizontal="center"/>
    </xf>
    <xf numFmtId="3" fontId="20" fillId="0" borderId="11" xfId="8" applyNumberFormat="1" applyFont="1" applyFill="1" applyBorder="1" applyAlignment="1">
      <alignment horizontal="right"/>
    </xf>
    <xf numFmtId="0" fontId="21" fillId="0" borderId="0" xfId="8" applyFont="1"/>
    <xf numFmtId="3" fontId="20" fillId="0" borderId="11" xfId="8" applyNumberFormat="1" applyFont="1" applyBorder="1" applyAlignment="1">
      <alignment horizontal="right"/>
    </xf>
    <xf numFmtId="3" fontId="21" fillId="0" borderId="3" xfId="8" applyNumberFormat="1" applyFont="1" applyBorder="1" applyAlignment="1">
      <alignment horizontal="right"/>
    </xf>
    <xf numFmtId="165" fontId="25" fillId="0" borderId="0" xfId="5" applyNumberFormat="1" applyFont="1" applyAlignment="1">
      <alignment horizontal="right"/>
    </xf>
    <xf numFmtId="0" fontId="21" fillId="3" borderId="3" xfId="5" applyFont="1" applyFill="1" applyBorder="1" applyAlignment="1">
      <alignment horizontal="center" vertical="center"/>
    </xf>
    <xf numFmtId="2" fontId="21" fillId="3" borderId="3" xfId="5" applyNumberFormat="1" applyFont="1" applyFill="1" applyBorder="1" applyAlignment="1">
      <alignment horizontal="center" vertical="center" wrapText="1"/>
    </xf>
    <xf numFmtId="3" fontId="21" fillId="3" borderId="3" xfId="5" applyNumberFormat="1" applyFont="1" applyFill="1" applyBorder="1" applyAlignment="1">
      <alignment horizontal="center" vertical="center" wrapText="1"/>
    </xf>
    <xf numFmtId="3" fontId="21" fillId="4" borderId="3" xfId="5" applyNumberFormat="1" applyFont="1" applyFill="1" applyBorder="1" applyAlignment="1">
      <alignment horizontal="center" vertical="center" wrapText="1"/>
    </xf>
    <xf numFmtId="0" fontId="21" fillId="0" borderId="0" xfId="5" applyFont="1" applyBorder="1"/>
    <xf numFmtId="49" fontId="18" fillId="0" borderId="20" xfId="8" applyNumberFormat="1" applyFont="1" applyBorder="1" applyAlignment="1">
      <alignment horizontal="center"/>
    </xf>
    <xf numFmtId="0" fontId="18" fillId="0" borderId="20" xfId="0" applyFont="1" applyBorder="1" applyAlignment="1">
      <alignment wrapText="1"/>
    </xf>
    <xf numFmtId="3" fontId="20" fillId="4" borderId="16" xfId="8" applyNumberFormat="1" applyFont="1" applyFill="1" applyBorder="1" applyAlignment="1">
      <alignment horizontal="right"/>
    </xf>
    <xf numFmtId="49" fontId="18" fillId="0" borderId="21" xfId="8" applyNumberFormat="1" applyFont="1" applyBorder="1" applyAlignment="1">
      <alignment horizontal="center"/>
    </xf>
    <xf numFmtId="0" fontId="18" fillId="0" borderId="21" xfId="0" applyFont="1" applyBorder="1" applyAlignment="1">
      <alignment wrapText="1"/>
    </xf>
    <xf numFmtId="3" fontId="20" fillId="4" borderId="11" xfId="8" applyNumberFormat="1" applyFont="1" applyFill="1" applyBorder="1" applyAlignment="1">
      <alignment horizontal="right"/>
    </xf>
    <xf numFmtId="0" fontId="18" fillId="0" borderId="1" xfId="8" applyFont="1" applyBorder="1" applyAlignment="1">
      <alignment horizontal="center"/>
    </xf>
    <xf numFmtId="0" fontId="18" fillId="0" borderId="22" xfId="8" applyFont="1" applyBorder="1" applyAlignment="1">
      <alignment horizontal="center"/>
    </xf>
    <xf numFmtId="0" fontId="21" fillId="0" borderId="22" xfId="8" applyFont="1" applyBorder="1"/>
    <xf numFmtId="3" fontId="21" fillId="4" borderId="3" xfId="8" applyNumberFormat="1" applyFont="1" applyFill="1" applyBorder="1" applyAlignment="1">
      <alignment horizontal="right"/>
    </xf>
    <xf numFmtId="0" fontId="20" fillId="0" borderId="0" xfId="11" applyFont="1" applyFill="1" applyBorder="1" applyAlignment="1"/>
    <xf numFmtId="0" fontId="21" fillId="0" borderId="0" xfId="11" applyFont="1" applyFill="1" applyBorder="1" applyAlignment="1"/>
    <xf numFmtId="0" fontId="18" fillId="0" borderId="1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49" fontId="20" fillId="2" borderId="5" xfId="7" applyNumberFormat="1" applyFont="1" applyFill="1" applyBorder="1" applyAlignment="1">
      <alignment horizontal="center" wrapText="1"/>
    </xf>
    <xf numFmtId="0" fontId="18" fillId="0" borderId="24" xfId="7" applyFont="1" applyBorder="1" applyAlignment="1">
      <alignment horizontal="center" wrapText="1"/>
    </xf>
    <xf numFmtId="0" fontId="18" fillId="0" borderId="24" xfId="7" applyFont="1" applyBorder="1" applyAlignment="1">
      <alignment wrapText="1"/>
    </xf>
    <xf numFmtId="3" fontId="20" fillId="0" borderId="12" xfId="7" applyNumberFormat="1" applyFont="1" applyFill="1" applyBorder="1"/>
    <xf numFmtId="3" fontId="21" fillId="0" borderId="3" xfId="0" applyNumberFormat="1" applyFont="1" applyBorder="1"/>
    <xf numFmtId="3" fontId="18" fillId="0" borderId="10" xfId="0" applyNumberFormat="1" applyFont="1" applyFill="1" applyBorder="1"/>
    <xf numFmtId="0" fontId="20" fillId="3" borderId="25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8" fillId="3" borderId="27" xfId="0" applyFont="1" applyFill="1" applyBorder="1" applyAlignment="1">
      <alignment wrapText="1"/>
    </xf>
    <xf numFmtId="0" fontId="18" fillId="3" borderId="28" xfId="0" applyFont="1" applyFill="1" applyBorder="1" applyAlignment="1">
      <alignment wrapText="1"/>
    </xf>
    <xf numFmtId="0" fontId="28" fillId="0" borderId="0" xfId="0" applyFont="1"/>
    <xf numFmtId="0" fontId="18" fillId="3" borderId="23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29" fillId="3" borderId="2" xfId="0" applyFont="1" applyFill="1" applyBorder="1" applyAlignment="1"/>
    <xf numFmtId="0" fontId="29" fillId="3" borderId="30" xfId="0" applyFont="1" applyFill="1" applyBorder="1" applyAlignment="1"/>
    <xf numFmtId="0" fontId="29" fillId="3" borderId="6" xfId="0" applyFont="1" applyFill="1" applyBorder="1" applyAlignment="1"/>
    <xf numFmtId="3" fontId="29" fillId="0" borderId="0" xfId="0" applyNumberFormat="1" applyFont="1"/>
    <xf numFmtId="0" fontId="29" fillId="0" borderId="0" xfId="0" applyFont="1"/>
    <xf numFmtId="3" fontId="29" fillId="3" borderId="3" xfId="0" applyNumberFormat="1" applyFont="1" applyFill="1" applyBorder="1"/>
    <xf numFmtId="0" fontId="29" fillId="3" borderId="0" xfId="0" applyFont="1" applyFill="1" applyBorder="1" applyAlignment="1"/>
    <xf numFmtId="164" fontId="22" fillId="0" borderId="0" xfId="6" applyNumberFormat="1" applyFont="1"/>
    <xf numFmtId="164" fontId="22" fillId="0" borderId="0" xfId="0" applyNumberFormat="1" applyFont="1"/>
    <xf numFmtId="0" fontId="22" fillId="0" borderId="0" xfId="0" applyFont="1"/>
    <xf numFmtId="0" fontId="22" fillId="0" borderId="0" xfId="7" applyFont="1"/>
    <xf numFmtId="165" fontId="17" fillId="0" borderId="0" xfId="4" applyNumberFormat="1" applyFont="1" applyAlignment="1">
      <alignment horizontal="right"/>
    </xf>
    <xf numFmtId="0" fontId="30" fillId="2" borderId="1" xfId="6" applyFont="1" applyFill="1" applyBorder="1" applyAlignment="1">
      <alignment horizontal="center" vertical="center" wrapText="1"/>
    </xf>
    <xf numFmtId="164" fontId="22" fillId="0" borderId="31" xfId="0" applyNumberFormat="1" applyFont="1" applyBorder="1"/>
    <xf numFmtId="164" fontId="22" fillId="0" borderId="7" xfId="0" applyNumberFormat="1" applyFont="1" applyBorder="1"/>
    <xf numFmtId="164" fontId="30" fillId="0" borderId="6" xfId="0" applyNumberFormat="1" applyFont="1" applyBorder="1"/>
    <xf numFmtId="0" fontId="21" fillId="3" borderId="32" xfId="0" applyFont="1" applyFill="1" applyBorder="1" applyAlignment="1">
      <alignment horizontal="center" wrapText="1"/>
    </xf>
    <xf numFmtId="0" fontId="21" fillId="3" borderId="33" xfId="0" applyFont="1" applyFill="1" applyBorder="1" applyAlignment="1">
      <alignment wrapText="1"/>
    </xf>
    <xf numFmtId="3" fontId="21" fillId="3" borderId="34" xfId="0" applyNumberFormat="1" applyFont="1" applyFill="1" applyBorder="1"/>
    <xf numFmtId="3" fontId="21" fillId="3" borderId="35" xfId="0" applyNumberFormat="1" applyFont="1" applyFill="1" applyBorder="1"/>
    <xf numFmtId="3" fontId="18" fillId="0" borderId="36" xfId="0" applyNumberFormat="1" applyFont="1" applyFill="1" applyBorder="1"/>
    <xf numFmtId="3" fontId="20" fillId="0" borderId="36" xfId="0" applyNumberFormat="1" applyFont="1" applyFill="1" applyBorder="1"/>
    <xf numFmtId="3" fontId="21" fillId="0" borderId="0" xfId="0" applyNumberFormat="1" applyFont="1" applyFill="1" applyBorder="1"/>
    <xf numFmtId="9" fontId="24" fillId="0" borderId="0" xfId="9" applyFont="1"/>
    <xf numFmtId="0" fontId="31" fillId="3" borderId="23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/>
    </xf>
    <xf numFmtId="0" fontId="32" fillId="3" borderId="7" xfId="0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3" borderId="29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/>
    </xf>
    <xf numFmtId="0" fontId="32" fillId="3" borderId="9" xfId="0" applyFont="1" applyFill="1" applyBorder="1" applyAlignment="1">
      <alignment vertical="center" wrapText="1"/>
    </xf>
    <xf numFmtId="3" fontId="32" fillId="0" borderId="12" xfId="0" applyNumberFormat="1" applyFont="1" applyFill="1" applyBorder="1" applyAlignment="1">
      <alignment vertical="center"/>
    </xf>
    <xf numFmtId="0" fontId="21" fillId="0" borderId="2" xfId="0" applyFont="1" applyBorder="1"/>
    <xf numFmtId="0" fontId="18" fillId="0" borderId="30" xfId="0" applyFont="1" applyFill="1" applyBorder="1"/>
    <xf numFmtId="3" fontId="21" fillId="0" borderId="2" xfId="0" applyNumberFormat="1" applyFont="1" applyBorder="1" applyAlignment="1">
      <alignment horizontal="center"/>
    </xf>
    <xf numFmtId="164" fontId="22" fillId="0" borderId="6" xfId="0" applyNumberFormat="1" applyFont="1" applyBorder="1"/>
    <xf numFmtId="3" fontId="21" fillId="0" borderId="3" xfId="0" applyNumberFormat="1" applyFont="1" applyBorder="1" applyAlignment="1">
      <alignment horizontal="center"/>
    </xf>
    <xf numFmtId="0" fontId="18" fillId="2" borderId="2" xfId="6" applyFont="1" applyFill="1" applyBorder="1" applyAlignment="1">
      <alignment vertical="center"/>
    </xf>
    <xf numFmtId="0" fontId="18" fillId="2" borderId="30" xfId="6" applyFont="1" applyFill="1" applyBorder="1" applyAlignment="1">
      <alignment vertical="center"/>
    </xf>
    <xf numFmtId="0" fontId="18" fillId="0" borderId="0" xfId="0" applyFont="1" applyAlignment="1"/>
    <xf numFmtId="0" fontId="18" fillId="0" borderId="25" xfId="7" applyFont="1" applyBorder="1" applyAlignment="1">
      <alignment wrapText="1"/>
    </xf>
    <xf numFmtId="3" fontId="20" fillId="0" borderId="10" xfId="7" applyNumberFormat="1" applyFont="1" applyFill="1" applyBorder="1"/>
    <xf numFmtId="3" fontId="20" fillId="0" borderId="36" xfId="7" applyNumberFormat="1" applyFont="1" applyFill="1" applyBorder="1"/>
    <xf numFmtId="0" fontId="20" fillId="0" borderId="37" xfId="7" applyFont="1" applyBorder="1" applyAlignment="1">
      <alignment horizontal="center" wrapText="1"/>
    </xf>
    <xf numFmtId="0" fontId="20" fillId="0" borderId="37" xfId="7" applyFont="1" applyBorder="1" applyAlignment="1">
      <alignment wrapText="1"/>
    </xf>
    <xf numFmtId="3" fontId="20" fillId="0" borderId="34" xfId="7" applyNumberFormat="1" applyFont="1" applyFill="1" applyBorder="1"/>
    <xf numFmtId="0" fontId="18" fillId="0" borderId="37" xfId="7" applyFont="1" applyBorder="1" applyAlignment="1">
      <alignment horizontal="center" wrapText="1"/>
    </xf>
    <xf numFmtId="0" fontId="18" fillId="0" borderId="38" xfId="7" applyFont="1" applyBorder="1" applyAlignment="1">
      <alignment wrapText="1"/>
    </xf>
    <xf numFmtId="0" fontId="20" fillId="0" borderId="24" xfId="7" applyFont="1" applyBorder="1" applyAlignment="1">
      <alignment wrapText="1"/>
    </xf>
    <xf numFmtId="0" fontId="22" fillId="2" borderId="6" xfId="6" applyFont="1" applyFill="1" applyBorder="1" applyAlignment="1">
      <alignment horizontal="center" vertical="center" wrapText="1"/>
    </xf>
    <xf numFmtId="3" fontId="20" fillId="0" borderId="7" xfId="0" applyNumberFormat="1" applyFont="1" applyFill="1" applyBorder="1"/>
    <xf numFmtId="3" fontId="20" fillId="0" borderId="8" xfId="0" applyNumberFormat="1" applyFont="1" applyFill="1" applyBorder="1"/>
    <xf numFmtId="3" fontId="20" fillId="0" borderId="39" xfId="0" applyNumberFormat="1" applyFont="1" applyFill="1" applyBorder="1"/>
    <xf numFmtId="3" fontId="20" fillId="0" borderId="9" xfId="0" applyNumberFormat="1" applyFont="1" applyFill="1" applyBorder="1"/>
    <xf numFmtId="0" fontId="22" fillId="2" borderId="1" xfId="6" applyFont="1" applyFill="1" applyBorder="1" applyAlignment="1">
      <alignment horizontal="center" vertical="center" wrapText="1"/>
    </xf>
    <xf numFmtId="3" fontId="20" fillId="0" borderId="23" xfId="0" applyNumberFormat="1" applyFont="1" applyFill="1" applyBorder="1"/>
    <xf numFmtId="3" fontId="20" fillId="0" borderId="19" xfId="0" applyNumberFormat="1" applyFont="1" applyFill="1" applyBorder="1"/>
    <xf numFmtId="3" fontId="21" fillId="3" borderId="40" xfId="0" applyNumberFormat="1" applyFont="1" applyFill="1" applyBorder="1"/>
    <xf numFmtId="3" fontId="20" fillId="0" borderId="41" xfId="0" applyNumberFormat="1" applyFont="1" applyFill="1" applyBorder="1"/>
    <xf numFmtId="3" fontId="20" fillId="0" borderId="29" xfId="0" applyNumberFormat="1" applyFont="1" applyFill="1" applyBorder="1"/>
    <xf numFmtId="3" fontId="21" fillId="3" borderId="1" xfId="0" applyNumberFormat="1" applyFont="1" applyFill="1" applyBorder="1"/>
    <xf numFmtId="0" fontId="22" fillId="2" borderId="5" xfId="6" applyFont="1" applyFill="1" applyBorder="1" applyAlignment="1">
      <alignment horizontal="center" vertical="center" wrapText="1"/>
    </xf>
    <xf numFmtId="3" fontId="20" fillId="0" borderId="25" xfId="0" applyNumberFormat="1" applyFont="1" applyFill="1" applyBorder="1"/>
    <xf numFmtId="3" fontId="20" fillId="0" borderId="14" xfId="0" applyNumberFormat="1" applyFont="1" applyFill="1" applyBorder="1"/>
    <xf numFmtId="3" fontId="21" fillId="3" borderId="37" xfId="0" applyNumberFormat="1" applyFont="1" applyFill="1" applyBorder="1"/>
    <xf numFmtId="3" fontId="20" fillId="0" borderId="38" xfId="0" applyNumberFormat="1" applyFont="1" applyFill="1" applyBorder="1"/>
    <xf numFmtId="3" fontId="20" fillId="0" borderId="24" xfId="0" applyNumberFormat="1" applyFont="1" applyFill="1" applyBorder="1"/>
    <xf numFmtId="3" fontId="21" fillId="3" borderId="5" xfId="0" applyNumberFormat="1" applyFont="1" applyFill="1" applyBorder="1"/>
    <xf numFmtId="3" fontId="22" fillId="0" borderId="0" xfId="0" applyNumberFormat="1" applyFont="1"/>
    <xf numFmtId="0" fontId="23" fillId="0" borderId="0" xfId="8" applyFont="1" applyAlignment="1">
      <alignment wrapText="1"/>
    </xf>
    <xf numFmtId="3" fontId="18" fillId="0" borderId="11" xfId="8" applyNumberFormat="1" applyFont="1" applyFill="1" applyBorder="1" applyAlignment="1">
      <alignment horizontal="right"/>
    </xf>
    <xf numFmtId="3" fontId="18" fillId="4" borderId="11" xfId="8" applyNumberFormat="1" applyFont="1" applyFill="1" applyBorder="1" applyAlignment="1">
      <alignment horizontal="right"/>
    </xf>
    <xf numFmtId="3" fontId="18" fillId="0" borderId="11" xfId="8" applyNumberFormat="1" applyFont="1" applyBorder="1" applyAlignment="1">
      <alignment horizontal="right"/>
    </xf>
    <xf numFmtId="0" fontId="20" fillId="0" borderId="18" xfId="8" applyFont="1" applyBorder="1" applyAlignment="1">
      <alignment horizontal="center"/>
    </xf>
    <xf numFmtId="49" fontId="20" fillId="0" borderId="20" xfId="8" applyNumberFormat="1" applyFont="1" applyBorder="1" applyAlignment="1">
      <alignment horizontal="center"/>
    </xf>
    <xf numFmtId="0" fontId="20" fillId="0" borderId="20" xfId="0" applyFont="1" applyBorder="1" applyAlignment="1">
      <alignment wrapText="1"/>
    </xf>
    <xf numFmtId="0" fontId="20" fillId="0" borderId="0" xfId="8" applyFont="1" applyAlignment="1">
      <alignment horizontal="left"/>
    </xf>
    <xf numFmtId="0" fontId="20" fillId="0" borderId="0" xfId="8" applyFont="1" applyAlignment="1"/>
    <xf numFmtId="0" fontId="20" fillId="0" borderId="23" xfId="8" applyFont="1" applyBorder="1" applyAlignment="1">
      <alignment horizontal="center"/>
    </xf>
    <xf numFmtId="49" fontId="20" fillId="0" borderId="42" xfId="8" applyNumberFormat="1" applyFont="1" applyBorder="1" applyAlignment="1">
      <alignment horizontal="center"/>
    </xf>
    <xf numFmtId="0" fontId="20" fillId="0" borderId="21" xfId="0" applyFont="1" applyBorder="1" applyAlignment="1">
      <alignment wrapText="1"/>
    </xf>
    <xf numFmtId="0" fontId="20" fillId="0" borderId="19" xfId="8" applyFont="1" applyBorder="1" applyAlignment="1">
      <alignment horizontal="center"/>
    </xf>
    <xf numFmtId="49" fontId="20" fillId="0" borderId="21" xfId="8" applyNumberFormat="1" applyFont="1" applyBorder="1" applyAlignment="1">
      <alignment horizontal="center"/>
    </xf>
    <xf numFmtId="0" fontId="18" fillId="0" borderId="21" xfId="0" applyFont="1" applyBorder="1" applyAlignment="1">
      <alignment horizontal="right" wrapText="1"/>
    </xf>
    <xf numFmtId="0" fontId="20" fillId="0" borderId="40" xfId="7" applyFont="1" applyBorder="1" applyAlignment="1">
      <alignment horizontal="center" wrapText="1"/>
    </xf>
    <xf numFmtId="167" fontId="20" fillId="0" borderId="0" xfId="0" applyNumberFormat="1" applyFont="1" applyFill="1"/>
    <xf numFmtId="0" fontId="18" fillId="0" borderId="18" xfId="7" applyFont="1" applyBorder="1" applyAlignment="1">
      <alignment horizontal="center" wrapText="1"/>
    </xf>
    <xf numFmtId="0" fontId="18" fillId="0" borderId="23" xfId="7" applyFont="1" applyBorder="1" applyAlignment="1">
      <alignment horizontal="center" wrapText="1"/>
    </xf>
    <xf numFmtId="0" fontId="18" fillId="0" borderId="19" xfId="7" applyFont="1" applyBorder="1" applyAlignment="1">
      <alignment horizontal="center" wrapText="1"/>
    </xf>
    <xf numFmtId="0" fontId="18" fillId="0" borderId="40" xfId="7" applyFont="1" applyBorder="1" applyAlignment="1">
      <alignment horizontal="center" wrapText="1"/>
    </xf>
    <xf numFmtId="0" fontId="18" fillId="0" borderId="41" xfId="7" applyFont="1" applyBorder="1" applyAlignment="1">
      <alignment horizontal="center" wrapText="1"/>
    </xf>
    <xf numFmtId="0" fontId="18" fillId="0" borderId="29" xfId="7" applyFont="1" applyBorder="1" applyAlignment="1">
      <alignment horizontal="center" wrapText="1"/>
    </xf>
    <xf numFmtId="9" fontId="33" fillId="2" borderId="43" xfId="9" applyFont="1" applyFill="1" applyBorder="1" applyAlignment="1">
      <alignment horizontal="center" vertical="center"/>
    </xf>
    <xf numFmtId="9" fontId="33" fillId="0" borderId="27" xfId="9" applyFont="1" applyFill="1" applyBorder="1"/>
    <xf numFmtId="9" fontId="33" fillId="0" borderId="44" xfId="9" applyFont="1" applyFill="1" applyBorder="1"/>
    <xf numFmtId="0" fontId="20" fillId="2" borderId="45" xfId="6" applyFont="1" applyFill="1" applyBorder="1" applyAlignment="1">
      <alignment horizontal="center" vertical="center"/>
    </xf>
    <xf numFmtId="49" fontId="18" fillId="0" borderId="42" xfId="8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28" fillId="0" borderId="0" xfId="0" applyNumberFormat="1" applyFont="1"/>
    <xf numFmtId="3" fontId="34" fillId="0" borderId="0" xfId="0" applyNumberFormat="1" applyFont="1"/>
    <xf numFmtId="0" fontId="21" fillId="0" borderId="46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3" fontId="21" fillId="0" borderId="46" xfId="0" applyNumberFormat="1" applyFont="1" applyBorder="1" applyAlignment="1">
      <alignment horizontal="center" vertical="center" wrapText="1"/>
    </xf>
    <xf numFmtId="0" fontId="21" fillId="0" borderId="47" xfId="0" applyFont="1" applyBorder="1"/>
    <xf numFmtId="0" fontId="21" fillId="0" borderId="47" xfId="0" applyFont="1" applyBorder="1" applyAlignment="1">
      <alignment horizontal="center"/>
    </xf>
    <xf numFmtId="3" fontId="21" fillId="0" borderId="37" xfId="0" applyNumberFormat="1" applyFont="1" applyBorder="1"/>
    <xf numFmtId="0" fontId="28" fillId="0" borderId="0" xfId="0" applyFont="1" applyAlignment="1">
      <alignment horizontal="right"/>
    </xf>
    <xf numFmtId="0" fontId="21" fillId="0" borderId="46" xfId="0" applyFont="1" applyBorder="1"/>
    <xf numFmtId="0" fontId="21" fillId="0" borderId="46" xfId="0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1" fillId="0" borderId="48" xfId="0" applyFont="1" applyBorder="1"/>
    <xf numFmtId="0" fontId="21" fillId="0" borderId="48" xfId="0" applyFont="1" applyBorder="1" applyAlignment="1">
      <alignment horizontal="center"/>
    </xf>
    <xf numFmtId="3" fontId="21" fillId="0" borderId="25" xfId="0" applyNumberFormat="1" applyFont="1" applyBorder="1"/>
    <xf numFmtId="0" fontId="21" fillId="0" borderId="49" xfId="0" applyFont="1" applyBorder="1"/>
    <xf numFmtId="0" fontId="21" fillId="0" borderId="49" xfId="0" applyFont="1" applyBorder="1" applyAlignment="1">
      <alignment horizontal="center"/>
    </xf>
    <xf numFmtId="3" fontId="21" fillId="0" borderId="14" xfId="0" applyNumberFormat="1" applyFont="1" applyBorder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47" xfId="0" applyFont="1" applyBorder="1" applyAlignment="1">
      <alignment horizontal="left"/>
    </xf>
    <xf numFmtId="0" fontId="30" fillId="0" borderId="47" xfId="0" applyFont="1" applyBorder="1"/>
    <xf numFmtId="0" fontId="30" fillId="0" borderId="47" xfId="0" applyFont="1" applyBorder="1" applyAlignment="1">
      <alignment horizontal="center"/>
    </xf>
    <xf numFmtId="10" fontId="30" fillId="0" borderId="47" xfId="9" applyNumberFormat="1" applyFont="1" applyBorder="1"/>
    <xf numFmtId="0" fontId="30" fillId="0" borderId="0" xfId="0" applyFont="1"/>
    <xf numFmtId="0" fontId="21" fillId="0" borderId="0" xfId="0" applyFont="1" applyAlignment="1">
      <alignment horizontal="right"/>
    </xf>
    <xf numFmtId="3" fontId="21" fillId="0" borderId="37" xfId="0" applyNumberFormat="1" applyFont="1" applyBorder="1" applyAlignment="1">
      <alignment horizontal="center" vertical="center" wrapText="1"/>
    </xf>
    <xf numFmtId="3" fontId="18" fillId="0" borderId="24" xfId="0" applyNumberFormat="1" applyFont="1" applyFill="1" applyBorder="1"/>
    <xf numFmtId="0" fontId="20" fillId="2" borderId="30" xfId="6" applyFont="1" applyFill="1" applyBorder="1" applyAlignment="1">
      <alignment vertical="center"/>
    </xf>
    <xf numFmtId="3" fontId="20" fillId="0" borderId="16" xfId="0" applyNumberFormat="1" applyFont="1" applyFill="1" applyBorder="1"/>
    <xf numFmtId="0" fontId="21" fillId="4" borderId="3" xfId="6" applyFont="1" applyFill="1" applyBorder="1" applyAlignment="1">
      <alignment horizontal="center" vertical="center" wrapText="1"/>
    </xf>
    <xf numFmtId="3" fontId="25" fillId="0" borderId="0" xfId="0" applyNumberFormat="1" applyFont="1"/>
    <xf numFmtId="3" fontId="22" fillId="0" borderId="11" xfId="0" applyNumberFormat="1" applyFont="1" applyFill="1" applyBorder="1"/>
    <xf numFmtId="3" fontId="36" fillId="0" borderId="0" xfId="0" applyNumberFormat="1" applyFont="1"/>
    <xf numFmtId="3" fontId="37" fillId="0" borderId="0" xfId="0" applyNumberFormat="1" applyFont="1"/>
    <xf numFmtId="3" fontId="18" fillId="0" borderId="0" xfId="8" applyNumberFormat="1" applyFont="1" applyAlignment="1"/>
    <xf numFmtId="0" fontId="18" fillId="0" borderId="42" xfId="0" applyFont="1" applyBorder="1" applyAlignment="1">
      <alignment horizontal="right" wrapText="1"/>
    </xf>
    <xf numFmtId="3" fontId="18" fillId="0" borderId="10" xfId="8" applyNumberFormat="1" applyFont="1" applyBorder="1" applyAlignment="1">
      <alignment horizontal="right"/>
    </xf>
    <xf numFmtId="3" fontId="18" fillId="4" borderId="10" xfId="8" applyNumberFormat="1" applyFont="1" applyFill="1" applyBorder="1" applyAlignment="1">
      <alignment horizontal="right"/>
    </xf>
    <xf numFmtId="0" fontId="18" fillId="0" borderId="25" xfId="7" applyFont="1" applyBorder="1" applyAlignment="1">
      <alignment horizontal="center" wrapText="1"/>
    </xf>
    <xf numFmtId="3" fontId="20" fillId="4" borderId="10" xfId="8" applyNumberFormat="1" applyFont="1" applyFill="1" applyBorder="1" applyAlignment="1">
      <alignment horizontal="right"/>
    </xf>
    <xf numFmtId="0" fontId="18" fillId="0" borderId="40" xfId="8" applyFont="1" applyBorder="1" applyAlignment="1">
      <alignment horizontal="center"/>
    </xf>
    <xf numFmtId="49" fontId="18" fillId="0" borderId="50" xfId="8" applyNumberFormat="1" applyFont="1" applyBorder="1" applyAlignment="1">
      <alignment horizontal="center"/>
    </xf>
    <xf numFmtId="0" fontId="18" fillId="0" borderId="50" xfId="0" applyFont="1" applyBorder="1" applyAlignment="1">
      <alignment horizontal="right" wrapText="1"/>
    </xf>
    <xf numFmtId="3" fontId="18" fillId="0" borderId="34" xfId="8" applyNumberFormat="1" applyFont="1" applyFill="1" applyBorder="1" applyAlignment="1">
      <alignment horizontal="right"/>
    </xf>
    <xf numFmtId="3" fontId="18" fillId="4" borderId="34" xfId="8" applyNumberFormat="1" applyFont="1" applyFill="1" applyBorder="1" applyAlignment="1">
      <alignment horizontal="right"/>
    </xf>
    <xf numFmtId="3" fontId="18" fillId="0" borderId="34" xfId="8" applyNumberFormat="1" applyFont="1" applyBorder="1" applyAlignment="1">
      <alignment horizontal="right"/>
    </xf>
    <xf numFmtId="0" fontId="20" fillId="0" borderId="5" xfId="0" applyFont="1" applyBorder="1" applyAlignment="1">
      <alignment wrapText="1"/>
    </xf>
    <xf numFmtId="3" fontId="20" fillId="0" borderId="3" xfId="8" applyNumberFormat="1" applyFont="1" applyBorder="1" applyAlignment="1">
      <alignment horizontal="right"/>
    </xf>
    <xf numFmtId="3" fontId="20" fillId="4" borderId="3" xfId="8" applyNumberFormat="1" applyFont="1" applyFill="1" applyBorder="1" applyAlignment="1">
      <alignment horizontal="right"/>
    </xf>
    <xf numFmtId="0" fontId="16" fillId="5" borderId="51" xfId="0" applyFont="1" applyFill="1" applyBorder="1"/>
    <xf numFmtId="3" fontId="20" fillId="0" borderId="34" xfId="8" applyNumberFormat="1" applyFont="1" applyBorder="1" applyAlignment="1">
      <alignment horizontal="right"/>
    </xf>
    <xf numFmtId="3" fontId="20" fillId="4" borderId="34" xfId="8" applyNumberFormat="1" applyFont="1" applyFill="1" applyBorder="1" applyAlignment="1">
      <alignment horizontal="right"/>
    </xf>
    <xf numFmtId="0" fontId="20" fillId="0" borderId="40" xfId="8" applyFont="1" applyBorder="1" applyAlignment="1">
      <alignment horizontal="center"/>
    </xf>
    <xf numFmtId="49" fontId="20" fillId="0" borderId="50" xfId="8" applyNumberFormat="1" applyFont="1" applyBorder="1" applyAlignment="1">
      <alignment horizontal="center"/>
    </xf>
    <xf numFmtId="3" fontId="18" fillId="0" borderId="10" xfId="8" applyNumberFormat="1" applyFont="1" applyFill="1" applyBorder="1" applyAlignment="1">
      <alignment horizontal="right"/>
    </xf>
    <xf numFmtId="168" fontId="14" fillId="5" borderId="52" xfId="0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horizontal="left" wrapText="1"/>
    </xf>
    <xf numFmtId="3" fontId="18" fillId="0" borderId="3" xfId="8" applyNumberFormat="1" applyFont="1" applyBorder="1" applyAlignment="1">
      <alignment horizontal="right"/>
    </xf>
    <xf numFmtId="3" fontId="18" fillId="4" borderId="3" xfId="8" applyNumberFormat="1" applyFont="1" applyFill="1" applyBorder="1" applyAlignment="1">
      <alignment horizontal="right"/>
    </xf>
    <xf numFmtId="3" fontId="20" fillId="0" borderId="10" xfId="8" applyNumberFormat="1" applyFont="1" applyFill="1" applyBorder="1" applyAlignment="1">
      <alignment horizontal="right"/>
    </xf>
    <xf numFmtId="3" fontId="20" fillId="0" borderId="34" xfId="8" applyNumberFormat="1" applyFont="1" applyFill="1" applyBorder="1" applyAlignment="1">
      <alignment horizontal="right"/>
    </xf>
    <xf numFmtId="0" fontId="20" fillId="0" borderId="53" xfId="0" applyFont="1" applyBorder="1" applyAlignment="1">
      <alignment wrapText="1"/>
    </xf>
    <xf numFmtId="0" fontId="18" fillId="0" borderId="35" xfId="0" applyFont="1" applyBorder="1" applyAlignment="1">
      <alignment horizontal="right" wrapText="1"/>
    </xf>
    <xf numFmtId="0" fontId="20" fillId="0" borderId="53" xfId="0" applyFont="1" applyBorder="1" applyAlignment="1">
      <alignment horizontal="left" wrapText="1"/>
    </xf>
    <xf numFmtId="0" fontId="16" fillId="5" borderId="54" xfId="0" applyFont="1" applyFill="1" applyBorder="1"/>
    <xf numFmtId="3" fontId="20" fillId="0" borderId="55" xfId="8" applyNumberFormat="1" applyFont="1" applyBorder="1" applyAlignment="1">
      <alignment horizontal="right"/>
    </xf>
    <xf numFmtId="3" fontId="20" fillId="4" borderId="55" xfId="8" applyNumberFormat="1" applyFont="1" applyFill="1" applyBorder="1" applyAlignment="1">
      <alignment horizontal="right"/>
    </xf>
    <xf numFmtId="0" fontId="18" fillId="0" borderId="29" xfId="8" applyFont="1" applyBorder="1" applyAlignment="1">
      <alignment horizontal="center"/>
    </xf>
    <xf numFmtId="49" fontId="18" fillId="0" borderId="56" xfId="8" applyNumberFormat="1" applyFont="1" applyBorder="1" applyAlignment="1">
      <alignment horizontal="center"/>
    </xf>
    <xf numFmtId="0" fontId="18" fillId="0" borderId="56" xfId="0" applyFont="1" applyBorder="1" applyAlignment="1">
      <alignment horizontal="right" wrapText="1"/>
    </xf>
    <xf numFmtId="3" fontId="18" fillId="0" borderId="12" xfId="8" applyNumberFormat="1" applyFont="1" applyBorder="1" applyAlignment="1">
      <alignment horizontal="right"/>
    </xf>
    <xf numFmtId="3" fontId="18" fillId="4" borderId="12" xfId="8" applyNumberFormat="1" applyFont="1" applyFill="1" applyBorder="1" applyAlignment="1">
      <alignment horizontal="right"/>
    </xf>
    <xf numFmtId="0" fontId="7" fillId="0" borderId="0" xfId="0" applyFont="1"/>
    <xf numFmtId="3" fontId="0" fillId="0" borderId="0" xfId="0" applyNumberFormat="1"/>
    <xf numFmtId="3" fontId="20" fillId="4" borderId="14" xfId="0" applyNumberFormat="1" applyFont="1" applyFill="1" applyBorder="1"/>
    <xf numFmtId="0" fontId="18" fillId="0" borderId="38" xfId="7" applyFont="1" applyBorder="1" applyAlignment="1">
      <alignment horizontal="center" wrapText="1"/>
    </xf>
    <xf numFmtId="3" fontId="24" fillId="0" borderId="0" xfId="0" applyNumberFormat="1" applyFont="1" applyAlignment="1">
      <alignment horizontal="center"/>
    </xf>
    <xf numFmtId="3" fontId="22" fillId="4" borderId="11" xfId="0" applyNumberFormat="1" applyFont="1" applyFill="1" applyBorder="1"/>
    <xf numFmtId="0" fontId="22" fillId="4" borderId="19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8" xfId="0" applyFont="1" applyFill="1" applyBorder="1" applyAlignment="1">
      <alignment wrapText="1"/>
    </xf>
    <xf numFmtId="0" fontId="18" fillId="5" borderId="25" xfId="0" applyFont="1" applyFill="1" applyBorder="1" applyAlignment="1">
      <alignment horizontal="center"/>
    </xf>
    <xf numFmtId="0" fontId="18" fillId="5" borderId="7" xfId="0" applyFont="1" applyFill="1" applyBorder="1" applyAlignment="1">
      <alignment wrapText="1"/>
    </xf>
    <xf numFmtId="0" fontId="20" fillId="3" borderId="7" xfId="0" applyFont="1" applyFill="1" applyBorder="1" applyAlignment="1">
      <alignment wrapText="1"/>
    </xf>
    <xf numFmtId="0" fontId="20" fillId="3" borderId="7" xfId="0" applyFont="1" applyFill="1" applyBorder="1" applyAlignment="1">
      <alignment horizontal="left" wrapText="1"/>
    </xf>
    <xf numFmtId="0" fontId="16" fillId="0" borderId="52" xfId="0" applyFont="1" applyFill="1" applyBorder="1"/>
    <xf numFmtId="0" fontId="39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3" fontId="17" fillId="0" borderId="0" xfId="0" applyNumberFormat="1" applyFont="1"/>
    <xf numFmtId="0" fontId="17" fillId="0" borderId="0" xfId="0" applyFont="1" applyAlignment="1">
      <alignment horizontal="left"/>
    </xf>
    <xf numFmtId="0" fontId="0" fillId="0" borderId="0" xfId="0" applyFont="1"/>
    <xf numFmtId="0" fontId="14" fillId="0" borderId="0" xfId="0" applyFont="1"/>
    <xf numFmtId="3" fontId="14" fillId="0" borderId="0" xfId="0" applyNumberFormat="1" applyFont="1"/>
    <xf numFmtId="0" fontId="18" fillId="0" borderId="0" xfId="0" applyFont="1" applyAlignment="1"/>
    <xf numFmtId="0" fontId="40" fillId="0" borderId="0" xfId="0" applyFont="1"/>
    <xf numFmtId="0" fontId="7" fillId="0" borderId="49" xfId="0" applyFont="1" applyBorder="1"/>
    <xf numFmtId="3" fontId="7" fillId="0" borderId="49" xfId="0" applyNumberFormat="1" applyFont="1" applyBorder="1"/>
    <xf numFmtId="3" fontId="16" fillId="0" borderId="49" xfId="0" applyNumberFormat="1" applyFont="1" applyBorder="1"/>
    <xf numFmtId="0" fontId="16" fillId="0" borderId="49" xfId="0" applyFont="1" applyBorder="1"/>
    <xf numFmtId="0" fontId="0" fillId="0" borderId="49" xfId="0" applyBorder="1"/>
    <xf numFmtId="0" fontId="14" fillId="0" borderId="49" xfId="0" applyFont="1" applyBorder="1"/>
    <xf numFmtId="0" fontId="16" fillId="0" borderId="0" xfId="0" applyFont="1" applyAlignment="1">
      <alignment horizontal="center"/>
    </xf>
    <xf numFmtId="0" fontId="20" fillId="0" borderId="57" xfId="8" applyFont="1" applyBorder="1" applyAlignment="1">
      <alignment horizontal="center"/>
    </xf>
    <xf numFmtId="49" fontId="20" fillId="0" borderId="58" xfId="8" applyNumberFormat="1" applyFont="1" applyBorder="1" applyAlignment="1">
      <alignment horizontal="center"/>
    </xf>
    <xf numFmtId="0" fontId="20" fillId="0" borderId="59" xfId="0" applyFont="1" applyBorder="1" applyAlignment="1">
      <alignment horizontal="left" wrapText="1"/>
    </xf>
    <xf numFmtId="0" fontId="20" fillId="0" borderId="58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41" xfId="8" applyFont="1" applyBorder="1" applyAlignment="1">
      <alignment horizontal="center"/>
    </xf>
    <xf numFmtId="0" fontId="20" fillId="0" borderId="58" xfId="0" applyFont="1" applyBorder="1" applyAlignment="1">
      <alignment horizontal="left" wrapText="1"/>
    </xf>
    <xf numFmtId="3" fontId="18" fillId="0" borderId="12" xfId="8" applyNumberFormat="1" applyFont="1" applyFill="1" applyBorder="1" applyAlignment="1">
      <alignment horizontal="right"/>
    </xf>
    <xf numFmtId="0" fontId="18" fillId="0" borderId="21" xfId="0" applyFont="1" applyBorder="1" applyAlignment="1">
      <alignment horizontal="left" wrapText="1"/>
    </xf>
    <xf numFmtId="0" fontId="20" fillId="0" borderId="1" xfId="8" applyFont="1" applyBorder="1" applyAlignment="1">
      <alignment horizontal="center"/>
    </xf>
    <xf numFmtId="49" fontId="20" fillId="0" borderId="22" xfId="8" applyNumberFormat="1" applyFont="1" applyBorder="1" applyAlignment="1">
      <alignment horizontal="center"/>
    </xf>
    <xf numFmtId="49" fontId="18" fillId="0" borderId="22" xfId="8" applyNumberFormat="1" applyFont="1" applyBorder="1" applyAlignment="1">
      <alignment horizontal="center"/>
    </xf>
    <xf numFmtId="0" fontId="21" fillId="6" borderId="3" xfId="6" applyFont="1" applyFill="1" applyBorder="1" applyAlignment="1">
      <alignment horizontal="center" vertical="center" wrapText="1"/>
    </xf>
    <xf numFmtId="0" fontId="22" fillId="6" borderId="5" xfId="6" applyFont="1" applyFill="1" applyBorder="1" applyAlignment="1">
      <alignment horizontal="center" vertical="center" wrapText="1"/>
    </xf>
    <xf numFmtId="3" fontId="20" fillId="6" borderId="25" xfId="0" applyNumberFormat="1" applyFont="1" applyFill="1" applyBorder="1"/>
    <xf numFmtId="3" fontId="20" fillId="6" borderId="14" xfId="0" applyNumberFormat="1" applyFont="1" applyFill="1" applyBorder="1"/>
    <xf numFmtId="3" fontId="21" fillId="6" borderId="37" xfId="0" applyNumberFormat="1" applyFont="1" applyFill="1" applyBorder="1"/>
    <xf numFmtId="3" fontId="20" fillId="6" borderId="38" xfId="0" applyNumberFormat="1" applyFont="1" applyFill="1" applyBorder="1"/>
    <xf numFmtId="3" fontId="20" fillId="6" borderId="24" xfId="0" applyNumberFormat="1" applyFont="1" applyFill="1" applyBorder="1"/>
    <xf numFmtId="3" fontId="21" fillId="6" borderId="5" xfId="0" applyNumberFormat="1" applyFont="1" applyFill="1" applyBorder="1"/>
    <xf numFmtId="0" fontId="18" fillId="5" borderId="7" xfId="0" applyFont="1" applyFill="1" applyBorder="1" applyAlignment="1">
      <alignment horizontal="right" wrapText="1"/>
    </xf>
    <xf numFmtId="3" fontId="18" fillId="5" borderId="10" xfId="0" applyNumberFormat="1" applyFont="1" applyFill="1" applyBorder="1"/>
    <xf numFmtId="3" fontId="18" fillId="5" borderId="11" xfId="0" applyNumberFormat="1" applyFont="1" applyFill="1" applyBorder="1"/>
    <xf numFmtId="49" fontId="20" fillId="0" borderId="60" xfId="8" applyNumberFormat="1" applyFont="1" applyBorder="1" applyAlignment="1">
      <alignment horizontal="center"/>
    </xf>
    <xf numFmtId="3" fontId="22" fillId="0" borderId="10" xfId="8" applyNumberFormat="1" applyFont="1" applyBorder="1" applyAlignment="1">
      <alignment horizontal="right"/>
    </xf>
    <xf numFmtId="3" fontId="22" fillId="0" borderId="11" xfId="8" applyNumberFormat="1" applyFont="1" applyBorder="1" applyAlignment="1">
      <alignment horizontal="right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3" fontId="20" fillId="5" borderId="14" xfId="0" applyNumberFormat="1" applyFont="1" applyFill="1" applyBorder="1"/>
    <xf numFmtId="3" fontId="33" fillId="4" borderId="14" xfId="0" applyNumberFormat="1" applyFont="1" applyFill="1" applyBorder="1"/>
    <xf numFmtId="3" fontId="33" fillId="0" borderId="14" xfId="0" applyNumberFormat="1" applyFont="1" applyFill="1" applyBorder="1"/>
    <xf numFmtId="3" fontId="18" fillId="4" borderId="11" xfId="0" applyNumberFormat="1" applyFont="1" applyFill="1" applyBorder="1"/>
    <xf numFmtId="4" fontId="18" fillId="0" borderId="0" xfId="0" applyNumberFormat="1" applyFont="1"/>
    <xf numFmtId="4" fontId="18" fillId="0" borderId="0" xfId="6" applyNumberFormat="1" applyFont="1"/>
    <xf numFmtId="4" fontId="24" fillId="0" borderId="0" xfId="0" applyNumberFormat="1" applyFont="1"/>
    <xf numFmtId="4" fontId="36" fillId="0" borderId="0" xfId="0" applyNumberFormat="1" applyFont="1"/>
    <xf numFmtId="4" fontId="29" fillId="0" borderId="0" xfId="0" applyNumberFormat="1" applyFont="1"/>
    <xf numFmtId="4" fontId="31" fillId="0" borderId="0" xfId="0" applyNumberFormat="1" applyFont="1" applyAlignment="1">
      <alignment vertical="center"/>
    </xf>
    <xf numFmtId="4" fontId="21" fillId="0" borderId="0" xfId="0" applyNumberFormat="1" applyFont="1"/>
    <xf numFmtId="0" fontId="22" fillId="3" borderId="25" xfId="0" applyFont="1" applyFill="1" applyBorder="1" applyAlignment="1">
      <alignment horizontal="center"/>
    </xf>
    <xf numFmtId="0" fontId="22" fillId="3" borderId="7" xfId="0" applyFont="1" applyFill="1" applyBorder="1" applyAlignment="1">
      <alignment wrapText="1"/>
    </xf>
    <xf numFmtId="3" fontId="33" fillId="0" borderId="11" xfId="0" applyNumberFormat="1" applyFont="1" applyFill="1" applyBorder="1"/>
    <xf numFmtId="3" fontId="33" fillId="0" borderId="19" xfId="0" applyNumberFormat="1" applyFont="1" applyFill="1" applyBorder="1"/>
    <xf numFmtId="3" fontId="33" fillId="0" borderId="8" xfId="0" applyNumberFormat="1" applyFont="1" applyFill="1" applyBorder="1"/>
    <xf numFmtId="0" fontId="24" fillId="0" borderId="0" xfId="0" applyFont="1" applyAlignment="1">
      <alignment horizontal="center"/>
    </xf>
    <xf numFmtId="0" fontId="33" fillId="0" borderId="0" xfId="0" applyFont="1"/>
    <xf numFmtId="4" fontId="20" fillId="0" borderId="0" xfId="0" applyNumberFormat="1" applyFont="1"/>
    <xf numFmtId="3" fontId="0" fillId="0" borderId="0" xfId="0" applyNumberFormat="1" applyFont="1"/>
    <xf numFmtId="3" fontId="40" fillId="0" borderId="0" xfId="0" applyNumberFormat="1" applyFont="1"/>
    <xf numFmtId="0" fontId="7" fillId="0" borderId="0" xfId="0" applyFont="1" applyAlignment="1">
      <alignment horizontal="center"/>
    </xf>
    <xf numFmtId="0" fontId="21" fillId="7" borderId="3" xfId="6" applyFont="1" applyFill="1" applyBorder="1" applyAlignment="1">
      <alignment horizontal="center" vertical="center" wrapText="1"/>
    </xf>
    <xf numFmtId="3" fontId="20" fillId="7" borderId="16" xfId="0" applyNumberFormat="1" applyFont="1" applyFill="1" applyBorder="1" applyAlignment="1">
      <alignment wrapText="1"/>
    </xf>
    <xf numFmtId="3" fontId="20" fillId="7" borderId="10" xfId="0" applyNumberFormat="1" applyFont="1" applyFill="1" applyBorder="1" applyAlignment="1">
      <alignment wrapText="1"/>
    </xf>
    <xf numFmtId="3" fontId="21" fillId="7" borderId="34" xfId="0" applyNumberFormat="1" applyFont="1" applyFill="1" applyBorder="1"/>
    <xf numFmtId="3" fontId="18" fillId="7" borderId="11" xfId="0" applyNumberFormat="1" applyFont="1" applyFill="1" applyBorder="1"/>
    <xf numFmtId="3" fontId="21" fillId="7" borderId="3" xfId="0" applyNumberFormat="1" applyFont="1" applyFill="1" applyBorder="1"/>
    <xf numFmtId="3" fontId="20" fillId="7" borderId="11" xfId="0" applyNumberFormat="1" applyFont="1" applyFill="1" applyBorder="1"/>
    <xf numFmtId="3" fontId="21" fillId="2" borderId="15" xfId="6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wrapText="1"/>
    </xf>
    <xf numFmtId="3" fontId="20" fillId="3" borderId="17" xfId="0" applyNumberFormat="1" applyFont="1" applyFill="1" applyBorder="1" applyAlignment="1">
      <alignment wrapText="1"/>
    </xf>
    <xf numFmtId="3" fontId="18" fillId="5" borderId="17" xfId="0" applyNumberFormat="1" applyFont="1" applyFill="1" applyBorder="1"/>
    <xf numFmtId="3" fontId="18" fillId="5" borderId="61" xfId="0" applyNumberFormat="1" applyFont="1" applyFill="1" applyBorder="1"/>
    <xf numFmtId="3" fontId="21" fillId="3" borderId="32" xfId="0" applyNumberFormat="1" applyFont="1" applyFill="1" applyBorder="1"/>
    <xf numFmtId="3" fontId="18" fillId="0" borderId="61" xfId="0" applyNumberFormat="1" applyFont="1" applyFill="1" applyBorder="1"/>
    <xf numFmtId="3" fontId="18" fillId="3" borderId="17" xfId="0" applyNumberFormat="1" applyFont="1" applyFill="1" applyBorder="1" applyAlignment="1">
      <alignment wrapText="1"/>
    </xf>
    <xf numFmtId="3" fontId="18" fillId="0" borderId="62" xfId="0" applyNumberFormat="1" applyFont="1" applyFill="1" applyBorder="1"/>
    <xf numFmtId="3" fontId="21" fillId="3" borderId="2" xfId="0" applyNumberFormat="1" applyFont="1" applyFill="1" applyBorder="1"/>
    <xf numFmtId="3" fontId="21" fillId="2" borderId="63" xfId="6" applyNumberFormat="1" applyFont="1" applyFill="1" applyBorder="1" applyAlignment="1">
      <alignment horizontal="center" vertical="center" wrapText="1"/>
    </xf>
    <xf numFmtId="3" fontId="20" fillId="3" borderId="63" xfId="0" applyNumberFormat="1" applyFont="1" applyFill="1" applyBorder="1" applyAlignment="1">
      <alignment wrapText="1"/>
    </xf>
    <xf numFmtId="3" fontId="20" fillId="3" borderId="27" xfId="0" applyNumberFormat="1" applyFont="1" applyFill="1" applyBorder="1" applyAlignment="1">
      <alignment wrapText="1"/>
    </xf>
    <xf numFmtId="3" fontId="18" fillId="5" borderId="27" xfId="0" applyNumberFormat="1" applyFont="1" applyFill="1" applyBorder="1"/>
    <xf numFmtId="3" fontId="18" fillId="5" borderId="44" xfId="0" applyNumberFormat="1" applyFont="1" applyFill="1" applyBorder="1"/>
    <xf numFmtId="3" fontId="21" fillId="3" borderId="33" xfId="0" applyNumberFormat="1" applyFont="1" applyFill="1" applyBorder="1"/>
    <xf numFmtId="3" fontId="18" fillId="0" borderId="44" xfId="0" applyNumberFormat="1" applyFont="1" applyFill="1" applyBorder="1"/>
    <xf numFmtId="3" fontId="18" fillId="3" borderId="27" xfId="0" applyNumberFormat="1" applyFont="1" applyFill="1" applyBorder="1" applyAlignment="1">
      <alignment wrapText="1"/>
    </xf>
    <xf numFmtId="3" fontId="18" fillId="0" borderId="64" xfId="0" applyNumberFormat="1" applyFont="1" applyFill="1" applyBorder="1"/>
    <xf numFmtId="3" fontId="21" fillId="3" borderId="59" xfId="0" applyNumberFormat="1" applyFont="1" applyFill="1" applyBorder="1"/>
    <xf numFmtId="0" fontId="0" fillId="5" borderId="0" xfId="0" applyFill="1"/>
    <xf numFmtId="0" fontId="16" fillId="0" borderId="14" xfId="0" applyFont="1" applyBorder="1" applyAlignment="1">
      <alignment horizontal="center" vertical="center"/>
    </xf>
    <xf numFmtId="0" fontId="0" fillId="0" borderId="14" xfId="0" applyBorder="1"/>
    <xf numFmtId="3" fontId="0" fillId="0" borderId="14" xfId="0" applyNumberFormat="1" applyBorder="1"/>
    <xf numFmtId="0" fontId="16" fillId="0" borderId="14" xfId="0" applyFont="1" applyBorder="1"/>
    <xf numFmtId="3" fontId="16" fillId="0" borderId="14" xfId="0" applyNumberFormat="1" applyFont="1" applyBorder="1"/>
    <xf numFmtId="3" fontId="18" fillId="0" borderId="17" xfId="0" applyNumberFormat="1" applyFont="1" applyFill="1" applyBorder="1"/>
    <xf numFmtId="3" fontId="18" fillId="0" borderId="27" xfId="0" applyNumberFormat="1" applyFont="1" applyFill="1" applyBorder="1"/>
    <xf numFmtId="0" fontId="28" fillId="0" borderId="30" xfId="8" applyFont="1" applyBorder="1"/>
    <xf numFmtId="0" fontId="21" fillId="0" borderId="30" xfId="5" applyFont="1" applyBorder="1"/>
    <xf numFmtId="49" fontId="20" fillId="2" borderId="2" xfId="7" applyNumberFormat="1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18" fillId="3" borderId="44" xfId="0" applyFont="1" applyFill="1" applyBorder="1" applyAlignment="1">
      <alignment wrapText="1"/>
    </xf>
    <xf numFmtId="4" fontId="25" fillId="0" borderId="0" xfId="0" applyNumberFormat="1" applyFont="1"/>
    <xf numFmtId="4" fontId="28" fillId="0" borderId="0" xfId="0" applyNumberFormat="1" applyFont="1"/>
    <xf numFmtId="0" fontId="28" fillId="0" borderId="0" xfId="0" applyFont="1" applyBorder="1"/>
    <xf numFmtId="0" fontId="41" fillId="0" borderId="0" xfId="0" applyFont="1"/>
    <xf numFmtId="3" fontId="41" fillId="0" borderId="0" xfId="0" applyNumberFormat="1" applyFont="1"/>
    <xf numFmtId="0" fontId="41" fillId="0" borderId="0" xfId="0" applyFont="1" applyAlignment="1">
      <alignment horizontal="center"/>
    </xf>
    <xf numFmtId="0" fontId="41" fillId="4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3" fontId="22" fillId="5" borderId="11" xfId="0" applyNumberFormat="1" applyFont="1" applyFill="1" applyBorder="1"/>
    <xf numFmtId="9" fontId="0" fillId="0" borderId="0" xfId="9" applyFont="1"/>
    <xf numFmtId="4" fontId="0" fillId="0" borderId="0" xfId="0" applyNumberFormat="1"/>
    <xf numFmtId="4" fontId="40" fillId="0" borderId="0" xfId="0" applyNumberFormat="1" applyFont="1" applyAlignment="1">
      <alignment horizontal="center"/>
    </xf>
    <xf numFmtId="4" fontId="4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" fontId="17" fillId="0" borderId="0" xfId="0" applyNumberFormat="1" applyFont="1"/>
    <xf numFmtId="0" fontId="28" fillId="0" borderId="14" xfId="0" applyFont="1" applyBorder="1"/>
    <xf numFmtId="4" fontId="40" fillId="0" borderId="14" xfId="0" applyNumberFormat="1" applyFont="1" applyBorder="1" applyAlignment="1">
      <alignment horizontal="center"/>
    </xf>
    <xf numFmtId="4" fontId="0" fillId="0" borderId="14" xfId="0" applyNumberFormat="1" applyBorder="1"/>
    <xf numFmtId="4" fontId="40" fillId="0" borderId="14" xfId="1" applyNumberFormat="1" applyFont="1" applyBorder="1" applyAlignment="1">
      <alignment horizontal="center"/>
    </xf>
    <xf numFmtId="0" fontId="8" fillId="0" borderId="0" xfId="0" applyFont="1"/>
    <xf numFmtId="3" fontId="22" fillId="0" borderId="44" xfId="11" applyNumberFormat="1" applyFont="1" applyFill="1" applyBorder="1" applyAlignment="1">
      <alignment horizontal="right"/>
    </xf>
    <xf numFmtId="3" fontId="22" fillId="0" borderId="62" xfId="11" applyNumberFormat="1" applyFont="1" applyFill="1" applyBorder="1" applyAlignment="1">
      <alignment horizontal="center"/>
    </xf>
    <xf numFmtId="4" fontId="22" fillId="0" borderId="61" xfId="11" applyNumberFormat="1" applyFont="1" applyFill="1" applyBorder="1"/>
    <xf numFmtId="4" fontId="22" fillId="0" borderId="14" xfId="11" applyNumberFormat="1" applyFont="1" applyFill="1" applyBorder="1"/>
    <xf numFmtId="4" fontId="22" fillId="0" borderId="65" xfId="11" applyNumberFormat="1" applyFont="1" applyFill="1" applyBorder="1"/>
    <xf numFmtId="0" fontId="0" fillId="0" borderId="0" xfId="0" applyFill="1" applyBorder="1" applyAlignment="1">
      <alignment horizontal="center"/>
    </xf>
    <xf numFmtId="3" fontId="18" fillId="0" borderId="0" xfId="8" applyNumberFormat="1" applyFont="1"/>
    <xf numFmtId="0" fontId="18" fillId="0" borderId="7" xfId="0" applyFont="1" applyBorder="1" applyAlignment="1">
      <alignment horizontal="right" wrapText="1"/>
    </xf>
    <xf numFmtId="4" fontId="41" fillId="0" borderId="0" xfId="0" applyNumberFormat="1" applyFont="1"/>
    <xf numFmtId="49" fontId="18" fillId="0" borderId="14" xfId="8" applyNumberFormat="1" applyFont="1" applyBorder="1" applyAlignment="1">
      <alignment horizontal="center"/>
    </xf>
    <xf numFmtId="3" fontId="33" fillId="2" borderId="4" xfId="6" applyNumberFormat="1" applyFont="1" applyFill="1" applyBorder="1" applyAlignment="1">
      <alignment horizontal="center" wrapText="1"/>
    </xf>
    <xf numFmtId="3" fontId="33" fillId="0" borderId="10" xfId="7" applyNumberFormat="1" applyFont="1" applyFill="1" applyBorder="1"/>
    <xf numFmtId="3" fontId="33" fillId="0" borderId="11" xfId="7" applyNumberFormat="1" applyFont="1" applyFill="1" applyBorder="1"/>
    <xf numFmtId="3" fontId="33" fillId="0" borderId="34" xfId="7" applyNumberFormat="1" applyFont="1" applyFill="1" applyBorder="1"/>
    <xf numFmtId="3" fontId="33" fillId="0" borderId="12" xfId="7" applyNumberFormat="1" applyFont="1" applyFill="1" applyBorder="1"/>
    <xf numFmtId="3" fontId="30" fillId="0" borderId="3" xfId="0" applyNumberFormat="1" applyFont="1" applyBorder="1"/>
    <xf numFmtId="3" fontId="18" fillId="0" borderId="36" xfId="7" applyNumberFormat="1" applyFont="1" applyFill="1" applyBorder="1"/>
    <xf numFmtId="3" fontId="18" fillId="0" borderId="16" xfId="7" applyNumberFormat="1" applyFont="1" applyFill="1" applyBorder="1"/>
    <xf numFmtId="3" fontId="18" fillId="0" borderId="12" xfId="7" applyNumberFormat="1" applyFont="1" applyFill="1" applyBorder="1"/>
    <xf numFmtId="3" fontId="22" fillId="0" borderId="16" xfId="7" applyNumberFormat="1" applyFont="1" applyFill="1" applyBorder="1"/>
    <xf numFmtId="3" fontId="22" fillId="0" borderId="10" xfId="7" applyNumberFormat="1" applyFont="1" applyFill="1" applyBorder="1"/>
    <xf numFmtId="3" fontId="22" fillId="0" borderId="11" xfId="7" applyNumberFormat="1" applyFont="1" applyFill="1" applyBorder="1"/>
    <xf numFmtId="3" fontId="18" fillId="0" borderId="10" xfId="7" applyNumberFormat="1" applyFont="1" applyFill="1" applyBorder="1"/>
    <xf numFmtId="3" fontId="18" fillId="0" borderId="11" xfId="7" applyNumberFormat="1" applyFont="1" applyFill="1" applyBorder="1"/>
    <xf numFmtId="0" fontId="20" fillId="2" borderId="66" xfId="6" applyFont="1" applyFill="1" applyBorder="1" applyAlignment="1">
      <alignment horizontal="center" vertical="center"/>
    </xf>
    <xf numFmtId="0" fontId="20" fillId="2" borderId="67" xfId="6" applyFont="1" applyFill="1" applyBorder="1" applyAlignment="1">
      <alignment horizontal="center" vertical="center"/>
    </xf>
    <xf numFmtId="0" fontId="20" fillId="2" borderId="2" xfId="6" applyFont="1" applyFill="1" applyBorder="1" applyAlignment="1">
      <alignment horizontal="center" vertical="center"/>
    </xf>
    <xf numFmtId="0" fontId="20" fillId="2" borderId="30" xfId="6" applyFont="1" applyFill="1" applyBorder="1" applyAlignment="1">
      <alignment horizontal="center" vertical="center"/>
    </xf>
    <xf numFmtId="0" fontId="20" fillId="2" borderId="6" xfId="6" applyFont="1" applyFill="1" applyBorder="1" applyAlignment="1">
      <alignment horizontal="center" vertical="center"/>
    </xf>
    <xf numFmtId="0" fontId="20" fillId="2" borderId="3" xfId="6" applyFont="1" applyFill="1" applyBorder="1" applyAlignment="1">
      <alignment horizontal="center" vertical="center"/>
    </xf>
    <xf numFmtId="4" fontId="22" fillId="0" borderId="11" xfId="11" applyNumberFormat="1" applyFont="1" applyFill="1" applyBorder="1"/>
    <xf numFmtId="4" fontId="18" fillId="0" borderId="17" xfId="11" applyNumberFormat="1" applyFont="1" applyFill="1" applyBorder="1"/>
    <xf numFmtId="4" fontId="18" fillId="0" borderId="10" xfId="11" applyNumberFormat="1" applyFont="1" applyFill="1" applyBorder="1"/>
    <xf numFmtId="4" fontId="18" fillId="0" borderId="49" xfId="11" applyNumberFormat="1" applyFont="1" applyFill="1" applyBorder="1"/>
    <xf numFmtId="3" fontId="18" fillId="0" borderId="44" xfId="11" applyNumberFormat="1" applyFont="1" applyFill="1" applyBorder="1"/>
    <xf numFmtId="4" fontId="18" fillId="0" borderId="61" xfId="11" applyNumberFormat="1" applyFont="1" applyFill="1" applyBorder="1"/>
    <xf numFmtId="4" fontId="18" fillId="0" borderId="11" xfId="11" applyNumberFormat="1" applyFont="1" applyFill="1" applyBorder="1"/>
    <xf numFmtId="4" fontId="18" fillId="0" borderId="65" xfId="11" applyNumberFormat="1" applyFont="1" applyFill="1" applyBorder="1"/>
    <xf numFmtId="3" fontId="18" fillId="0" borderId="17" xfId="11" applyNumberFormat="1" applyFont="1" applyFill="1" applyBorder="1"/>
    <xf numFmtId="3" fontId="18" fillId="0" borderId="27" xfId="11" applyNumberFormat="1" applyFont="1" applyFill="1" applyBorder="1"/>
    <xf numFmtId="0" fontId="18" fillId="0" borderId="0" xfId="3" applyFont="1"/>
    <xf numFmtId="167" fontId="20" fillId="0" borderId="0" xfId="3" applyNumberFormat="1" applyFont="1" applyFill="1"/>
    <xf numFmtId="0" fontId="18" fillId="0" borderId="0" xfId="3" applyFont="1" applyFill="1"/>
    <xf numFmtId="3" fontId="18" fillId="0" borderId="61" xfId="11" applyNumberFormat="1" applyFont="1" applyFill="1" applyBorder="1"/>
    <xf numFmtId="4" fontId="25" fillId="8" borderId="68" xfId="11" applyNumberFormat="1" applyFont="1" applyFill="1" applyBorder="1"/>
    <xf numFmtId="4" fontId="25" fillId="8" borderId="55" xfId="11" applyNumberFormat="1" applyFont="1" applyFill="1" applyBorder="1"/>
    <xf numFmtId="4" fontId="25" fillId="8" borderId="47" xfId="11" applyNumberFormat="1" applyFont="1" applyFill="1" applyBorder="1"/>
    <xf numFmtId="4" fontId="25" fillId="8" borderId="32" xfId="11" applyNumberFormat="1" applyFont="1" applyFill="1" applyBorder="1"/>
    <xf numFmtId="4" fontId="25" fillId="8" borderId="34" xfId="11" applyNumberFormat="1" applyFont="1" applyFill="1" applyBorder="1"/>
    <xf numFmtId="4" fontId="25" fillId="8" borderId="46" xfId="11" applyNumberFormat="1" applyFont="1" applyFill="1" applyBorder="1"/>
    <xf numFmtId="0" fontId="18" fillId="3" borderId="44" xfId="3" applyFont="1" applyFill="1" applyBorder="1" applyAlignment="1">
      <alignment wrapText="1"/>
    </xf>
    <xf numFmtId="4" fontId="25" fillId="9" borderId="32" xfId="11" applyNumberFormat="1" applyFont="1" applyFill="1" applyBorder="1"/>
    <xf numFmtId="4" fontId="25" fillId="9" borderId="34" xfId="11" applyNumberFormat="1" applyFont="1" applyFill="1" applyBorder="1"/>
    <xf numFmtId="4" fontId="25" fillId="9" borderId="46" xfId="11" applyNumberFormat="1" applyFont="1" applyFill="1" applyBorder="1"/>
    <xf numFmtId="0" fontId="18" fillId="3" borderId="69" xfId="3" applyFont="1" applyFill="1" applyBorder="1" applyAlignment="1">
      <alignment wrapText="1"/>
    </xf>
    <xf numFmtId="0" fontId="25" fillId="0" borderId="0" xfId="3" applyFont="1"/>
    <xf numFmtId="0" fontId="22" fillId="0" borderId="0" xfId="3" applyFont="1"/>
    <xf numFmtId="167" fontId="33" fillId="0" borderId="0" xfId="3" applyNumberFormat="1" applyFont="1" applyFill="1"/>
    <xf numFmtId="0" fontId="20" fillId="2" borderId="4" xfId="6" applyFont="1" applyFill="1" applyBorder="1" applyAlignment="1">
      <alignment horizontal="center" vertical="center"/>
    </xf>
    <xf numFmtId="0" fontId="33" fillId="2" borderId="4" xfId="6" applyFont="1" applyFill="1" applyBorder="1" applyAlignment="1">
      <alignment horizontal="center" vertical="center"/>
    </xf>
    <xf numFmtId="9" fontId="33" fillId="9" borderId="34" xfId="9" applyFont="1" applyFill="1" applyBorder="1"/>
    <xf numFmtId="9" fontId="41" fillId="0" borderId="11" xfId="9" applyFont="1" applyFill="1" applyBorder="1"/>
    <xf numFmtId="9" fontId="33" fillId="8" borderId="27" xfId="9" applyFont="1" applyFill="1" applyBorder="1"/>
    <xf numFmtId="9" fontId="33" fillId="8" borderId="3" xfId="9" applyFont="1" applyFill="1" applyBorder="1"/>
    <xf numFmtId="4" fontId="18" fillId="0" borderId="25" xfId="11" applyNumberFormat="1" applyFont="1" applyFill="1" applyBorder="1"/>
    <xf numFmtId="4" fontId="18" fillId="0" borderId="14" xfId="11" applyNumberFormat="1" applyFont="1" applyFill="1" applyBorder="1"/>
    <xf numFmtId="4" fontId="25" fillId="8" borderId="53" xfId="11" applyNumberFormat="1" applyFont="1" applyFill="1" applyBorder="1"/>
    <xf numFmtId="4" fontId="25" fillId="8" borderId="37" xfId="11" applyNumberFormat="1" applyFont="1" applyFill="1" applyBorder="1"/>
    <xf numFmtId="4" fontId="25" fillId="9" borderId="37" xfId="11" applyNumberFormat="1" applyFont="1" applyFill="1" applyBorder="1"/>
    <xf numFmtId="4" fontId="18" fillId="0" borderId="42" xfId="11" applyNumberFormat="1" applyFont="1" applyFill="1" applyBorder="1"/>
    <xf numFmtId="4" fontId="18" fillId="0" borderId="21" xfId="11" applyNumberFormat="1" applyFont="1" applyFill="1" applyBorder="1"/>
    <xf numFmtId="4" fontId="25" fillId="8" borderId="58" xfId="11" applyNumberFormat="1" applyFont="1" applyFill="1" applyBorder="1"/>
    <xf numFmtId="4" fontId="25" fillId="8" borderId="50" xfId="11" applyNumberFormat="1" applyFont="1" applyFill="1" applyBorder="1"/>
    <xf numFmtId="4" fontId="25" fillId="9" borderId="50" xfId="11" applyNumberFormat="1" applyFont="1" applyFill="1" applyBorder="1"/>
    <xf numFmtId="4" fontId="22" fillId="0" borderId="21" xfId="11" applyNumberFormat="1" applyFont="1" applyFill="1" applyBorder="1"/>
    <xf numFmtId="9" fontId="41" fillId="0" borderId="10" xfId="9" applyFont="1" applyFill="1" applyBorder="1"/>
    <xf numFmtId="9" fontId="33" fillId="9" borderId="33" xfId="9" applyFont="1" applyFill="1" applyBorder="1"/>
    <xf numFmtId="0" fontId="20" fillId="2" borderId="70" xfId="6" applyFont="1" applyFill="1" applyBorder="1" applyAlignment="1">
      <alignment horizontal="center" vertical="center"/>
    </xf>
    <xf numFmtId="9" fontId="33" fillId="8" borderId="59" xfId="9" applyFont="1" applyFill="1" applyBorder="1"/>
    <xf numFmtId="9" fontId="41" fillId="0" borderId="44" xfId="9" applyFont="1" applyFill="1" applyBorder="1"/>
    <xf numFmtId="9" fontId="33" fillId="2" borderId="71" xfId="9" applyFont="1" applyFill="1" applyBorder="1" applyAlignment="1">
      <alignment horizontal="center" vertical="center"/>
    </xf>
    <xf numFmtId="9" fontId="41" fillId="0" borderId="7" xfId="9" applyFont="1" applyFill="1" applyBorder="1"/>
    <xf numFmtId="9" fontId="41" fillId="0" borderId="8" xfId="9" applyFont="1" applyFill="1" applyBorder="1"/>
    <xf numFmtId="9" fontId="33" fillId="8" borderId="7" xfId="9" applyFont="1" applyFill="1" applyBorder="1"/>
    <xf numFmtId="9" fontId="33" fillId="8" borderId="6" xfId="9" applyFont="1" applyFill="1" applyBorder="1"/>
    <xf numFmtId="9" fontId="33" fillId="9" borderId="35" xfId="9" applyFont="1" applyFill="1" applyBorder="1"/>
    <xf numFmtId="167" fontId="18" fillId="0" borderId="0" xfId="3" applyNumberFormat="1" applyFont="1" applyFill="1"/>
    <xf numFmtId="4" fontId="22" fillId="0" borderId="0" xfId="3" applyNumberFormat="1" applyFont="1"/>
    <xf numFmtId="4" fontId="42" fillId="9" borderId="2" xfId="11" applyNumberFormat="1" applyFont="1" applyFill="1" applyBorder="1"/>
    <xf numFmtId="4" fontId="42" fillId="9" borderId="3" xfId="11" applyNumberFormat="1" applyFont="1" applyFill="1" applyBorder="1"/>
    <xf numFmtId="9" fontId="42" fillId="9" borderId="59" xfId="9" applyFont="1" applyFill="1" applyBorder="1"/>
    <xf numFmtId="4" fontId="42" fillId="9" borderId="5" xfId="11" applyNumberFormat="1" applyFont="1" applyFill="1" applyBorder="1"/>
    <xf numFmtId="4" fontId="42" fillId="9" borderId="22" xfId="11" applyNumberFormat="1" applyFont="1" applyFill="1" applyBorder="1"/>
    <xf numFmtId="9" fontId="42" fillId="9" borderId="6" xfId="9" applyFont="1" applyFill="1" applyBorder="1"/>
    <xf numFmtId="0" fontId="43" fillId="0" borderId="0" xfId="3" applyFont="1"/>
    <xf numFmtId="4" fontId="15" fillId="9" borderId="32" xfId="11" applyNumberFormat="1" applyFont="1" applyFill="1" applyBorder="1"/>
    <xf numFmtId="4" fontId="15" fillId="9" borderId="34" xfId="11" applyNumberFormat="1" applyFont="1" applyFill="1" applyBorder="1"/>
    <xf numFmtId="9" fontId="42" fillId="9" borderId="55" xfId="9" applyFont="1" applyFill="1" applyBorder="1"/>
    <xf numFmtId="4" fontId="15" fillId="9" borderId="37" xfId="11" applyNumberFormat="1" applyFont="1" applyFill="1" applyBorder="1"/>
    <xf numFmtId="4" fontId="15" fillId="9" borderId="50" xfId="11" applyNumberFormat="1" applyFont="1" applyFill="1" applyBorder="1"/>
    <xf numFmtId="4" fontId="15" fillId="9" borderId="46" xfId="11" applyNumberFormat="1" applyFont="1" applyFill="1" applyBorder="1"/>
    <xf numFmtId="9" fontId="42" fillId="9" borderId="28" xfId="9" applyFont="1" applyFill="1" applyBorder="1"/>
    <xf numFmtId="9" fontId="42" fillId="9" borderId="72" xfId="9" applyFont="1" applyFill="1" applyBorder="1"/>
    <xf numFmtId="9" fontId="42" fillId="9" borderId="34" xfId="9" applyFont="1" applyFill="1" applyBorder="1"/>
    <xf numFmtId="9" fontId="42" fillId="9" borderId="33" xfId="9" applyFont="1" applyFill="1" applyBorder="1"/>
    <xf numFmtId="9" fontId="42" fillId="9" borderId="35" xfId="9" applyFont="1" applyFill="1" applyBorder="1"/>
    <xf numFmtId="4" fontId="42" fillId="10" borderId="2" xfId="3" applyNumberFormat="1" applyFont="1" applyFill="1" applyBorder="1" applyAlignment="1">
      <alignment vertical="center" wrapText="1"/>
    </xf>
    <xf numFmtId="4" fontId="42" fillId="10" borderId="3" xfId="3" applyNumberFormat="1" applyFont="1" applyFill="1" applyBorder="1" applyAlignment="1">
      <alignment vertical="center" wrapText="1"/>
    </xf>
    <xf numFmtId="9" fontId="42" fillId="10" borderId="63" xfId="9" applyFont="1" applyFill="1" applyBorder="1"/>
    <xf numFmtId="4" fontId="42" fillId="10" borderId="5" xfId="3" applyNumberFormat="1" applyFont="1" applyFill="1" applyBorder="1" applyAlignment="1">
      <alignment vertical="center" wrapText="1"/>
    </xf>
    <xf numFmtId="4" fontId="42" fillId="10" borderId="22" xfId="3" applyNumberFormat="1" applyFont="1" applyFill="1" applyBorder="1" applyAlignment="1">
      <alignment vertical="center" wrapText="1"/>
    </xf>
    <xf numFmtId="4" fontId="42" fillId="10" borderId="30" xfId="3" applyNumberFormat="1" applyFont="1" applyFill="1" applyBorder="1" applyAlignment="1">
      <alignment vertical="center" wrapText="1"/>
    </xf>
    <xf numFmtId="9" fontId="42" fillId="10" borderId="31" xfId="9" applyFont="1" applyFill="1" applyBorder="1"/>
    <xf numFmtId="10" fontId="24" fillId="0" borderId="0" xfId="9" applyNumberFormat="1" applyFont="1"/>
    <xf numFmtId="3" fontId="25" fillId="0" borderId="0" xfId="0" applyNumberFormat="1" applyFont="1" applyAlignment="1">
      <alignment horizontal="center"/>
    </xf>
    <xf numFmtId="3" fontId="17" fillId="4" borderId="0" xfId="0" applyNumberFormat="1" applyFont="1" applyFill="1" applyAlignment="1">
      <alignment horizontal="center"/>
    </xf>
    <xf numFmtId="3" fontId="41" fillId="4" borderId="0" xfId="0" applyNumberFormat="1" applyFont="1" applyFill="1" applyAlignment="1">
      <alignment horizontal="center"/>
    </xf>
    <xf numFmtId="3" fontId="22" fillId="0" borderId="0" xfId="8" applyNumberFormat="1" applyFont="1"/>
    <xf numFmtId="3" fontId="30" fillId="0" borderId="30" xfId="8" applyNumberFormat="1" applyFont="1" applyBorder="1"/>
    <xf numFmtId="3" fontId="18" fillId="11" borderId="11" xfId="0" applyNumberFormat="1" applyFont="1" applyFill="1" applyBorder="1"/>
    <xf numFmtId="3" fontId="24" fillId="5" borderId="0" xfId="0" applyNumberFormat="1" applyFont="1" applyFill="1"/>
    <xf numFmtId="0" fontId="22" fillId="0" borderId="0" xfId="8" applyFont="1" applyAlignment="1">
      <alignment horizontal="center"/>
    </xf>
    <xf numFmtId="3" fontId="30" fillId="3" borderId="3" xfId="5" applyNumberFormat="1" applyFont="1" applyFill="1" applyBorder="1" applyAlignment="1">
      <alignment horizontal="center" vertical="center" wrapText="1"/>
    </xf>
    <xf numFmtId="3" fontId="30" fillId="0" borderId="0" xfId="8" applyNumberFormat="1" applyFont="1" applyBorder="1"/>
    <xf numFmtId="3" fontId="22" fillId="0" borderId="11" xfId="8" applyNumberFormat="1" applyFont="1" applyFill="1" applyBorder="1" applyAlignment="1">
      <alignment horizontal="right"/>
    </xf>
    <xf numFmtId="3" fontId="22" fillId="0" borderId="12" xfId="8" applyNumberFormat="1" applyFont="1" applyBorder="1" applyAlignment="1">
      <alignment horizontal="right"/>
    </xf>
    <xf numFmtId="3" fontId="22" fillId="0" borderId="34" xfId="8" applyNumberFormat="1" applyFont="1" applyBorder="1" applyAlignment="1">
      <alignment horizontal="right"/>
    </xf>
    <xf numFmtId="3" fontId="33" fillId="0" borderId="55" xfId="8" applyNumberFormat="1" applyFont="1" applyBorder="1" applyAlignment="1">
      <alignment horizontal="right"/>
    </xf>
    <xf numFmtId="3" fontId="33" fillId="0" borderId="34" xfId="8" applyNumberFormat="1" applyFont="1" applyBorder="1" applyAlignment="1">
      <alignment horizontal="right"/>
    </xf>
    <xf numFmtId="3" fontId="30" fillId="0" borderId="3" xfId="8" applyNumberFormat="1" applyFont="1" applyBorder="1" applyAlignment="1">
      <alignment horizontal="right"/>
    </xf>
    <xf numFmtId="0" fontId="22" fillId="0" borderId="0" xfId="8" applyFont="1"/>
    <xf numFmtId="3" fontId="33" fillId="0" borderId="0" xfId="8" applyNumberFormat="1" applyFont="1"/>
    <xf numFmtId="3" fontId="33" fillId="0" borderId="16" xfId="8" applyNumberFormat="1" applyFont="1" applyBorder="1" applyAlignment="1">
      <alignment horizontal="right"/>
    </xf>
    <xf numFmtId="3" fontId="22" fillId="0" borderId="12" xfId="8" applyNumberFormat="1" applyFont="1" applyFill="1" applyBorder="1" applyAlignment="1">
      <alignment horizontal="right"/>
    </xf>
    <xf numFmtId="3" fontId="22" fillId="0" borderId="34" xfId="8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3" fontId="18" fillId="12" borderId="11" xfId="0" applyNumberFormat="1" applyFont="1" applyFill="1" applyBorder="1"/>
    <xf numFmtId="0" fontId="18" fillId="12" borderId="14" xfId="0" applyFont="1" applyFill="1" applyBorder="1" applyAlignment="1">
      <alignment horizontal="center"/>
    </xf>
    <xf numFmtId="0" fontId="24" fillId="4" borderId="0" xfId="0" applyFont="1" applyFill="1"/>
    <xf numFmtId="3" fontId="28" fillId="4" borderId="0" xfId="0" applyNumberFormat="1" applyFont="1" applyFill="1"/>
    <xf numFmtId="3" fontId="20" fillId="0" borderId="0" xfId="8" applyNumberFormat="1" applyFont="1" applyAlignment="1"/>
    <xf numFmtId="169" fontId="20" fillId="0" borderId="0" xfId="0" applyNumberFormat="1" applyFont="1"/>
    <xf numFmtId="0" fontId="28" fillId="4" borderId="0" xfId="0" applyFont="1" applyFill="1" applyAlignment="1">
      <alignment horizontal="right"/>
    </xf>
    <xf numFmtId="0" fontId="21" fillId="4" borderId="0" xfId="0" applyFont="1" applyFill="1" applyAlignment="1">
      <alignment horizontal="center"/>
    </xf>
    <xf numFmtId="3" fontId="21" fillId="7" borderId="15" xfId="6" applyNumberFormat="1" applyFont="1" applyFill="1" applyBorder="1" applyAlignment="1">
      <alignment horizontal="center" vertical="center" wrapText="1"/>
    </xf>
    <xf numFmtId="3" fontId="20" fillId="7" borderId="15" xfId="0" applyNumberFormat="1" applyFont="1" applyFill="1" applyBorder="1" applyAlignment="1">
      <alignment wrapText="1"/>
    </xf>
    <xf numFmtId="3" fontId="20" fillId="7" borderId="17" xfId="0" applyNumberFormat="1" applyFont="1" applyFill="1" applyBorder="1" applyAlignment="1">
      <alignment wrapText="1"/>
    </xf>
    <xf numFmtId="3" fontId="18" fillId="7" borderId="17" xfId="0" applyNumberFormat="1" applyFont="1" applyFill="1" applyBorder="1"/>
    <xf numFmtId="3" fontId="18" fillId="7" borderId="61" xfId="0" applyNumberFormat="1" applyFont="1" applyFill="1" applyBorder="1"/>
    <xf numFmtId="3" fontId="21" fillId="7" borderId="32" xfId="0" applyNumberFormat="1" applyFont="1" applyFill="1" applyBorder="1"/>
    <xf numFmtId="3" fontId="18" fillId="7" borderId="17" xfId="0" applyNumberFormat="1" applyFont="1" applyFill="1" applyBorder="1" applyAlignment="1">
      <alignment wrapText="1"/>
    </xf>
    <xf numFmtId="3" fontId="18" fillId="7" borderId="62" xfId="0" applyNumberFormat="1" applyFont="1" applyFill="1" applyBorder="1"/>
    <xf numFmtId="3" fontId="21" fillId="7" borderId="2" xfId="0" applyNumberFormat="1" applyFont="1" applyFill="1" applyBorder="1"/>
    <xf numFmtId="3" fontId="21" fillId="7" borderId="16" xfId="6" applyNumberFormat="1" applyFont="1" applyFill="1" applyBorder="1" applyAlignment="1">
      <alignment horizontal="center" vertical="center" wrapText="1"/>
    </xf>
    <xf numFmtId="3" fontId="18" fillId="7" borderId="10" xfId="0" applyNumberFormat="1" applyFont="1" applyFill="1" applyBorder="1"/>
    <xf numFmtId="3" fontId="18" fillId="7" borderId="36" xfId="0" applyNumberFormat="1" applyFont="1" applyFill="1" applyBorder="1"/>
    <xf numFmtId="3" fontId="18" fillId="7" borderId="10" xfId="0" applyNumberFormat="1" applyFont="1" applyFill="1" applyBorder="1" applyAlignment="1">
      <alignment wrapText="1"/>
    </xf>
    <xf numFmtId="3" fontId="20" fillId="4" borderId="16" xfId="0" applyNumberFormat="1" applyFont="1" applyFill="1" applyBorder="1" applyAlignment="1">
      <alignment wrapText="1"/>
    </xf>
    <xf numFmtId="3" fontId="20" fillId="4" borderId="10" xfId="0" applyNumberFormat="1" applyFont="1" applyFill="1" applyBorder="1" applyAlignment="1">
      <alignment wrapText="1"/>
    </xf>
    <xf numFmtId="3" fontId="18" fillId="4" borderId="10" xfId="0" applyNumberFormat="1" applyFont="1" applyFill="1" applyBorder="1"/>
    <xf numFmtId="3" fontId="18" fillId="4" borderId="36" xfId="0" applyNumberFormat="1" applyFont="1" applyFill="1" applyBorder="1"/>
    <xf numFmtId="3" fontId="21" fillId="2" borderId="48" xfId="6" applyNumberFormat="1" applyFont="1" applyFill="1" applyBorder="1" applyAlignment="1">
      <alignment horizontal="center" vertical="center" wrapText="1"/>
    </xf>
    <xf numFmtId="3" fontId="20" fillId="3" borderId="48" xfId="0" applyNumberFormat="1" applyFont="1" applyFill="1" applyBorder="1" applyAlignment="1">
      <alignment wrapText="1"/>
    </xf>
    <xf numFmtId="3" fontId="20" fillId="3" borderId="49" xfId="0" applyNumberFormat="1" applyFont="1" applyFill="1" applyBorder="1" applyAlignment="1">
      <alignment wrapText="1"/>
    </xf>
    <xf numFmtId="3" fontId="18" fillId="5" borderId="49" xfId="0" applyNumberFormat="1" applyFont="1" applyFill="1" applyBorder="1"/>
    <xf numFmtId="3" fontId="18" fillId="5" borderId="65" xfId="0" applyNumberFormat="1" applyFont="1" applyFill="1" applyBorder="1"/>
    <xf numFmtId="3" fontId="21" fillId="3" borderId="46" xfId="0" applyNumberFormat="1" applyFont="1" applyFill="1" applyBorder="1"/>
    <xf numFmtId="3" fontId="18" fillId="0" borderId="65" xfId="0" applyNumberFormat="1" applyFont="1" applyFill="1" applyBorder="1"/>
    <xf numFmtId="3" fontId="18" fillId="3" borderId="49" xfId="0" applyNumberFormat="1" applyFont="1" applyFill="1" applyBorder="1" applyAlignment="1">
      <alignment wrapText="1"/>
    </xf>
    <xf numFmtId="3" fontId="18" fillId="0" borderId="49" xfId="0" applyNumberFormat="1" applyFont="1" applyFill="1" applyBorder="1"/>
    <xf numFmtId="3" fontId="18" fillId="0" borderId="0" xfId="0" applyNumberFormat="1" applyFont="1" applyFill="1" applyBorder="1"/>
    <xf numFmtId="3" fontId="21" fillId="3" borderId="30" xfId="0" applyNumberFormat="1" applyFont="1" applyFill="1" applyBorder="1"/>
    <xf numFmtId="3" fontId="18" fillId="0" borderId="73" xfId="0" applyNumberFormat="1" applyFont="1" applyBorder="1"/>
    <xf numFmtId="3" fontId="21" fillId="2" borderId="13" xfId="6" applyNumberFormat="1" applyFont="1" applyFill="1" applyBorder="1" applyAlignment="1">
      <alignment horizontal="center" vertical="center" wrapText="1"/>
    </xf>
    <xf numFmtId="3" fontId="20" fillId="3" borderId="13" xfId="0" applyNumberFormat="1" applyFont="1" applyFill="1" applyBorder="1" applyAlignment="1">
      <alignment wrapText="1"/>
    </xf>
    <xf numFmtId="3" fontId="20" fillId="3" borderId="25" xfId="0" applyNumberFormat="1" applyFont="1" applyFill="1" applyBorder="1" applyAlignment="1">
      <alignment wrapText="1"/>
    </xf>
    <xf numFmtId="3" fontId="18" fillId="5" borderId="25" xfId="0" applyNumberFormat="1" applyFont="1" applyFill="1" applyBorder="1"/>
    <xf numFmtId="3" fontId="18" fillId="5" borderId="14" xfId="0" applyNumberFormat="1" applyFont="1" applyFill="1" applyBorder="1"/>
    <xf numFmtId="3" fontId="18" fillId="0" borderId="38" xfId="0" applyNumberFormat="1" applyFont="1" applyBorder="1"/>
    <xf numFmtId="3" fontId="18" fillId="0" borderId="14" xfId="0" applyNumberFormat="1" applyFont="1" applyFill="1" applyBorder="1"/>
    <xf numFmtId="3" fontId="18" fillId="3" borderId="25" xfId="0" applyNumberFormat="1" applyFont="1" applyFill="1" applyBorder="1" applyAlignment="1">
      <alignment wrapText="1"/>
    </xf>
    <xf numFmtId="3" fontId="18" fillId="0" borderId="25" xfId="0" applyNumberFormat="1" applyFont="1" applyFill="1" applyBorder="1"/>
    <xf numFmtId="3" fontId="18" fillId="0" borderId="38" xfId="0" applyNumberFormat="1" applyFont="1" applyFill="1" applyBorder="1"/>
    <xf numFmtId="3" fontId="21" fillId="2" borderId="20" xfId="6" applyNumberFormat="1" applyFont="1" applyFill="1" applyBorder="1" applyAlignment="1">
      <alignment horizontal="center" vertical="center" wrapText="1"/>
    </xf>
    <xf numFmtId="3" fontId="20" fillId="3" borderId="20" xfId="0" applyNumberFormat="1" applyFont="1" applyFill="1" applyBorder="1" applyAlignment="1">
      <alignment wrapText="1"/>
    </xf>
    <xf numFmtId="3" fontId="20" fillId="3" borderId="42" xfId="0" applyNumberFormat="1" applyFont="1" applyFill="1" applyBorder="1" applyAlignment="1">
      <alignment wrapText="1"/>
    </xf>
    <xf numFmtId="3" fontId="18" fillId="5" borderId="42" xfId="0" applyNumberFormat="1" applyFont="1" applyFill="1" applyBorder="1"/>
    <xf numFmtId="3" fontId="18" fillId="5" borderId="21" xfId="0" applyNumberFormat="1" applyFont="1" applyFill="1" applyBorder="1"/>
    <xf numFmtId="3" fontId="21" fillId="3" borderId="50" xfId="0" applyNumberFormat="1" applyFont="1" applyFill="1" applyBorder="1"/>
    <xf numFmtId="3" fontId="18" fillId="0" borderId="60" xfId="0" applyNumberFormat="1" applyFont="1" applyBorder="1"/>
    <xf numFmtId="3" fontId="18" fillId="0" borderId="21" xfId="0" applyNumberFormat="1" applyFont="1" applyFill="1" applyBorder="1"/>
    <xf numFmtId="3" fontId="18" fillId="3" borderId="42" xfId="0" applyNumberFormat="1" applyFont="1" applyFill="1" applyBorder="1" applyAlignment="1">
      <alignment wrapText="1"/>
    </xf>
    <xf numFmtId="3" fontId="18" fillId="0" borderId="42" xfId="0" applyNumberFormat="1" applyFont="1" applyFill="1" applyBorder="1"/>
    <xf numFmtId="3" fontId="18" fillId="0" borderId="60" xfId="0" applyNumberFormat="1" applyFont="1" applyFill="1" applyBorder="1"/>
    <xf numFmtId="3" fontId="21" fillId="3" borderId="22" xfId="0" applyNumberFormat="1" applyFont="1" applyFill="1" applyBorder="1"/>
    <xf numFmtId="3" fontId="18" fillId="13" borderId="11" xfId="0" applyNumberFormat="1" applyFont="1" applyFill="1" applyBorder="1"/>
    <xf numFmtId="3" fontId="7" fillId="0" borderId="0" xfId="0" applyNumberFormat="1" applyFont="1" applyAlignment="1">
      <alignment horizontal="center"/>
    </xf>
    <xf numFmtId="0" fontId="24" fillId="6" borderId="0" xfId="0" applyFont="1" applyFill="1" applyAlignment="1">
      <alignment horizontal="center"/>
    </xf>
    <xf numFmtId="3" fontId="25" fillId="6" borderId="0" xfId="0" applyNumberFormat="1" applyFont="1" applyFill="1" applyAlignment="1">
      <alignment horizontal="center"/>
    </xf>
    <xf numFmtId="3" fontId="24" fillId="6" borderId="0" xfId="0" applyNumberFormat="1" applyFont="1" applyFill="1" applyAlignment="1">
      <alignment horizontal="center"/>
    </xf>
    <xf numFmtId="0" fontId="24" fillId="5" borderId="0" xfId="0" applyFont="1" applyFill="1"/>
    <xf numFmtId="0" fontId="41" fillId="5" borderId="0" xfId="0" applyFont="1" applyFill="1"/>
    <xf numFmtId="4" fontId="24" fillId="5" borderId="0" xfId="0" applyNumberFormat="1" applyFont="1" applyFill="1"/>
    <xf numFmtId="3" fontId="21" fillId="0" borderId="30" xfId="8" applyNumberFormat="1" applyFont="1" applyBorder="1"/>
    <xf numFmtId="0" fontId="18" fillId="0" borderId="8" xfId="0" applyFont="1" applyBorder="1" applyAlignment="1">
      <alignment horizontal="right" wrapText="1"/>
    </xf>
    <xf numFmtId="49" fontId="18" fillId="0" borderId="37" xfId="8" applyNumberFormat="1" applyFont="1" applyBorder="1" applyAlignment="1">
      <alignment horizontal="center"/>
    </xf>
    <xf numFmtId="0" fontId="20" fillId="0" borderId="28" xfId="0" applyFont="1" applyBorder="1" applyAlignment="1">
      <alignment wrapText="1"/>
    </xf>
    <xf numFmtId="0" fontId="16" fillId="5" borderId="33" xfId="0" applyFont="1" applyFill="1" applyBorder="1"/>
    <xf numFmtId="49" fontId="20" fillId="0" borderId="37" xfId="8" applyNumberFormat="1" applyFont="1" applyBorder="1" applyAlignment="1">
      <alignment horizontal="center"/>
    </xf>
    <xf numFmtId="0" fontId="20" fillId="0" borderId="68" xfId="8" applyFont="1" applyBorder="1" applyAlignment="1">
      <alignment horizontal="center"/>
    </xf>
    <xf numFmtId="0" fontId="20" fillId="0" borderId="47" xfId="0" applyFont="1" applyBorder="1" applyAlignment="1">
      <alignment wrapText="1"/>
    </xf>
    <xf numFmtId="3" fontId="20" fillId="0" borderId="47" xfId="8" applyNumberFormat="1" applyFont="1" applyBorder="1" applyAlignment="1">
      <alignment horizontal="right"/>
    </xf>
    <xf numFmtId="3" fontId="33" fillId="0" borderId="72" xfId="8" applyNumberFormat="1" applyFont="1" applyBorder="1" applyAlignment="1">
      <alignment horizontal="right"/>
    </xf>
    <xf numFmtId="49" fontId="18" fillId="0" borderId="53" xfId="8" applyNumberFormat="1" applyFont="1" applyBorder="1" applyAlignment="1">
      <alignment horizontal="center"/>
    </xf>
    <xf numFmtId="0" fontId="21" fillId="2" borderId="59" xfId="6" applyFont="1" applyFill="1" applyBorder="1" applyAlignment="1">
      <alignment vertical="center"/>
    </xf>
    <xf numFmtId="3" fontId="33" fillId="0" borderId="36" xfId="7" applyNumberFormat="1" applyFont="1" applyFill="1" applyBorder="1"/>
    <xf numFmtId="0" fontId="18" fillId="0" borderId="31" xfId="0" applyFont="1" applyBorder="1" applyAlignment="1">
      <alignment horizontal="right" wrapText="1"/>
    </xf>
    <xf numFmtId="49" fontId="18" fillId="0" borderId="13" xfId="8" applyNumberFormat="1" applyFont="1" applyBorder="1" applyAlignment="1">
      <alignment horizontal="center"/>
    </xf>
    <xf numFmtId="0" fontId="20" fillId="0" borderId="28" xfId="0" applyFont="1" applyBorder="1" applyAlignment="1">
      <alignment horizontal="left" wrapText="1"/>
    </xf>
    <xf numFmtId="0" fontId="18" fillId="0" borderId="9" xfId="0" applyFont="1" applyBorder="1" applyAlignment="1">
      <alignment horizontal="right" wrapText="1"/>
    </xf>
    <xf numFmtId="0" fontId="16" fillId="5" borderId="28" xfId="0" applyFont="1" applyFill="1" applyBorder="1"/>
    <xf numFmtId="49" fontId="18" fillId="0" borderId="25" xfId="8" applyNumberFormat="1" applyFont="1" applyBorder="1" applyAlignment="1">
      <alignment horizontal="center"/>
    </xf>
    <xf numFmtId="3" fontId="20" fillId="9" borderId="14" xfId="0" applyNumberFormat="1" applyFont="1" applyFill="1" applyBorder="1"/>
    <xf numFmtId="3" fontId="44" fillId="9" borderId="14" xfId="0" applyNumberFormat="1" applyFont="1" applyFill="1" applyBorder="1"/>
    <xf numFmtId="0" fontId="22" fillId="2" borderId="3" xfId="6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left" wrapText="1"/>
    </xf>
    <xf numFmtId="0" fontId="18" fillId="3" borderId="27" xfId="0" applyFont="1" applyFill="1" applyBorder="1" applyAlignment="1">
      <alignment horizontal="left" wrapText="1"/>
    </xf>
    <xf numFmtId="0" fontId="18" fillId="5" borderId="27" xfId="0" applyFont="1" applyFill="1" applyBorder="1" applyAlignment="1">
      <alignment horizontal="right" wrapText="1"/>
    </xf>
    <xf numFmtId="0" fontId="20" fillId="3" borderId="27" xfId="0" applyFont="1" applyFill="1" applyBorder="1" applyAlignment="1">
      <alignment wrapText="1"/>
    </xf>
    <xf numFmtId="3" fontId="22" fillId="0" borderId="0" xfId="0" applyNumberFormat="1" applyFont="1" applyAlignment="1">
      <alignment horizontal="center"/>
    </xf>
    <xf numFmtId="0" fontId="22" fillId="4" borderId="2" xfId="6" applyFont="1" applyFill="1" applyBorder="1" applyAlignment="1">
      <alignment horizontal="center" vertical="center" wrapText="1"/>
    </xf>
    <xf numFmtId="0" fontId="22" fillId="4" borderId="59" xfId="6" applyFont="1" applyFill="1" applyBorder="1" applyAlignment="1">
      <alignment horizontal="center" vertical="center" wrapText="1"/>
    </xf>
    <xf numFmtId="3" fontId="33" fillId="0" borderId="25" xfId="0" applyNumberFormat="1" applyFont="1" applyFill="1" applyBorder="1"/>
    <xf numFmtId="3" fontId="30" fillId="3" borderId="37" xfId="0" applyNumberFormat="1" applyFont="1" applyFill="1" applyBorder="1"/>
    <xf numFmtId="3" fontId="33" fillId="0" borderId="24" xfId="0" applyNumberFormat="1" applyFont="1" applyFill="1" applyBorder="1"/>
    <xf numFmtId="3" fontId="33" fillId="0" borderId="38" xfId="0" applyNumberFormat="1" applyFont="1" applyFill="1" applyBorder="1"/>
    <xf numFmtId="3" fontId="33" fillId="5" borderId="14" xfId="0" applyNumberFormat="1" applyFont="1" applyFill="1" applyBorder="1"/>
    <xf numFmtId="3" fontId="30" fillId="3" borderId="5" xfId="0" applyNumberFormat="1" applyFont="1" applyFill="1" applyBorder="1"/>
    <xf numFmtId="3" fontId="30" fillId="0" borderId="0" xfId="0" applyNumberFormat="1" applyFont="1" applyFill="1" applyBorder="1"/>
    <xf numFmtId="3" fontId="33" fillId="14" borderId="14" xfId="0" applyNumberFormat="1" applyFont="1" applyFill="1" applyBorder="1"/>
    <xf numFmtId="0" fontId="22" fillId="4" borderId="5" xfId="6" applyFont="1" applyFill="1" applyBorder="1" applyAlignment="1">
      <alignment horizontal="center" vertical="center" wrapText="1"/>
    </xf>
    <xf numFmtId="3" fontId="32" fillId="0" borderId="16" xfId="0" applyNumberFormat="1" applyFont="1" applyFill="1" applyBorder="1"/>
    <xf numFmtId="0" fontId="45" fillId="0" borderId="0" xfId="0" applyFont="1"/>
    <xf numFmtId="3" fontId="32" fillId="0" borderId="11" xfId="0" applyNumberFormat="1" applyFont="1" applyFill="1" applyBorder="1"/>
    <xf numFmtId="0" fontId="18" fillId="0" borderId="23" xfId="8" applyFont="1" applyBorder="1" applyAlignment="1">
      <alignment horizontal="center"/>
    </xf>
    <xf numFmtId="0" fontId="46" fillId="5" borderId="0" xfId="0" applyFont="1" applyFill="1"/>
    <xf numFmtId="0" fontId="47" fillId="5" borderId="0" xfId="0" applyFont="1" applyFill="1"/>
    <xf numFmtId="49" fontId="9" fillId="5" borderId="0" xfId="0" applyNumberFormat="1" applyFont="1" applyFill="1" applyAlignment="1">
      <alignment horizontal="left" vertical="center"/>
    </xf>
    <xf numFmtId="0" fontId="0" fillId="5" borderId="74" xfId="0" applyFill="1" applyBorder="1"/>
    <xf numFmtId="0" fontId="0" fillId="5" borderId="45" xfId="0" applyFill="1" applyBorder="1"/>
    <xf numFmtId="0" fontId="0" fillId="5" borderId="43" xfId="0" applyFill="1" applyBorder="1"/>
    <xf numFmtId="0" fontId="16" fillId="5" borderId="0" xfId="0" applyFont="1" applyFill="1"/>
    <xf numFmtId="0" fontId="46" fillId="14" borderId="0" xfId="0" applyFont="1" applyFill="1" applyBorder="1"/>
    <xf numFmtId="0" fontId="0" fillId="14" borderId="0" xfId="0" applyFill="1" applyBorder="1"/>
    <xf numFmtId="0" fontId="16" fillId="14" borderId="0" xfId="0" applyFont="1" applyFill="1" applyBorder="1" applyAlignment="1">
      <alignment horizontal="center"/>
    </xf>
    <xf numFmtId="0" fontId="16" fillId="14" borderId="0" xfId="0" applyFont="1" applyFill="1" applyBorder="1"/>
    <xf numFmtId="0" fontId="0" fillId="15" borderId="0" xfId="0" applyFill="1" applyBorder="1"/>
    <xf numFmtId="0" fontId="16" fillId="15" borderId="0" xfId="0" applyFont="1" applyFill="1" applyBorder="1" applyAlignment="1">
      <alignment horizontal="center"/>
    </xf>
    <xf numFmtId="0" fontId="16" fillId="15" borderId="0" xfId="0" applyFont="1" applyFill="1" applyBorder="1"/>
    <xf numFmtId="0" fontId="16" fillId="5" borderId="57" xfId="0" applyFont="1" applyFill="1" applyBorder="1"/>
    <xf numFmtId="0" fontId="16" fillId="5" borderId="53" xfId="0" applyFont="1" applyFill="1" applyBorder="1"/>
    <xf numFmtId="0" fontId="16" fillId="5" borderId="53" xfId="0" applyFont="1" applyFill="1" applyBorder="1" applyAlignment="1">
      <alignment horizontal="center"/>
    </xf>
    <xf numFmtId="0" fontId="48" fillId="5" borderId="0" xfId="0" applyFont="1" applyFill="1"/>
    <xf numFmtId="0" fontId="0" fillId="16" borderId="23" xfId="0" applyFill="1" applyBorder="1"/>
    <xf numFmtId="0" fontId="0" fillId="16" borderId="25" xfId="0" applyFill="1" applyBorder="1" applyAlignment="1">
      <alignment horizontal="right" indent="5"/>
    </xf>
    <xf numFmtId="168" fontId="0" fillId="16" borderId="25" xfId="0" applyNumberFormat="1" applyFill="1" applyBorder="1" applyAlignment="1">
      <alignment horizontal="right" indent="1"/>
    </xf>
    <xf numFmtId="0" fontId="0" fillId="16" borderId="25" xfId="0" applyFill="1" applyBorder="1"/>
    <xf numFmtId="0" fontId="0" fillId="16" borderId="25" xfId="0" applyFill="1" applyBorder="1" applyAlignment="1">
      <alignment horizontal="center"/>
    </xf>
    <xf numFmtId="0" fontId="0" fillId="16" borderId="27" xfId="0" applyFill="1" applyBorder="1"/>
    <xf numFmtId="0" fontId="17" fillId="16" borderId="25" xfId="0" applyFont="1" applyFill="1" applyBorder="1"/>
    <xf numFmtId="0" fontId="17" fillId="16" borderId="27" xfId="0" applyFont="1" applyFill="1" applyBorder="1"/>
    <xf numFmtId="0" fontId="0" fillId="16" borderId="14" xfId="0" applyFill="1" applyBorder="1"/>
    <xf numFmtId="0" fontId="41" fillId="16" borderId="25" xfId="0" applyFont="1" applyFill="1" applyBorder="1" applyAlignment="1">
      <alignment horizontal="center"/>
    </xf>
    <xf numFmtId="0" fontId="0" fillId="17" borderId="23" xfId="0" applyFill="1" applyBorder="1" applyAlignment="1">
      <alignment wrapText="1"/>
    </xf>
    <xf numFmtId="0" fontId="0" fillId="17" borderId="25" xfId="0" applyFill="1" applyBorder="1" applyAlignment="1">
      <alignment horizontal="right" indent="5"/>
    </xf>
    <xf numFmtId="0" fontId="0" fillId="17" borderId="14" xfId="0" applyFill="1" applyBorder="1" applyAlignment="1">
      <alignment horizontal="right" indent="5"/>
    </xf>
    <xf numFmtId="168" fontId="0" fillId="17" borderId="25" xfId="0" applyNumberFormat="1" applyFill="1" applyBorder="1" applyAlignment="1">
      <alignment horizontal="right" indent="1"/>
    </xf>
    <xf numFmtId="0" fontId="0" fillId="17" borderId="14" xfId="0" applyFill="1" applyBorder="1"/>
    <xf numFmtId="0" fontId="0" fillId="17" borderId="25" xfId="0" applyFill="1" applyBorder="1" applyAlignment="1">
      <alignment horizontal="center"/>
    </xf>
    <xf numFmtId="0" fontId="41" fillId="17" borderId="25" xfId="0" applyFont="1" applyFill="1" applyBorder="1" applyAlignment="1">
      <alignment horizontal="center"/>
    </xf>
    <xf numFmtId="0" fontId="17" fillId="17" borderId="25" xfId="0" applyFont="1" applyFill="1" applyBorder="1"/>
    <xf numFmtId="0" fontId="17" fillId="17" borderId="27" xfId="0" applyFont="1" applyFill="1" applyBorder="1"/>
    <xf numFmtId="0" fontId="0" fillId="17" borderId="27" xfId="0" applyFill="1" applyBorder="1"/>
    <xf numFmtId="0" fontId="0" fillId="16" borderId="23" xfId="0" applyFill="1" applyBorder="1" applyAlignment="1">
      <alignment wrapText="1"/>
    </xf>
    <xf numFmtId="0" fontId="0" fillId="17" borderId="23" xfId="0" applyFill="1" applyBorder="1"/>
    <xf numFmtId="168" fontId="0" fillId="17" borderId="14" xfId="0" applyNumberFormat="1" applyFill="1" applyBorder="1" applyAlignment="1">
      <alignment horizontal="right" indent="1"/>
    </xf>
    <xf numFmtId="0" fontId="0" fillId="17" borderId="25" xfId="0" applyFill="1" applyBorder="1"/>
    <xf numFmtId="0" fontId="0" fillId="16" borderId="19" xfId="0" applyFill="1" applyBorder="1"/>
    <xf numFmtId="0" fontId="0" fillId="16" borderId="14" xfId="0" applyFill="1" applyBorder="1" applyAlignment="1">
      <alignment horizontal="right" indent="5"/>
    </xf>
    <xf numFmtId="168" fontId="0" fillId="16" borderId="14" xfId="0" applyNumberFormat="1" applyFill="1" applyBorder="1" applyAlignment="1">
      <alignment horizontal="right" indent="1"/>
    </xf>
    <xf numFmtId="0" fontId="0" fillId="16" borderId="14" xfId="0" applyFill="1" applyBorder="1" applyAlignment="1">
      <alignment horizontal="center"/>
    </xf>
    <xf numFmtId="0" fontId="17" fillId="16" borderId="14" xfId="0" applyFont="1" applyFill="1" applyBorder="1"/>
    <xf numFmtId="0" fontId="17" fillId="16" borderId="44" xfId="0" applyFont="1" applyFill="1" applyBorder="1"/>
    <xf numFmtId="0" fontId="0" fillId="16" borderId="44" xfId="0" applyFill="1" applyBorder="1"/>
    <xf numFmtId="0" fontId="0" fillId="17" borderId="19" xfId="0" applyFill="1" applyBorder="1"/>
    <xf numFmtId="0" fontId="0" fillId="17" borderId="14" xfId="0" applyFill="1" applyBorder="1" applyAlignment="1">
      <alignment horizontal="center"/>
    </xf>
    <xf numFmtId="0" fontId="41" fillId="17" borderId="14" xfId="0" applyFont="1" applyFill="1" applyBorder="1" applyAlignment="1">
      <alignment horizontal="center"/>
    </xf>
    <xf numFmtId="0" fontId="17" fillId="17" borderId="14" xfId="0" applyFont="1" applyFill="1" applyBorder="1"/>
    <xf numFmtId="0" fontId="17" fillId="17" borderId="44" xfId="0" applyFont="1" applyFill="1" applyBorder="1"/>
    <xf numFmtId="0" fontId="0" fillId="17" borderId="44" xfId="0" applyFill="1" applyBorder="1"/>
    <xf numFmtId="0" fontId="41" fillId="16" borderId="14" xfId="0" applyFont="1" applyFill="1" applyBorder="1" applyAlignment="1">
      <alignment horizontal="center"/>
    </xf>
    <xf numFmtId="0" fontId="0" fillId="18" borderId="19" xfId="0" applyFill="1" applyBorder="1"/>
    <xf numFmtId="0" fontId="0" fillId="18" borderId="14" xfId="0" applyFill="1" applyBorder="1" applyAlignment="1">
      <alignment horizontal="right" indent="5"/>
    </xf>
    <xf numFmtId="168" fontId="0" fillId="18" borderId="14" xfId="0" applyNumberFormat="1" applyFill="1" applyBorder="1" applyAlignment="1">
      <alignment horizontal="right" indent="1"/>
    </xf>
    <xf numFmtId="168" fontId="0" fillId="18" borderId="25" xfId="0" applyNumberFormat="1" applyFill="1" applyBorder="1" applyAlignment="1">
      <alignment horizontal="right" indent="1"/>
    </xf>
    <xf numFmtId="0" fontId="0" fillId="18" borderId="14" xfId="0" applyFill="1" applyBorder="1"/>
    <xf numFmtId="0" fontId="0" fillId="18" borderId="14" xfId="0" applyFill="1" applyBorder="1" applyAlignment="1">
      <alignment horizontal="center"/>
    </xf>
    <xf numFmtId="0" fontId="17" fillId="18" borderId="14" xfId="0" applyFont="1" applyFill="1" applyBorder="1"/>
    <xf numFmtId="0" fontId="17" fillId="18" borderId="44" xfId="0" applyFont="1" applyFill="1" applyBorder="1"/>
    <xf numFmtId="0" fontId="0" fillId="18" borderId="44" xfId="0" applyFill="1" applyBorder="1"/>
    <xf numFmtId="0" fontId="41" fillId="18" borderId="14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25" fillId="19" borderId="19" xfId="0" applyFont="1" applyFill="1" applyBorder="1"/>
    <xf numFmtId="0" fontId="17" fillId="19" borderId="14" xfId="0" applyFont="1" applyFill="1" applyBorder="1" applyAlignment="1">
      <alignment horizontal="right" indent="5"/>
    </xf>
    <xf numFmtId="168" fontId="17" fillId="19" borderId="14" xfId="0" applyNumberFormat="1" applyFont="1" applyFill="1" applyBorder="1" applyAlignment="1">
      <alignment horizontal="right" indent="1"/>
    </xf>
    <xf numFmtId="168" fontId="17" fillId="19" borderId="25" xfId="0" applyNumberFormat="1" applyFont="1" applyFill="1" applyBorder="1" applyAlignment="1">
      <alignment horizontal="right" indent="1"/>
    </xf>
    <xf numFmtId="0" fontId="17" fillId="19" borderId="14" xfId="0" applyFont="1" applyFill="1" applyBorder="1"/>
    <xf numFmtId="0" fontId="17" fillId="19" borderId="14" xfId="0" applyFont="1" applyFill="1" applyBorder="1" applyAlignment="1">
      <alignment horizontal="center"/>
    </xf>
    <xf numFmtId="0" fontId="41" fillId="19" borderId="14" xfId="0" applyFont="1" applyFill="1" applyBorder="1" applyAlignment="1">
      <alignment horizontal="center"/>
    </xf>
    <xf numFmtId="0" fontId="17" fillId="19" borderId="44" xfId="0" applyFont="1" applyFill="1" applyBorder="1"/>
    <xf numFmtId="0" fontId="0" fillId="5" borderId="19" xfId="0" applyFill="1" applyBorder="1"/>
    <xf numFmtId="0" fontId="0" fillId="5" borderId="14" xfId="0" applyFill="1" applyBorder="1" applyAlignment="1">
      <alignment horizontal="right" indent="5"/>
    </xf>
    <xf numFmtId="168" fontId="0" fillId="5" borderId="14" xfId="0" applyNumberFormat="1" applyFill="1" applyBorder="1" applyAlignment="1">
      <alignment horizontal="right" indent="1"/>
    </xf>
    <xf numFmtId="168" fontId="0" fillId="5" borderId="25" xfId="0" applyNumberFormat="1" applyFill="1" applyBorder="1" applyAlignment="1">
      <alignment horizontal="right" indent="1"/>
    </xf>
    <xf numFmtId="0" fontId="0" fillId="5" borderId="14" xfId="0" applyFill="1" applyBorder="1"/>
    <xf numFmtId="0" fontId="0" fillId="5" borderId="14" xfId="0" applyFill="1" applyBorder="1" applyAlignment="1">
      <alignment horizontal="center"/>
    </xf>
    <xf numFmtId="0" fontId="17" fillId="5" borderId="14" xfId="0" applyFont="1" applyFill="1" applyBorder="1"/>
    <xf numFmtId="0" fontId="17" fillId="5" borderId="44" xfId="0" applyFont="1" applyFill="1" applyBorder="1"/>
    <xf numFmtId="0" fontId="0" fillId="5" borderId="44" xfId="0" applyFill="1" applyBorder="1"/>
    <xf numFmtId="0" fontId="0" fillId="5" borderId="40" xfId="0" applyFill="1" applyBorder="1"/>
    <xf numFmtId="0" fontId="0" fillId="5" borderId="37" xfId="0" applyFill="1" applyBorder="1" applyAlignment="1">
      <alignment horizontal="right" indent="5"/>
    </xf>
    <xf numFmtId="168" fontId="0" fillId="5" borderId="37" xfId="0" applyNumberFormat="1" applyFill="1" applyBorder="1" applyAlignment="1">
      <alignment horizontal="right" indent="1"/>
    </xf>
    <xf numFmtId="0" fontId="0" fillId="5" borderId="37" xfId="0" applyFill="1" applyBorder="1"/>
    <xf numFmtId="0" fontId="0" fillId="5" borderId="37" xfId="0" applyFill="1" applyBorder="1" applyAlignment="1">
      <alignment horizontal="center"/>
    </xf>
    <xf numFmtId="0" fontId="17" fillId="5" borderId="37" xfId="0" applyFont="1" applyFill="1" applyBorder="1"/>
    <xf numFmtId="0" fontId="17" fillId="5" borderId="33" xfId="0" applyFont="1" applyFill="1" applyBorder="1"/>
    <xf numFmtId="0" fontId="0" fillId="5" borderId="33" xfId="0" applyFill="1" applyBorder="1"/>
    <xf numFmtId="3" fontId="0" fillId="5" borderId="0" xfId="0" applyNumberFormat="1" applyFill="1" applyAlignment="1">
      <alignment horizontal="right" indent="5"/>
    </xf>
    <xf numFmtId="168" fontId="0" fillId="5" borderId="0" xfId="0" applyNumberFormat="1" applyFill="1"/>
    <xf numFmtId="0" fontId="16" fillId="5" borderId="1" xfId="0" applyFont="1" applyFill="1" applyBorder="1"/>
    <xf numFmtId="0" fontId="16" fillId="5" borderId="5" xfId="0" applyFont="1" applyFill="1" applyBorder="1"/>
    <xf numFmtId="0" fontId="16" fillId="5" borderId="59" xfId="0" applyFont="1" applyFill="1" applyBorder="1"/>
    <xf numFmtId="0" fontId="0" fillId="5" borderId="25" xfId="0" applyFill="1" applyBorder="1"/>
    <xf numFmtId="0" fontId="0" fillId="5" borderId="27" xfId="0" applyFill="1" applyBorder="1"/>
    <xf numFmtId="3" fontId="0" fillId="16" borderId="25" xfId="0" applyNumberFormat="1" applyFill="1" applyBorder="1" applyAlignment="1">
      <alignment horizontal="right" indent="5"/>
    </xf>
    <xf numFmtId="0" fontId="0" fillId="7" borderId="19" xfId="0" applyFill="1" applyBorder="1"/>
    <xf numFmtId="0" fontId="0" fillId="7" borderId="14" xfId="0" applyFill="1" applyBorder="1" applyAlignment="1">
      <alignment horizontal="right" indent="5"/>
    </xf>
    <xf numFmtId="168" fontId="0" fillId="7" borderId="14" xfId="0" applyNumberFormat="1" applyFill="1" applyBorder="1" applyAlignment="1">
      <alignment horizontal="right" indent="1"/>
    </xf>
    <xf numFmtId="0" fontId="0" fillId="7" borderId="14" xfId="0" applyFill="1" applyBorder="1"/>
    <xf numFmtId="3" fontId="0" fillId="5" borderId="14" xfId="0" applyNumberFormat="1" applyFill="1" applyBorder="1" applyAlignment="1">
      <alignment horizontal="right" indent="5"/>
    </xf>
    <xf numFmtId="168" fontId="0" fillId="5" borderId="53" xfId="0" applyNumberFormat="1" applyFill="1" applyBorder="1" applyAlignment="1">
      <alignment horizontal="right" indent="1"/>
    </xf>
    <xf numFmtId="0" fontId="16" fillId="5" borderId="3" xfId="0" applyFont="1" applyFill="1" applyBorder="1"/>
    <xf numFmtId="0" fontId="16" fillId="5" borderId="22" xfId="0" applyFont="1" applyFill="1" applyBorder="1"/>
    <xf numFmtId="0" fontId="0" fillId="17" borderId="10" xfId="0" applyFill="1" applyBorder="1"/>
    <xf numFmtId="168" fontId="0" fillId="17" borderId="23" xfId="0" applyNumberFormat="1" applyFill="1" applyBorder="1" applyAlignment="1">
      <alignment horizontal="right" indent="1"/>
    </xf>
    <xf numFmtId="168" fontId="0" fillId="17" borderId="42" xfId="0" applyNumberFormat="1" applyFill="1" applyBorder="1" applyAlignment="1">
      <alignment horizontal="right" indent="1"/>
    </xf>
    <xf numFmtId="0" fontId="0" fillId="16" borderId="10" xfId="0" applyFill="1" applyBorder="1"/>
    <xf numFmtId="168" fontId="0" fillId="16" borderId="23" xfId="0" applyNumberFormat="1" applyFill="1" applyBorder="1" applyAlignment="1">
      <alignment horizontal="right" indent="1"/>
    </xf>
    <xf numFmtId="168" fontId="0" fillId="16" borderId="42" xfId="0" applyNumberFormat="1" applyFill="1" applyBorder="1" applyAlignment="1">
      <alignment horizontal="right" indent="1"/>
    </xf>
    <xf numFmtId="0" fontId="0" fillId="20" borderId="10" xfId="0" applyFill="1" applyBorder="1"/>
    <xf numFmtId="168" fontId="0" fillId="20" borderId="19" xfId="0" applyNumberFormat="1" applyFill="1" applyBorder="1" applyAlignment="1">
      <alignment horizontal="right" indent="1"/>
    </xf>
    <xf numFmtId="168" fontId="0" fillId="20" borderId="42" xfId="0" applyNumberFormat="1" applyFill="1" applyBorder="1" applyAlignment="1">
      <alignment horizontal="right" indent="1"/>
    </xf>
    <xf numFmtId="168" fontId="0" fillId="20" borderId="25" xfId="0" applyNumberFormat="1" applyFill="1" applyBorder="1" applyAlignment="1">
      <alignment horizontal="right" indent="1"/>
    </xf>
    <xf numFmtId="0" fontId="0" fillId="20" borderId="25" xfId="0" applyFill="1" applyBorder="1"/>
    <xf numFmtId="168" fontId="0" fillId="16" borderId="19" xfId="0" applyNumberFormat="1" applyFill="1" applyBorder="1" applyAlignment="1">
      <alignment horizontal="right" indent="1"/>
    </xf>
    <xf numFmtId="168" fontId="0" fillId="17" borderId="19" xfId="0" applyNumberFormat="1" applyFill="1" applyBorder="1" applyAlignment="1">
      <alignment horizontal="right" indent="1"/>
    </xf>
    <xf numFmtId="0" fontId="0" fillId="16" borderId="34" xfId="0" applyFill="1" applyBorder="1"/>
    <xf numFmtId="168" fontId="0" fillId="16" borderId="40" xfId="0" applyNumberFormat="1" applyFill="1" applyBorder="1" applyAlignment="1">
      <alignment horizontal="right" indent="1"/>
    </xf>
    <xf numFmtId="168" fontId="0" fillId="16" borderId="50" xfId="0" applyNumberFormat="1" applyFill="1" applyBorder="1" applyAlignment="1">
      <alignment horizontal="right" indent="1"/>
    </xf>
    <xf numFmtId="0" fontId="0" fillId="16" borderId="37" xfId="0" applyFill="1" applyBorder="1"/>
    <xf numFmtId="168" fontId="0" fillId="5" borderId="37" xfId="0" applyNumberFormat="1" applyFill="1" applyBorder="1" applyAlignment="1"/>
    <xf numFmtId="0" fontId="0" fillId="21" borderId="10" xfId="0" applyFill="1" applyBorder="1"/>
    <xf numFmtId="168" fontId="0" fillId="20" borderId="23" xfId="0" applyNumberFormat="1" applyFill="1" applyBorder="1" applyAlignment="1">
      <alignment horizontal="right" indent="1"/>
    </xf>
    <xf numFmtId="0" fontId="0" fillId="20" borderId="27" xfId="0" applyFill="1" applyBorder="1"/>
    <xf numFmtId="0" fontId="0" fillId="5" borderId="55" xfId="0" applyFill="1" applyBorder="1"/>
    <xf numFmtId="168" fontId="0" fillId="5" borderId="40" xfId="0" applyNumberFormat="1" applyFill="1" applyBorder="1" applyAlignment="1">
      <alignment horizontal="right" indent="1"/>
    </xf>
    <xf numFmtId="168" fontId="0" fillId="5" borderId="58" xfId="0" applyNumberFormat="1" applyFill="1" applyBorder="1" applyAlignment="1">
      <alignment horizontal="right" indent="1"/>
    </xf>
    <xf numFmtId="0" fontId="0" fillId="5" borderId="28" xfId="0" applyFill="1" applyBorder="1"/>
    <xf numFmtId="168" fontId="0" fillId="5" borderId="23" xfId="0" applyNumberFormat="1" applyFill="1" applyBorder="1" applyAlignment="1">
      <alignment horizontal="right" indent="1"/>
    </xf>
    <xf numFmtId="168" fontId="0" fillId="5" borderId="42" xfId="0" applyNumberFormat="1" applyFill="1" applyBorder="1" applyAlignment="1">
      <alignment horizontal="right" indent="1"/>
    </xf>
    <xf numFmtId="0" fontId="0" fillId="17" borderId="55" xfId="0" applyFill="1" applyBorder="1"/>
    <xf numFmtId="168" fontId="0" fillId="17" borderId="40" xfId="0" applyNumberFormat="1" applyFill="1" applyBorder="1" applyAlignment="1">
      <alignment horizontal="right" indent="1"/>
    </xf>
    <xf numFmtId="168" fontId="0" fillId="17" borderId="58" xfId="0" applyNumberFormat="1" applyFill="1" applyBorder="1" applyAlignment="1">
      <alignment horizontal="right" indent="1"/>
    </xf>
    <xf numFmtId="168" fontId="0" fillId="17" borderId="53" xfId="0" applyNumberFormat="1" applyFill="1" applyBorder="1" applyAlignment="1">
      <alignment horizontal="right" indent="1"/>
    </xf>
    <xf numFmtId="0" fontId="0" fillId="17" borderId="28" xfId="0" applyFill="1" applyBorder="1"/>
    <xf numFmtId="0" fontId="16" fillId="5" borderId="0" xfId="0" applyFont="1" applyFill="1" applyAlignment="1">
      <alignment horizontal="center"/>
    </xf>
    <xf numFmtId="0" fontId="48" fillId="5" borderId="0" xfId="0" applyFont="1" applyFill="1" applyAlignment="1">
      <alignment horizontal="right"/>
    </xf>
    <xf numFmtId="168" fontId="48" fillId="5" borderId="0" xfId="0" applyNumberFormat="1" applyFont="1" applyFill="1"/>
    <xf numFmtId="168" fontId="16" fillId="5" borderId="0" xfId="0" applyNumberFormat="1" applyFont="1" applyFill="1"/>
    <xf numFmtId="168" fontId="49" fillId="5" borderId="0" xfId="0" applyNumberFormat="1" applyFont="1" applyFill="1"/>
    <xf numFmtId="168" fontId="41" fillId="5" borderId="0" xfId="0" applyNumberFormat="1" applyFont="1" applyFill="1"/>
    <xf numFmtId="0" fontId="50" fillId="5" borderId="0" xfId="0" applyFont="1" applyFill="1"/>
    <xf numFmtId="0" fontId="48" fillId="16" borderId="0" xfId="0" applyFont="1" applyFill="1"/>
    <xf numFmtId="168" fontId="48" fillId="16" borderId="0" xfId="0" applyNumberFormat="1" applyFont="1" applyFill="1"/>
    <xf numFmtId="0" fontId="48" fillId="21" borderId="0" xfId="0" applyFont="1" applyFill="1"/>
    <xf numFmtId="168" fontId="48" fillId="21" borderId="0" xfId="0" applyNumberFormat="1" applyFont="1" applyFill="1"/>
    <xf numFmtId="0" fontId="51" fillId="5" borderId="0" xfId="0" applyFont="1" applyFill="1"/>
    <xf numFmtId="168" fontId="52" fillId="5" borderId="0" xfId="0" applyNumberFormat="1" applyFont="1" applyFill="1"/>
    <xf numFmtId="3" fontId="33" fillId="0" borderId="16" xfId="7" applyNumberFormat="1" applyFont="1" applyFill="1" applyBorder="1"/>
    <xf numFmtId="0" fontId="18" fillId="0" borderId="42" xfId="0" applyFont="1" applyBorder="1" applyAlignment="1">
      <alignment horizontal="left" wrapText="1"/>
    </xf>
    <xf numFmtId="3" fontId="18" fillId="0" borderId="16" xfId="8" applyNumberFormat="1" applyFont="1" applyBorder="1" applyAlignment="1">
      <alignment horizontal="right"/>
    </xf>
    <xf numFmtId="3" fontId="18" fillId="4" borderId="16" xfId="8" applyNumberFormat="1" applyFont="1" applyFill="1" applyBorder="1" applyAlignment="1">
      <alignment horizontal="right"/>
    </xf>
    <xf numFmtId="3" fontId="22" fillId="0" borderId="10" xfId="8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/>
    <xf numFmtId="3" fontId="18" fillId="0" borderId="30" xfId="0" applyNumberFormat="1" applyFont="1" applyFill="1" applyBorder="1" applyAlignment="1"/>
    <xf numFmtId="0" fontId="20" fillId="3" borderId="18" xfId="0" applyFont="1" applyFill="1" applyBorder="1" applyAlignment="1">
      <alignment horizontal="center"/>
    </xf>
    <xf numFmtId="0" fontId="20" fillId="3" borderId="31" xfId="0" applyFont="1" applyFill="1" applyBorder="1" applyAlignment="1">
      <alignment wrapText="1"/>
    </xf>
    <xf numFmtId="0" fontId="20" fillId="3" borderId="23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3" fontId="7" fillId="0" borderId="0" xfId="0" applyNumberFormat="1" applyFont="1"/>
    <xf numFmtId="168" fontId="0" fillId="4" borderId="25" xfId="0" applyNumberFormat="1" applyFill="1" applyBorder="1" applyAlignment="1">
      <alignment horizontal="right" indent="1"/>
    </xf>
    <xf numFmtId="168" fontId="0" fillId="4" borderId="37" xfId="0" applyNumberFormat="1" applyFill="1" applyBorder="1" applyAlignment="1">
      <alignment horizontal="right" indent="1"/>
    </xf>
    <xf numFmtId="4" fontId="20" fillId="0" borderId="36" xfId="0" applyNumberFormat="1" applyFont="1" applyFill="1" applyBorder="1"/>
    <xf numFmtId="0" fontId="22" fillId="3" borderId="19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2" fillId="3" borderId="8" xfId="0" applyFont="1" applyFill="1" applyBorder="1" applyAlignment="1">
      <alignment wrapText="1"/>
    </xf>
    <xf numFmtId="4" fontId="37" fillId="0" borderId="0" xfId="0" applyNumberFormat="1" applyFont="1"/>
    <xf numFmtId="49" fontId="22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4" fontId="28" fillId="4" borderId="0" xfId="0" applyNumberFormat="1" applyFont="1" applyFill="1" applyAlignment="1">
      <alignment horizontal="center"/>
    </xf>
    <xf numFmtId="170" fontId="24" fillId="0" borderId="0" xfId="0" applyNumberFormat="1" applyFont="1"/>
    <xf numFmtId="3" fontId="53" fillId="0" borderId="0" xfId="0" applyNumberFormat="1" applyFont="1"/>
    <xf numFmtId="3" fontId="21" fillId="3" borderId="3" xfId="0" applyNumberFormat="1" applyFont="1" applyFill="1" applyBorder="1" applyAlignment="1">
      <alignment horizontal="right"/>
    </xf>
    <xf numFmtId="170" fontId="18" fillId="0" borderId="0" xfId="0" applyNumberFormat="1" applyFont="1" applyAlignment="1">
      <alignment horizontal="center"/>
    </xf>
    <xf numFmtId="0" fontId="0" fillId="5" borderId="10" xfId="0" applyFill="1" applyBorder="1" applyAlignment="1">
      <alignment wrapText="1"/>
    </xf>
    <xf numFmtId="0" fontId="0" fillId="0" borderId="73" xfId="0" applyBorder="1"/>
    <xf numFmtId="0" fontId="0" fillId="14" borderId="0" xfId="0" applyFill="1"/>
    <xf numFmtId="9" fontId="40" fillId="0" borderId="0" xfId="9" applyFont="1" applyAlignment="1">
      <alignment horizontal="center"/>
    </xf>
    <xf numFmtId="4" fontId="40" fillId="0" borderId="0" xfId="1" applyNumberFormat="1" applyFont="1" applyBorder="1" applyAlignment="1">
      <alignment horizontal="center"/>
    </xf>
    <xf numFmtId="1" fontId="40" fillId="0" borderId="0" xfId="9" applyNumberFormat="1" applyFont="1" applyAlignment="1">
      <alignment horizontal="center"/>
    </xf>
    <xf numFmtId="0" fontId="18" fillId="3" borderId="31" xfId="0" applyFont="1" applyFill="1" applyBorder="1" applyAlignment="1">
      <alignment wrapText="1"/>
    </xf>
    <xf numFmtId="3" fontId="18" fillId="4" borderId="16" xfId="0" applyNumberFormat="1" applyFont="1" applyFill="1" applyBorder="1"/>
    <xf numFmtId="3" fontId="18" fillId="0" borderId="15" xfId="0" applyNumberFormat="1" applyFont="1" applyFill="1" applyBorder="1"/>
    <xf numFmtId="3" fontId="18" fillId="7" borderId="15" xfId="0" applyNumberFormat="1" applyFont="1" applyFill="1" applyBorder="1"/>
    <xf numFmtId="3" fontId="18" fillId="0" borderId="13" xfId="0" applyNumberFormat="1" applyFont="1" applyFill="1" applyBorder="1"/>
    <xf numFmtId="3" fontId="18" fillId="0" borderId="20" xfId="0" applyNumberFormat="1" applyFont="1" applyFill="1" applyBorder="1"/>
    <xf numFmtId="3" fontId="18" fillId="0" borderId="48" xfId="0" applyNumberFormat="1" applyFont="1" applyFill="1" applyBorder="1"/>
    <xf numFmtId="3" fontId="18" fillId="7" borderId="16" xfId="0" applyNumberFormat="1" applyFont="1" applyFill="1" applyBorder="1"/>
    <xf numFmtId="3" fontId="18" fillId="0" borderId="63" xfId="0" applyNumberFormat="1" applyFont="1" applyFill="1" applyBorder="1"/>
    <xf numFmtId="0" fontId="20" fillId="0" borderId="2" xfId="8" applyFont="1" applyBorder="1" applyAlignment="1"/>
    <xf numFmtId="0" fontId="20" fillId="0" borderId="30" xfId="8" applyFont="1" applyBorder="1" applyAlignment="1"/>
    <xf numFmtId="0" fontId="20" fillId="0" borderId="6" xfId="8" applyFont="1" applyBorder="1" applyAlignment="1"/>
    <xf numFmtId="0" fontId="20" fillId="0" borderId="2" xfId="8" applyFont="1" applyBorder="1" applyAlignment="1">
      <alignment vertical="center" textRotation="180"/>
    </xf>
    <xf numFmtId="0" fontId="20" fillId="0" borderId="30" xfId="8" applyFont="1" applyBorder="1" applyAlignment="1">
      <alignment vertical="center" textRotation="180"/>
    </xf>
    <xf numFmtId="0" fontId="20" fillId="0" borderId="6" xfId="8" applyFont="1" applyBorder="1" applyAlignment="1">
      <alignment vertical="center" textRotation="180"/>
    </xf>
    <xf numFmtId="0" fontId="18" fillId="0" borderId="2" xfId="8" applyFont="1" applyBorder="1" applyAlignment="1">
      <alignment vertical="center" textRotation="180"/>
    </xf>
    <xf numFmtId="0" fontId="18" fillId="0" borderId="30" xfId="8" applyFont="1" applyBorder="1" applyAlignment="1">
      <alignment vertical="center" textRotation="180"/>
    </xf>
    <xf numFmtId="0" fontId="18" fillId="0" borderId="6" xfId="8" applyFont="1" applyBorder="1" applyAlignment="1">
      <alignment vertical="center" textRotation="180"/>
    </xf>
    <xf numFmtId="0" fontId="18" fillId="0" borderId="2" xfId="8" applyFont="1" applyBorder="1" applyAlignment="1"/>
    <xf numFmtId="0" fontId="18" fillId="0" borderId="30" xfId="8" applyFont="1" applyBorder="1" applyAlignment="1"/>
    <xf numFmtId="0" fontId="18" fillId="0" borderId="6" xfId="8" applyFont="1" applyBorder="1" applyAlignment="1"/>
    <xf numFmtId="0" fontId="20" fillId="0" borderId="66" xfId="8" applyFont="1" applyBorder="1" applyAlignment="1"/>
    <xf numFmtId="0" fontId="20" fillId="0" borderId="0" xfId="8" applyFont="1" applyBorder="1" applyAlignment="1"/>
    <xf numFmtId="3" fontId="22" fillId="0" borderId="0" xfId="8" applyNumberFormat="1" applyFont="1" applyFill="1" applyBorder="1" applyAlignment="1">
      <alignment horizontal="right"/>
    </xf>
    <xf numFmtId="3" fontId="33" fillId="0" borderId="0" xfId="8" applyNumberFormat="1" applyFont="1" applyBorder="1" applyAlignment="1">
      <alignment horizontal="right"/>
    </xf>
    <xf numFmtId="0" fontId="18" fillId="0" borderId="0" xfId="8" applyFont="1" applyBorder="1" applyAlignment="1"/>
    <xf numFmtId="3" fontId="22" fillId="0" borderId="0" xfId="8" applyNumberFormat="1" applyFont="1" applyBorder="1" applyAlignment="1">
      <alignment horizontal="right"/>
    </xf>
    <xf numFmtId="0" fontId="20" fillId="0" borderId="0" xfId="8" applyFont="1" applyBorder="1" applyAlignment="1">
      <alignment vertical="center" textRotation="180"/>
    </xf>
    <xf numFmtId="0" fontId="18" fillId="0" borderId="0" xfId="8" applyFont="1" applyBorder="1" applyAlignment="1">
      <alignment vertical="center" textRotation="180"/>
    </xf>
    <xf numFmtId="3" fontId="30" fillId="0" borderId="0" xfId="8" applyNumberFormat="1" applyFont="1" applyBorder="1" applyAlignment="1">
      <alignment horizontal="right"/>
    </xf>
    <xf numFmtId="3" fontId="20" fillId="0" borderId="2" xfId="8" applyNumberFormat="1" applyFont="1" applyBorder="1" applyAlignment="1"/>
    <xf numFmtId="3" fontId="20" fillId="0" borderId="30" xfId="8" applyNumberFormat="1" applyFont="1" applyBorder="1" applyAlignment="1"/>
    <xf numFmtId="3" fontId="20" fillId="0" borderId="6" xfId="8" applyNumberFormat="1" applyFont="1" applyBorder="1" applyAlignment="1"/>
    <xf numFmtId="3" fontId="17" fillId="0" borderId="0" xfId="0" applyNumberFormat="1" applyFont="1" applyProtection="1">
      <protection locked="0"/>
    </xf>
    <xf numFmtId="3" fontId="22" fillId="0" borderId="0" xfId="8" applyNumberFormat="1" applyFont="1" applyAlignment="1">
      <alignment horizontal="center"/>
    </xf>
    <xf numFmtId="0" fontId="54" fillId="0" borderId="0" xfId="8" applyFont="1"/>
    <xf numFmtId="0" fontId="34" fillId="0" borderId="0" xfId="8" applyFont="1"/>
    <xf numFmtId="0" fontId="22" fillId="0" borderId="0" xfId="8" applyFont="1" applyAlignment="1"/>
    <xf numFmtId="3" fontId="33" fillId="0" borderId="0" xfId="8" applyNumberFormat="1" applyFont="1" applyAlignment="1"/>
    <xf numFmtId="0" fontId="33" fillId="0" borderId="0" xfId="8" applyFont="1" applyAlignment="1"/>
    <xf numFmtId="3" fontId="22" fillId="0" borderId="0" xfId="8" applyNumberFormat="1" applyFont="1" applyAlignment="1"/>
    <xf numFmtId="3" fontId="40" fillId="0" borderId="0" xfId="0" applyNumberFormat="1" applyFont="1" applyProtection="1">
      <protection locked="0"/>
    </xf>
    <xf numFmtId="0" fontId="30" fillId="0" borderId="0" xfId="8" applyFont="1"/>
    <xf numFmtId="3" fontId="22" fillId="4" borderId="10" xfId="8" applyNumberFormat="1" applyFont="1" applyFill="1" applyBorder="1" applyAlignment="1">
      <alignment horizontal="right"/>
    </xf>
    <xf numFmtId="3" fontId="22" fillId="4" borderId="11" xfId="8" applyNumberFormat="1" applyFont="1" applyFill="1" applyBorder="1" applyAlignment="1">
      <alignment horizontal="right"/>
    </xf>
    <xf numFmtId="3" fontId="33" fillId="0" borderId="11" xfId="8" applyNumberFormat="1" applyFont="1" applyBorder="1" applyAlignment="1">
      <alignment horizontal="right"/>
    </xf>
    <xf numFmtId="3" fontId="18" fillId="5" borderId="10" xfId="8" applyNumberFormat="1" applyFont="1" applyFill="1" applyBorder="1" applyAlignment="1">
      <alignment horizontal="right"/>
    </xf>
    <xf numFmtId="4" fontId="18" fillId="0" borderId="0" xfId="3" applyNumberFormat="1" applyFont="1"/>
    <xf numFmtId="0" fontId="42" fillId="0" borderId="0" xfId="11" applyFont="1" applyFill="1" applyBorder="1" applyAlignment="1"/>
    <xf numFmtId="43" fontId="43" fillId="0" borderId="0" xfId="1" applyFont="1"/>
    <xf numFmtId="167" fontId="42" fillId="0" borderId="0" xfId="3" applyNumberFormat="1" applyFont="1" applyFill="1"/>
    <xf numFmtId="0" fontId="20" fillId="2" borderId="75" xfId="6" applyFont="1" applyFill="1" applyBorder="1" applyAlignment="1">
      <alignment horizontal="center" vertic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0" fillId="0" borderId="62" xfId="0" applyBorder="1"/>
    <xf numFmtId="0" fontId="0" fillId="0" borderId="0" xfId="0" applyBorder="1"/>
    <xf numFmtId="0" fontId="16" fillId="0" borderId="39" xfId="0" applyFont="1" applyBorder="1" applyAlignment="1">
      <alignment horizontal="center"/>
    </xf>
    <xf numFmtId="0" fontId="0" fillId="0" borderId="66" xfId="0" applyBorder="1"/>
    <xf numFmtId="0" fontId="0" fillId="0" borderId="67" xfId="0" applyBorder="1"/>
    <xf numFmtId="0" fontId="16" fillId="0" borderId="7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7" xfId="0" applyFont="1" applyBorder="1"/>
    <xf numFmtId="0" fontId="0" fillId="0" borderId="7" xfId="0" applyBorder="1"/>
    <xf numFmtId="0" fontId="16" fillId="0" borderId="62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7" fillId="0" borderId="62" xfId="0" applyFont="1" applyBorder="1"/>
    <xf numFmtId="0" fontId="17" fillId="0" borderId="0" xfId="0" applyFont="1" applyBorder="1"/>
    <xf numFmtId="3" fontId="17" fillId="0" borderId="39" xfId="0" applyNumberFormat="1" applyFont="1" applyBorder="1"/>
    <xf numFmtId="0" fontId="17" fillId="0" borderId="0" xfId="0" applyFont="1"/>
    <xf numFmtId="0" fontId="17" fillId="0" borderId="0" xfId="0" applyFont="1" applyBorder="1" applyAlignment="1">
      <alignment horizontal="right"/>
    </xf>
    <xf numFmtId="3" fontId="17" fillId="0" borderId="36" xfId="0" applyNumberFormat="1" applyFont="1" applyBorder="1"/>
    <xf numFmtId="0" fontId="55" fillId="0" borderId="68" xfId="0" applyFont="1" applyBorder="1"/>
    <xf numFmtId="0" fontId="55" fillId="0" borderId="47" xfId="0" applyFont="1" applyBorder="1"/>
    <xf numFmtId="3" fontId="55" fillId="0" borderId="72" xfId="0" applyNumberFormat="1" applyFont="1" applyBorder="1"/>
    <xf numFmtId="0" fontId="55" fillId="0" borderId="0" xfId="0" applyFont="1" applyBorder="1"/>
    <xf numFmtId="0" fontId="55" fillId="0" borderId="62" xfId="0" applyFont="1" applyBorder="1"/>
    <xf numFmtId="3" fontId="55" fillId="0" borderId="39" xfId="0" applyNumberFormat="1" applyFont="1" applyBorder="1"/>
    <xf numFmtId="0" fontId="55" fillId="0" borderId="0" xfId="0" applyFont="1"/>
    <xf numFmtId="3" fontId="55" fillId="0" borderId="0" xfId="0" applyNumberFormat="1" applyFont="1"/>
    <xf numFmtId="3" fontId="55" fillId="0" borderId="55" xfId="0" applyNumberFormat="1" applyFont="1" applyBorder="1"/>
    <xf numFmtId="0" fontId="17" fillId="0" borderId="0" xfId="0" applyFont="1" applyFill="1" applyBorder="1" applyAlignment="1">
      <alignment horizontal="right"/>
    </xf>
    <xf numFmtId="0" fontId="17" fillId="0" borderId="39" xfId="0" applyFont="1" applyBorder="1"/>
    <xf numFmtId="0" fontId="17" fillId="0" borderId="36" xfId="0" applyFont="1" applyBorder="1"/>
    <xf numFmtId="3" fontId="0" fillId="4" borderId="39" xfId="0" applyNumberFormat="1" applyFill="1" applyBorder="1"/>
    <xf numFmtId="0" fontId="16" fillId="0" borderId="0" xfId="0" applyFont="1" applyBorder="1"/>
    <xf numFmtId="3" fontId="16" fillId="0" borderId="39" xfId="0" applyNumberFormat="1" applyFont="1" applyBorder="1"/>
    <xf numFmtId="3" fontId="16" fillId="0" borderId="0" xfId="0" applyNumberFormat="1" applyFont="1"/>
    <xf numFmtId="3" fontId="16" fillId="0" borderId="36" xfId="0" applyNumberFormat="1" applyFont="1" applyBorder="1"/>
    <xf numFmtId="0" fontId="17" fillId="0" borderId="68" xfId="0" applyFont="1" applyBorder="1"/>
    <xf numFmtId="0" fontId="17" fillId="0" borderId="47" xfId="0" applyFont="1" applyBorder="1"/>
    <xf numFmtId="0" fontId="17" fillId="0" borderId="72" xfId="0" applyFont="1" applyBorder="1"/>
    <xf numFmtId="3" fontId="17" fillId="0" borderId="72" xfId="0" applyNumberFormat="1" applyFont="1" applyBorder="1"/>
    <xf numFmtId="3" fontId="17" fillId="0" borderId="55" xfId="0" applyNumberFormat="1" applyFont="1" applyBorder="1"/>
    <xf numFmtId="171" fontId="0" fillId="5" borderId="0" xfId="0" applyNumberFormat="1" applyFill="1"/>
    <xf numFmtId="0" fontId="56" fillId="0" borderId="19" xfId="0" applyFont="1" applyBorder="1" applyAlignment="1">
      <alignment horizontal="right"/>
    </xf>
    <xf numFmtId="0" fontId="56" fillId="0" borderId="40" xfId="0" applyFont="1" applyBorder="1" applyAlignment="1">
      <alignment horizontal="right"/>
    </xf>
    <xf numFmtId="0" fontId="57" fillId="5" borderId="0" xfId="0" applyFont="1" applyFill="1"/>
    <xf numFmtId="3" fontId="58" fillId="5" borderId="0" xfId="0" applyNumberFormat="1" applyFont="1" applyFill="1"/>
    <xf numFmtId="0" fontId="40" fillId="5" borderId="0" xfId="0" applyFont="1" applyFill="1" applyAlignment="1">
      <alignment horizontal="center"/>
    </xf>
    <xf numFmtId="0" fontId="40" fillId="5" borderId="73" xfId="0" applyFont="1" applyFill="1" applyBorder="1" applyAlignment="1">
      <alignment horizontal="center"/>
    </xf>
    <xf numFmtId="3" fontId="40" fillId="5" borderId="0" xfId="0" applyNumberFormat="1" applyFont="1" applyFill="1" applyAlignment="1">
      <alignment horizontal="center"/>
    </xf>
    <xf numFmtId="3" fontId="57" fillId="0" borderId="14" xfId="0" applyNumberFormat="1" applyFont="1" applyBorder="1"/>
    <xf numFmtId="3" fontId="57" fillId="0" borderId="44" xfId="0" applyNumberFormat="1" applyFont="1" applyBorder="1"/>
    <xf numFmtId="3" fontId="57" fillId="0" borderId="37" xfId="0" applyNumberFormat="1" applyFont="1" applyBorder="1"/>
    <xf numFmtId="3" fontId="57" fillId="0" borderId="33" xfId="0" applyNumberFormat="1" applyFont="1" applyBorder="1"/>
    <xf numFmtId="0" fontId="56" fillId="0" borderId="44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23" xfId="0" applyFont="1" applyBorder="1" applyAlignment="1">
      <alignment horizontal="right"/>
    </xf>
    <xf numFmtId="0" fontId="56" fillId="0" borderId="27" xfId="0" applyFont="1" applyBorder="1" applyAlignment="1">
      <alignment horizontal="center"/>
    </xf>
    <xf numFmtId="3" fontId="57" fillId="0" borderId="25" xfId="0" applyNumberFormat="1" applyFont="1" applyBorder="1"/>
    <xf numFmtId="3" fontId="57" fillId="0" borderId="27" xfId="0" applyNumberFormat="1" applyFont="1" applyBorder="1"/>
    <xf numFmtId="0" fontId="56" fillId="0" borderId="40" xfId="0" applyFont="1" applyBorder="1"/>
    <xf numFmtId="0" fontId="58" fillId="0" borderId="37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3" fontId="57" fillId="0" borderId="42" xfId="0" applyNumberFormat="1" applyFont="1" applyBorder="1"/>
    <xf numFmtId="3" fontId="57" fillId="0" borderId="21" xfId="0" applyNumberFormat="1" applyFont="1" applyBorder="1"/>
    <xf numFmtId="3" fontId="57" fillId="0" borderId="50" xfId="0" applyNumberFormat="1" applyFont="1" applyBorder="1"/>
    <xf numFmtId="3" fontId="56" fillId="0" borderId="3" xfId="0" applyNumberFormat="1" applyFont="1" applyBorder="1" applyAlignment="1">
      <alignment horizontal="center"/>
    </xf>
    <xf numFmtId="3" fontId="56" fillId="0" borderId="10" xfId="0" applyNumberFormat="1" applyFont="1" applyBorder="1"/>
    <xf numFmtId="3" fontId="56" fillId="0" borderId="11" xfId="0" applyNumberFormat="1" applyFont="1" applyBorder="1"/>
    <xf numFmtId="3" fontId="56" fillId="0" borderId="34" xfId="0" applyNumberFormat="1" applyFont="1" applyBorder="1"/>
    <xf numFmtId="0" fontId="59" fillId="9" borderId="0" xfId="0" applyFont="1" applyFill="1"/>
    <xf numFmtId="0" fontId="59" fillId="9" borderId="0" xfId="0" applyFont="1" applyFill="1" applyAlignment="1">
      <alignment horizontal="center"/>
    </xf>
    <xf numFmtId="0" fontId="20" fillId="9" borderId="2" xfId="6" applyFont="1" applyFill="1" applyBorder="1" applyAlignment="1">
      <alignment horizontal="center" vertical="center"/>
    </xf>
    <xf numFmtId="0" fontId="20" fillId="2" borderId="66" xfId="6" applyFont="1" applyFill="1" applyBorder="1" applyAlignment="1">
      <alignment horizontal="center" vertical="center"/>
    </xf>
    <xf numFmtId="0" fontId="24" fillId="0" borderId="0" xfId="3" applyFont="1"/>
    <xf numFmtId="3" fontId="22" fillId="0" borderId="27" xfId="11" applyNumberFormat="1" applyFont="1" applyFill="1" applyBorder="1" applyAlignment="1">
      <alignment horizontal="right"/>
    </xf>
    <xf numFmtId="0" fontId="20" fillId="3" borderId="33" xfId="3" applyFont="1" applyFill="1" applyBorder="1" applyAlignment="1">
      <alignment wrapText="1"/>
    </xf>
    <xf numFmtId="3" fontId="20" fillId="9" borderId="2" xfId="11" applyNumberFormat="1" applyFont="1" applyFill="1" applyBorder="1"/>
    <xf numFmtId="3" fontId="20" fillId="9" borderId="3" xfId="11" applyNumberFormat="1" applyFont="1" applyFill="1" applyBorder="1"/>
    <xf numFmtId="3" fontId="20" fillId="9" borderId="30" xfId="11" applyNumberFormat="1" applyFont="1" applyFill="1" applyBorder="1"/>
    <xf numFmtId="3" fontId="20" fillId="9" borderId="6" xfId="11" applyNumberFormat="1" applyFont="1" applyFill="1" applyBorder="1"/>
    <xf numFmtId="3" fontId="18" fillId="0" borderId="16" xfId="11" applyNumberFormat="1" applyFont="1" applyFill="1" applyBorder="1"/>
    <xf numFmtId="3" fontId="18" fillId="0" borderId="65" xfId="11" applyNumberFormat="1" applyFont="1" applyFill="1" applyBorder="1"/>
    <xf numFmtId="3" fontId="18" fillId="0" borderId="11" xfId="11" applyNumberFormat="1" applyFont="1" applyFill="1" applyBorder="1"/>
    <xf numFmtId="3" fontId="25" fillId="8" borderId="68" xfId="11" applyNumberFormat="1" applyFont="1" applyFill="1" applyBorder="1"/>
    <xf numFmtId="3" fontId="25" fillId="8" borderId="55" xfId="11" applyNumberFormat="1" applyFont="1" applyFill="1" applyBorder="1"/>
    <xf numFmtId="3" fontId="25" fillId="9" borderId="32" xfId="11" applyNumberFormat="1" applyFont="1" applyFill="1" applyBorder="1"/>
    <xf numFmtId="3" fontId="25" fillId="9" borderId="34" xfId="11" applyNumberFormat="1" applyFont="1" applyFill="1" applyBorder="1"/>
    <xf numFmtId="3" fontId="20" fillId="0" borderId="32" xfId="11" applyNumberFormat="1" applyFont="1" applyFill="1" applyBorder="1"/>
    <xf numFmtId="3" fontId="20" fillId="0" borderId="34" xfId="11" applyNumberFormat="1" applyFont="1" applyFill="1" applyBorder="1"/>
    <xf numFmtId="3" fontId="22" fillId="0" borderId="17" xfId="11" applyNumberFormat="1" applyFont="1" applyFill="1" applyBorder="1"/>
    <xf numFmtId="3" fontId="22" fillId="0" borderId="10" xfId="11" applyNumberFormat="1" applyFont="1" applyFill="1" applyBorder="1"/>
    <xf numFmtId="3" fontId="22" fillId="0" borderId="61" xfId="11" applyNumberFormat="1" applyFont="1" applyFill="1" applyBorder="1"/>
    <xf numFmtId="3" fontId="22" fillId="0" borderId="11" xfId="11" applyNumberFormat="1" applyFont="1" applyFill="1" applyBorder="1"/>
    <xf numFmtId="3" fontId="20" fillId="10" borderId="2" xfId="3" applyNumberFormat="1" applyFont="1" applyFill="1" applyBorder="1" applyAlignment="1">
      <alignment vertical="center" wrapText="1"/>
    </xf>
    <xf numFmtId="3" fontId="20" fillId="10" borderId="3" xfId="3" applyNumberFormat="1" applyFont="1" applyFill="1" applyBorder="1" applyAlignment="1">
      <alignment vertical="center" wrapText="1"/>
    </xf>
    <xf numFmtId="3" fontId="20" fillId="10" borderId="30" xfId="3" applyNumberFormat="1" applyFont="1" applyFill="1" applyBorder="1" applyAlignment="1">
      <alignment vertical="center" wrapText="1"/>
    </xf>
    <xf numFmtId="3" fontId="20" fillId="10" borderId="6" xfId="3" applyNumberFormat="1" applyFont="1" applyFill="1" applyBorder="1" applyAlignment="1">
      <alignment vertical="center" wrapText="1"/>
    </xf>
    <xf numFmtId="3" fontId="22" fillId="0" borderId="49" xfId="11" applyNumberFormat="1" applyFont="1" applyFill="1" applyBorder="1"/>
    <xf numFmtId="3" fontId="22" fillId="0" borderId="65" xfId="11" applyNumberFormat="1" applyFont="1" applyFill="1" applyBorder="1"/>
    <xf numFmtId="167" fontId="20" fillId="0" borderId="0" xfId="3" applyNumberFormat="1" applyFont="1" applyFill="1" applyAlignment="1">
      <alignment horizontal="center"/>
    </xf>
    <xf numFmtId="0" fontId="20" fillId="9" borderId="3" xfId="6" applyFont="1" applyFill="1" applyBorder="1" applyAlignment="1">
      <alignment horizontal="center" vertical="center"/>
    </xf>
    <xf numFmtId="3" fontId="18" fillId="0" borderId="10" xfId="11" applyNumberFormat="1" applyFont="1" applyFill="1" applyBorder="1"/>
    <xf numFmtId="0" fontId="20" fillId="3" borderId="32" xfId="3" applyFont="1" applyFill="1" applyBorder="1" applyAlignment="1">
      <alignment horizontal="left" wrapText="1"/>
    </xf>
    <xf numFmtId="4" fontId="22" fillId="0" borderId="17" xfId="11" applyNumberFormat="1" applyFont="1" applyFill="1" applyBorder="1"/>
    <xf numFmtId="4" fontId="22" fillId="0" borderId="10" xfId="11" applyNumberFormat="1" applyFont="1" applyFill="1" applyBorder="1"/>
    <xf numFmtId="4" fontId="22" fillId="0" borderId="25" xfId="11" applyNumberFormat="1" applyFont="1" applyFill="1" applyBorder="1"/>
    <xf numFmtId="4" fontId="22" fillId="0" borderId="42" xfId="11" applyNumberFormat="1" applyFont="1" applyFill="1" applyBorder="1"/>
    <xf numFmtId="4" fontId="22" fillId="0" borderId="49" xfId="11" applyNumberFormat="1" applyFont="1" applyFill="1" applyBorder="1"/>
    <xf numFmtId="3" fontId="22" fillId="0" borderId="0" xfId="3" applyNumberFormat="1" applyFont="1" applyAlignment="1">
      <alignment horizontal="center"/>
    </xf>
    <xf numFmtId="3" fontId="22" fillId="0" borderId="0" xfId="3" applyNumberFormat="1" applyFont="1" applyFill="1" applyAlignment="1">
      <alignment horizontal="center"/>
    </xf>
    <xf numFmtId="4" fontId="60" fillId="0" borderId="61" xfId="11" applyNumberFormat="1" applyFont="1" applyFill="1" applyBorder="1"/>
    <xf numFmtId="4" fontId="60" fillId="0" borderId="14" xfId="11" applyNumberFormat="1" applyFont="1" applyFill="1" applyBorder="1"/>
    <xf numFmtId="9" fontId="61" fillId="0" borderId="8" xfId="9" applyFont="1" applyFill="1" applyBorder="1"/>
    <xf numFmtId="4" fontId="33" fillId="4" borderId="2" xfId="3" applyNumberFormat="1" applyFont="1" applyFill="1" applyBorder="1" applyAlignment="1">
      <alignment vertical="center" wrapText="1"/>
    </xf>
    <xf numFmtId="4" fontId="33" fillId="4" borderId="5" xfId="3" applyNumberFormat="1" applyFont="1" applyFill="1" applyBorder="1" applyAlignment="1">
      <alignment vertical="center" wrapText="1"/>
    </xf>
    <xf numFmtId="9" fontId="33" fillId="4" borderId="31" xfId="9" applyFont="1" applyFill="1" applyBorder="1"/>
    <xf numFmtId="4" fontId="22" fillId="4" borderId="61" xfId="11" applyNumberFormat="1" applyFont="1" applyFill="1" applyBorder="1"/>
    <xf numFmtId="0" fontId="20" fillId="0" borderId="62" xfId="8" applyFont="1" applyBorder="1" applyAlignment="1">
      <alignment horizontal="left" vertical="center" textRotation="180"/>
    </xf>
    <xf numFmtId="0" fontId="20" fillId="0" borderId="68" xfId="8" applyFont="1" applyBorder="1" applyAlignment="1">
      <alignment horizontal="left" vertical="center" textRotation="180"/>
    </xf>
    <xf numFmtId="0" fontId="20" fillId="0" borderId="68" xfId="8" applyFont="1" applyBorder="1" applyAlignment="1">
      <alignment horizontal="left"/>
    </xf>
    <xf numFmtId="3" fontId="20" fillId="4" borderId="72" xfId="8" applyNumberFormat="1" applyFont="1" applyFill="1" applyBorder="1" applyAlignment="1">
      <alignment horizontal="right"/>
    </xf>
    <xf numFmtId="3" fontId="20" fillId="4" borderId="6" xfId="8" applyNumberFormat="1" applyFont="1" applyFill="1" applyBorder="1" applyAlignment="1">
      <alignment horizontal="right"/>
    </xf>
    <xf numFmtId="3" fontId="21" fillId="0" borderId="6" xfId="8" applyNumberFormat="1" applyFont="1" applyBorder="1" applyAlignment="1">
      <alignment horizontal="right"/>
    </xf>
    <xf numFmtId="0" fontId="28" fillId="0" borderId="55" xfId="8" applyFont="1" applyBorder="1"/>
    <xf numFmtId="0" fontId="28" fillId="4" borderId="55" xfId="8" applyFont="1" applyFill="1" applyBorder="1"/>
    <xf numFmtId="0" fontId="28" fillId="4" borderId="3" xfId="8" applyFont="1" applyFill="1" applyBorder="1"/>
    <xf numFmtId="0" fontId="18" fillId="4" borderId="55" xfId="0" applyFont="1" applyFill="1" applyBorder="1" applyAlignment="1">
      <alignment wrapText="1"/>
    </xf>
    <xf numFmtId="0" fontId="18" fillId="0" borderId="55" xfId="0" applyFont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8" fillId="0" borderId="55" xfId="0" applyFont="1" applyBorder="1" applyAlignment="1">
      <alignment horizontal="left" wrapText="1"/>
    </xf>
    <xf numFmtId="0" fontId="21" fillId="0" borderId="3" xfId="8" applyFont="1" applyBorder="1"/>
    <xf numFmtId="0" fontId="21" fillId="3" borderId="2" xfId="5" applyFont="1" applyFill="1" applyBorder="1" applyAlignment="1">
      <alignment horizontal="center" vertical="center"/>
    </xf>
    <xf numFmtId="0" fontId="28" fillId="0" borderId="55" xfId="8" applyFont="1" applyBorder="1" applyAlignment="1">
      <alignment horizontal="center"/>
    </xf>
    <xf numFmtId="0" fontId="18" fillId="0" borderId="0" xfId="8" applyFont="1" applyAlignment="1">
      <alignment horizontal="center"/>
    </xf>
    <xf numFmtId="3" fontId="21" fillId="0" borderId="3" xfId="8" applyNumberFormat="1" applyFont="1" applyBorder="1" applyAlignment="1">
      <alignment horizontal="center"/>
    </xf>
    <xf numFmtId="0" fontId="28" fillId="4" borderId="55" xfId="8" applyFont="1" applyFill="1" applyBorder="1" applyAlignment="1">
      <alignment horizontal="center"/>
    </xf>
    <xf numFmtId="0" fontId="28" fillId="4" borderId="3" xfId="8" applyFont="1" applyFill="1" applyBorder="1" applyAlignment="1">
      <alignment horizontal="center"/>
    </xf>
    <xf numFmtId="0" fontId="18" fillId="4" borderId="55" xfId="0" applyFont="1" applyFill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21" fillId="0" borderId="3" xfId="8" applyFont="1" applyBorder="1" applyAlignment="1">
      <alignment horizontal="center"/>
    </xf>
    <xf numFmtId="3" fontId="20" fillId="0" borderId="55" xfId="8" applyNumberFormat="1" applyFont="1" applyBorder="1" applyAlignment="1">
      <alignment horizontal="center"/>
    </xf>
    <xf numFmtId="3" fontId="20" fillId="4" borderId="55" xfId="8" applyNumberFormat="1" applyFont="1" applyFill="1" applyBorder="1" applyAlignment="1">
      <alignment horizontal="center"/>
    </xf>
    <xf numFmtId="3" fontId="20" fillId="4" borderId="3" xfId="8" applyNumberFormat="1" applyFont="1" applyFill="1" applyBorder="1" applyAlignment="1">
      <alignment horizontal="center"/>
    </xf>
    <xf numFmtId="3" fontId="20" fillId="0" borderId="0" xfId="8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46" xfId="0" applyFont="1" applyBorder="1" applyAlignment="1">
      <alignment horizontal="left" vertical="center"/>
    </xf>
    <xf numFmtId="0" fontId="21" fillId="0" borderId="4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3" fontId="21" fillId="0" borderId="49" xfId="0" applyNumberFormat="1" applyFont="1" applyBorder="1"/>
    <xf numFmtId="3" fontId="33" fillId="4" borderId="3" xfId="8" applyNumberFormat="1" applyFont="1" applyFill="1" applyBorder="1" applyAlignment="1">
      <alignment horizontal="right"/>
    </xf>
    <xf numFmtId="3" fontId="18" fillId="0" borderId="55" xfId="8" applyNumberFormat="1" applyFont="1" applyBorder="1" applyAlignment="1">
      <alignment horizontal="right"/>
    </xf>
    <xf numFmtId="3" fontId="22" fillId="0" borderId="55" xfId="8" applyNumberFormat="1" applyFont="1" applyBorder="1" applyAlignment="1">
      <alignment horizontal="right"/>
    </xf>
    <xf numFmtId="3" fontId="22" fillId="4" borderId="55" xfId="8" applyNumberFormat="1" applyFont="1" applyFill="1" applyBorder="1" applyAlignment="1">
      <alignment horizontal="right"/>
    </xf>
    <xf numFmtId="3" fontId="22" fillId="4" borderId="3" xfId="8" applyNumberFormat="1" applyFont="1" applyFill="1" applyBorder="1" applyAlignment="1">
      <alignment horizontal="right"/>
    </xf>
    <xf numFmtId="3" fontId="34" fillId="0" borderId="6" xfId="8" applyNumberFormat="1" applyFont="1" applyBorder="1" applyAlignment="1">
      <alignment horizontal="right"/>
    </xf>
    <xf numFmtId="0" fontId="20" fillId="4" borderId="3" xfId="0" applyFont="1" applyFill="1" applyBorder="1" applyAlignment="1">
      <alignment wrapText="1"/>
    </xf>
    <xf numFmtId="0" fontId="20" fillId="4" borderId="3" xfId="0" applyFont="1" applyFill="1" applyBorder="1" applyAlignment="1">
      <alignment horizontal="center" wrapText="1"/>
    </xf>
    <xf numFmtId="0" fontId="28" fillId="0" borderId="10" xfId="8" applyFont="1" applyBorder="1"/>
    <xf numFmtId="0" fontId="28" fillId="0" borderId="10" xfId="8" applyFont="1" applyBorder="1" applyAlignment="1">
      <alignment horizontal="center"/>
    </xf>
    <xf numFmtId="3" fontId="20" fillId="0" borderId="10" xfId="8" applyNumberFormat="1" applyFont="1" applyBorder="1" applyAlignment="1">
      <alignment horizontal="center"/>
    </xf>
    <xf numFmtId="0" fontId="28" fillId="0" borderId="16" xfId="8" applyFont="1" applyBorder="1"/>
    <xf numFmtId="0" fontId="28" fillId="0" borderId="16" xfId="8" applyFont="1" applyBorder="1" applyAlignment="1">
      <alignment horizontal="center"/>
    </xf>
    <xf numFmtId="3" fontId="22" fillId="0" borderId="16" xfId="8" applyNumberFormat="1" applyFont="1" applyBorder="1" applyAlignment="1">
      <alignment horizontal="right"/>
    </xf>
    <xf numFmtId="3" fontId="20" fillId="0" borderId="16" xfId="8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3" fontId="20" fillId="0" borderId="11" xfId="8" applyNumberFormat="1" applyFont="1" applyBorder="1" applyAlignment="1">
      <alignment horizontal="center"/>
    </xf>
    <xf numFmtId="0" fontId="14" fillId="5" borderId="16" xfId="0" applyFont="1" applyFill="1" applyBorder="1"/>
    <xf numFmtId="0" fontId="14" fillId="5" borderId="16" xfId="0" applyFont="1" applyFill="1" applyBorder="1" applyAlignment="1">
      <alignment horizontal="center"/>
    </xf>
    <xf numFmtId="0" fontId="14" fillId="5" borderId="11" xfId="0" applyFont="1" applyFill="1" applyBorder="1"/>
    <xf numFmtId="0" fontId="14" fillId="5" borderId="11" xfId="0" applyFont="1" applyFill="1" applyBorder="1" applyAlignment="1">
      <alignment horizontal="center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61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30" xfId="8" applyFont="1" applyBorder="1" applyAlignment="1">
      <alignment horizontal="center"/>
    </xf>
    <xf numFmtId="0" fontId="20" fillId="0" borderId="62" xfId="8" applyFont="1" applyBorder="1" applyAlignment="1">
      <alignment vertical="center" textRotation="180"/>
    </xf>
    <xf numFmtId="0" fontId="20" fillId="0" borderId="68" xfId="8" applyFont="1" applyBorder="1" applyAlignment="1">
      <alignment vertical="center" textRotation="180"/>
    </xf>
    <xf numFmtId="0" fontId="20" fillId="0" borderId="66" xfId="8" applyFont="1" applyBorder="1" applyAlignment="1">
      <alignment horizontal="left" vertical="center"/>
    </xf>
    <xf numFmtId="0" fontId="20" fillId="0" borderId="62" xfId="8" applyFont="1" applyBorder="1" applyAlignment="1">
      <alignment horizontal="left" vertical="center"/>
    </xf>
    <xf numFmtId="0" fontId="20" fillId="0" borderId="68" xfId="8" applyFont="1" applyBorder="1" applyAlignment="1">
      <alignment horizontal="left" vertical="center"/>
    </xf>
    <xf numFmtId="0" fontId="20" fillId="4" borderId="2" xfId="8" applyFont="1" applyFill="1" applyBorder="1" applyAlignment="1">
      <alignment horizontal="left" vertical="center"/>
    </xf>
    <xf numFmtId="0" fontId="20" fillId="0" borderId="62" xfId="8" applyFont="1" applyBorder="1" applyAlignment="1">
      <alignment horizontal="left"/>
    </xf>
    <xf numFmtId="49" fontId="18" fillId="0" borderId="16" xfId="8" applyNumberFormat="1" applyFont="1" applyBorder="1" applyAlignment="1">
      <alignment horizontal="left"/>
    </xf>
    <xf numFmtId="49" fontId="18" fillId="0" borderId="10" xfId="8" applyNumberFormat="1" applyFont="1" applyBorder="1" applyAlignment="1">
      <alignment horizontal="left"/>
    </xf>
    <xf numFmtId="49" fontId="18" fillId="0" borderId="55" xfId="8" applyNumberFormat="1" applyFont="1" applyBorder="1" applyAlignment="1">
      <alignment horizontal="left"/>
    </xf>
    <xf numFmtId="49" fontId="20" fillId="4" borderId="55" xfId="8" applyNumberFormat="1" applyFont="1" applyFill="1" applyBorder="1" applyAlignment="1">
      <alignment horizontal="left"/>
    </xf>
    <xf numFmtId="49" fontId="18" fillId="4" borderId="3" xfId="8" applyNumberFormat="1" applyFont="1" applyFill="1" applyBorder="1" applyAlignment="1">
      <alignment horizontal="left"/>
    </xf>
    <xf numFmtId="49" fontId="18" fillId="0" borderId="11" xfId="8" applyNumberFormat="1" applyFont="1" applyBorder="1" applyAlignment="1">
      <alignment horizontal="left"/>
    </xf>
    <xf numFmtId="49" fontId="20" fillId="4" borderId="3" xfId="8" applyNumberFormat="1" applyFont="1" applyFill="1" applyBorder="1" applyAlignment="1">
      <alignment horizontal="left"/>
    </xf>
    <xf numFmtId="0" fontId="20" fillId="0" borderId="55" xfId="8" applyFont="1" applyBorder="1" applyAlignment="1">
      <alignment horizontal="left" vertical="center" textRotation="180"/>
    </xf>
    <xf numFmtId="0" fontId="20" fillId="0" borderId="55" xfId="8" applyFont="1" applyBorder="1" applyAlignment="1">
      <alignment horizontal="left" vertical="center"/>
    </xf>
    <xf numFmtId="0" fontId="28" fillId="0" borderId="15" xfId="8" applyFont="1" applyBorder="1" applyAlignment="1">
      <alignment horizontal="center"/>
    </xf>
    <xf numFmtId="0" fontId="28" fillId="0" borderId="17" xfId="8" applyFont="1" applyBorder="1" applyAlignment="1">
      <alignment horizontal="center"/>
    </xf>
    <xf numFmtId="0" fontId="28" fillId="0" borderId="68" xfId="8" applyFont="1" applyBorder="1" applyAlignment="1">
      <alignment horizontal="center"/>
    </xf>
    <xf numFmtId="0" fontId="28" fillId="4" borderId="68" xfId="8" applyFont="1" applyFill="1" applyBorder="1" applyAlignment="1">
      <alignment horizontal="center"/>
    </xf>
    <xf numFmtId="0" fontId="28" fillId="4" borderId="2" xfId="8" applyFont="1" applyFill="1" applyBorder="1" applyAlignment="1">
      <alignment horizontal="center"/>
    </xf>
    <xf numFmtId="0" fontId="18" fillId="4" borderId="68" xfId="0" applyFont="1" applyFill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4" borderId="2" xfId="0" applyFont="1" applyFill="1" applyBorder="1" applyAlignment="1">
      <alignment horizontal="center" wrapText="1"/>
    </xf>
    <xf numFmtId="0" fontId="14" fillId="5" borderId="15" xfId="0" applyFont="1" applyFill="1" applyBorder="1" applyAlignment="1">
      <alignment horizontal="center"/>
    </xf>
    <xf numFmtId="0" fontId="14" fillId="5" borderId="6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wrapText="1"/>
    </xf>
    <xf numFmtId="0" fontId="21" fillId="0" borderId="2" xfId="8" applyFont="1" applyBorder="1" applyAlignment="1">
      <alignment horizontal="center"/>
    </xf>
    <xf numFmtId="14" fontId="18" fillId="0" borderId="10" xfId="0" applyNumberFormat="1" applyFont="1" applyBorder="1" applyAlignment="1">
      <alignment horizontal="center" wrapText="1"/>
    </xf>
    <xf numFmtId="14" fontId="18" fillId="0" borderId="17" xfId="0" applyNumberFormat="1" applyFont="1" applyBorder="1" applyAlignment="1">
      <alignment horizontal="center" wrapText="1"/>
    </xf>
    <xf numFmtId="3" fontId="34" fillId="0" borderId="0" xfId="0" applyNumberFormat="1" applyFont="1" applyFill="1"/>
    <xf numFmtId="49" fontId="17" fillId="0" borderId="0" xfId="0" applyNumberFormat="1" applyFont="1" applyFill="1"/>
    <xf numFmtId="3" fontId="28" fillId="0" borderId="0" xfId="0" applyNumberFormat="1" applyFont="1" applyFill="1"/>
    <xf numFmtId="49" fontId="28" fillId="0" borderId="0" xfId="0" applyNumberFormat="1" applyFont="1" applyFill="1"/>
    <xf numFmtId="49" fontId="21" fillId="0" borderId="0" xfId="0" applyNumberFormat="1" applyFont="1" applyFill="1"/>
    <xf numFmtId="49" fontId="41" fillId="0" borderId="0" xfId="0" applyNumberFormat="1" applyFont="1" applyFill="1"/>
    <xf numFmtId="3" fontId="34" fillId="0" borderId="0" xfId="0" quotePrefix="1" applyNumberFormat="1" applyFont="1" applyBorder="1"/>
    <xf numFmtId="3" fontId="18" fillId="19" borderId="11" xfId="0" applyNumberFormat="1" applyFont="1" applyFill="1" applyBorder="1"/>
    <xf numFmtId="3" fontId="18" fillId="4" borderId="55" xfId="8" applyNumberFormat="1" applyFont="1" applyFill="1" applyBorder="1" applyAlignment="1">
      <alignment horizontal="right"/>
    </xf>
    <xf numFmtId="3" fontId="28" fillId="0" borderId="3" xfId="8" applyNumberFormat="1" applyFont="1" applyBorder="1" applyAlignment="1">
      <alignment horizontal="right"/>
    </xf>
    <xf numFmtId="3" fontId="62" fillId="0" borderId="14" xfId="0" applyNumberFormat="1" applyFont="1" applyFill="1" applyBorder="1"/>
    <xf numFmtId="9" fontId="21" fillId="0" borderId="0" xfId="9" applyFont="1"/>
    <xf numFmtId="0" fontId="3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49" fontId="18" fillId="7" borderId="11" xfId="8" applyNumberFormat="1" applyFont="1" applyFill="1" applyBorder="1" applyAlignment="1">
      <alignment horizontal="left"/>
    </xf>
    <xf numFmtId="0" fontId="14" fillId="7" borderId="11" xfId="0" applyFont="1" applyFill="1" applyBorder="1"/>
    <xf numFmtId="0" fontId="14" fillId="7" borderId="11" xfId="0" applyFont="1" applyFill="1" applyBorder="1" applyAlignment="1">
      <alignment horizontal="center"/>
    </xf>
    <xf numFmtId="14" fontId="14" fillId="7" borderId="11" xfId="0" applyNumberFormat="1" applyFont="1" applyFill="1" applyBorder="1" applyAlignment="1">
      <alignment horizontal="center"/>
    </xf>
    <xf numFmtId="14" fontId="14" fillId="7" borderId="61" xfId="0" applyNumberFormat="1" applyFont="1" applyFill="1" applyBorder="1" applyAlignment="1">
      <alignment horizontal="center"/>
    </xf>
    <xf numFmtId="3" fontId="18" fillId="7" borderId="11" xfId="8" applyNumberFormat="1" applyFont="1" applyFill="1" applyBorder="1" applyAlignment="1">
      <alignment horizontal="right"/>
    </xf>
    <xf numFmtId="3" fontId="20" fillId="7" borderId="11" xfId="8" applyNumberFormat="1" applyFont="1" applyFill="1" applyBorder="1" applyAlignment="1">
      <alignment horizontal="right"/>
    </xf>
    <xf numFmtId="3" fontId="22" fillId="7" borderId="11" xfId="8" applyNumberFormat="1" applyFont="1" applyFill="1" applyBorder="1" applyAlignment="1">
      <alignment horizontal="right"/>
    </xf>
    <xf numFmtId="0" fontId="18" fillId="7" borderId="11" xfId="0" applyFont="1" applyFill="1" applyBorder="1" applyAlignment="1">
      <alignment wrapText="1"/>
    </xf>
    <xf numFmtId="0" fontId="18" fillId="7" borderId="11" xfId="0" applyFont="1" applyFill="1" applyBorder="1" applyAlignment="1">
      <alignment horizontal="center" wrapText="1"/>
    </xf>
    <xf numFmtId="14" fontId="18" fillId="7" borderId="11" xfId="0" applyNumberFormat="1" applyFont="1" applyFill="1" applyBorder="1" applyAlignment="1">
      <alignment horizontal="center" wrapText="1"/>
    </xf>
    <xf numFmtId="14" fontId="18" fillId="7" borderId="61" xfId="0" applyNumberFormat="1" applyFont="1" applyFill="1" applyBorder="1" applyAlignment="1">
      <alignment horizontal="center" wrapText="1"/>
    </xf>
    <xf numFmtId="0" fontId="18" fillId="7" borderId="61" xfId="0" applyFont="1" applyFill="1" applyBorder="1" applyAlignment="1">
      <alignment horizontal="center" wrapText="1"/>
    </xf>
    <xf numFmtId="0" fontId="18" fillId="7" borderId="55" xfId="0" applyFont="1" applyFill="1" applyBorder="1" applyAlignment="1">
      <alignment horizontal="left" wrapText="1"/>
    </xf>
    <xf numFmtId="0" fontId="18" fillId="7" borderId="55" xfId="0" applyFont="1" applyFill="1" applyBorder="1" applyAlignment="1">
      <alignment wrapText="1"/>
    </xf>
    <xf numFmtId="0" fontId="18" fillId="7" borderId="55" xfId="0" applyFont="1" applyFill="1" applyBorder="1" applyAlignment="1">
      <alignment horizontal="center" wrapText="1"/>
    </xf>
    <xf numFmtId="14" fontId="18" fillId="7" borderId="55" xfId="0" applyNumberFormat="1" applyFont="1" applyFill="1" applyBorder="1" applyAlignment="1">
      <alignment horizontal="center" wrapText="1"/>
    </xf>
    <xf numFmtId="14" fontId="18" fillId="7" borderId="68" xfId="0" applyNumberFormat="1" applyFont="1" applyFill="1" applyBorder="1" applyAlignment="1">
      <alignment horizontal="center" wrapText="1"/>
    </xf>
    <xf numFmtId="3" fontId="20" fillId="7" borderId="55" xfId="8" applyNumberFormat="1" applyFont="1" applyFill="1" applyBorder="1" applyAlignment="1">
      <alignment horizontal="right"/>
    </xf>
    <xf numFmtId="3" fontId="22" fillId="7" borderId="55" xfId="8" applyNumberFormat="1" applyFont="1" applyFill="1" applyBorder="1" applyAlignment="1">
      <alignment horizontal="right"/>
    </xf>
    <xf numFmtId="49" fontId="18" fillId="7" borderId="55" xfId="8" applyNumberFormat="1" applyFont="1" applyFill="1" applyBorder="1" applyAlignment="1">
      <alignment horizontal="left"/>
    </xf>
    <xf numFmtId="0" fontId="18" fillId="7" borderId="68" xfId="0" applyFont="1" applyFill="1" applyBorder="1" applyAlignment="1">
      <alignment horizontal="center" wrapText="1"/>
    </xf>
    <xf numFmtId="49" fontId="18" fillId="7" borderId="10" xfId="8" applyNumberFormat="1" applyFont="1" applyFill="1" applyBorder="1" applyAlignment="1">
      <alignment horizontal="left"/>
    </xf>
    <xf numFmtId="0" fontId="18" fillId="7" borderId="10" xfId="0" applyFont="1" applyFill="1" applyBorder="1" applyAlignment="1">
      <alignment horizontal="left" wrapText="1"/>
    </xf>
    <xf numFmtId="0" fontId="18" fillId="7" borderId="10" xfId="0" applyFont="1" applyFill="1" applyBorder="1" applyAlignment="1">
      <alignment horizontal="center" wrapText="1"/>
    </xf>
    <xf numFmtId="0" fontId="18" fillId="7" borderId="17" xfId="0" applyFont="1" applyFill="1" applyBorder="1" applyAlignment="1">
      <alignment horizontal="center" wrapText="1"/>
    </xf>
    <xf numFmtId="3" fontId="20" fillId="7" borderId="10" xfId="8" applyNumberFormat="1" applyFont="1" applyFill="1" applyBorder="1" applyAlignment="1">
      <alignment horizontal="right"/>
    </xf>
    <xf numFmtId="3" fontId="22" fillId="7" borderId="10" xfId="8" applyNumberFormat="1" applyFont="1" applyFill="1" applyBorder="1" applyAlignment="1">
      <alignment horizontal="right"/>
    </xf>
    <xf numFmtId="0" fontId="18" fillId="7" borderId="29" xfId="7" applyFont="1" applyFill="1" applyBorder="1" applyAlignment="1">
      <alignment horizontal="center" wrapText="1"/>
    </xf>
    <xf numFmtId="0" fontId="18" fillId="7" borderId="24" xfId="7" applyFont="1" applyFill="1" applyBorder="1" applyAlignment="1">
      <alignment horizontal="center" wrapText="1"/>
    </xf>
    <xf numFmtId="0" fontId="18" fillId="7" borderId="24" xfId="7" applyFont="1" applyFill="1" applyBorder="1" applyAlignment="1">
      <alignment wrapText="1"/>
    </xf>
    <xf numFmtId="3" fontId="18" fillId="7" borderId="12" xfId="7" applyNumberFormat="1" applyFont="1" applyFill="1" applyBorder="1"/>
    <xf numFmtId="3" fontId="22" fillId="7" borderId="11" xfId="7" applyNumberFormat="1" applyFont="1" applyFill="1" applyBorder="1"/>
    <xf numFmtId="3" fontId="63" fillId="0" borderId="0" xfId="0" applyNumberFormat="1" applyFont="1" applyFill="1" applyBorder="1"/>
    <xf numFmtId="0" fontId="53" fillId="0" borderId="0" xfId="0" applyFont="1"/>
    <xf numFmtId="0" fontId="63" fillId="0" borderId="0" xfId="0" applyFont="1"/>
    <xf numFmtId="3" fontId="63" fillId="0" borderId="0" xfId="0" applyNumberFormat="1" applyFont="1"/>
    <xf numFmtId="166" fontId="21" fillId="0" borderId="0" xfId="9" applyNumberFormat="1" applyFont="1"/>
    <xf numFmtId="9" fontId="21" fillId="0" borderId="0" xfId="9" applyNumberFormat="1" applyFont="1"/>
    <xf numFmtId="0" fontId="16" fillId="0" borderId="18" xfId="0" applyFont="1" applyBorder="1"/>
    <xf numFmtId="0" fontId="16" fillId="0" borderId="13" xfId="0" applyFont="1" applyBorder="1"/>
    <xf numFmtId="0" fontId="41" fillId="0" borderId="13" xfId="0" applyFont="1" applyBorder="1"/>
    <xf numFmtId="0" fontId="16" fillId="0" borderId="63" xfId="0" applyFont="1" applyBorder="1"/>
    <xf numFmtId="3" fontId="16" fillId="22" borderId="40" xfId="0" applyNumberFormat="1" applyFont="1" applyFill="1" applyBorder="1"/>
    <xf numFmtId="3" fontId="16" fillId="22" borderId="37" xfId="0" applyNumberFormat="1" applyFont="1" applyFill="1" applyBorder="1"/>
    <xf numFmtId="3" fontId="16" fillId="22" borderId="33" xfId="0" applyNumberFormat="1" applyFont="1" applyFill="1" applyBorder="1"/>
    <xf numFmtId="3" fontId="16" fillId="5" borderId="0" xfId="0" applyNumberFormat="1" applyFont="1" applyFill="1"/>
    <xf numFmtId="3" fontId="16" fillId="23" borderId="40" xfId="0" applyNumberFormat="1" applyFont="1" applyFill="1" applyBorder="1"/>
    <xf numFmtId="3" fontId="16" fillId="23" borderId="37" xfId="0" applyNumberFormat="1" applyFont="1" applyFill="1" applyBorder="1"/>
    <xf numFmtId="3" fontId="16" fillId="23" borderId="33" xfId="0" applyNumberFormat="1" applyFont="1" applyFill="1" applyBorder="1"/>
    <xf numFmtId="9" fontId="14" fillId="21" borderId="14" xfId="9" applyFont="1" applyFill="1" applyBorder="1"/>
    <xf numFmtId="9" fontId="14" fillId="21" borderId="44" xfId="9" applyFont="1" applyFill="1" applyBorder="1"/>
    <xf numFmtId="9" fontId="14" fillId="21" borderId="40" xfId="9" applyFont="1" applyFill="1" applyBorder="1"/>
    <xf numFmtId="9" fontId="14" fillId="21" borderId="37" xfId="9" applyFont="1" applyFill="1" applyBorder="1"/>
    <xf numFmtId="9" fontId="14" fillId="21" borderId="33" xfId="9" applyFont="1" applyFill="1" applyBorder="1"/>
    <xf numFmtId="0" fontId="16" fillId="0" borderId="3" xfId="0" applyFont="1" applyBorder="1"/>
    <xf numFmtId="3" fontId="41" fillId="0" borderId="13" xfId="0" applyNumberFormat="1" applyFont="1" applyBorder="1"/>
    <xf numFmtId="3" fontId="41" fillId="0" borderId="63" xfId="0" applyNumberFormat="1" applyFont="1" applyBorder="1"/>
    <xf numFmtId="3" fontId="33" fillId="6" borderId="25" xfId="0" applyNumberFormat="1" applyFont="1" applyFill="1" applyBorder="1"/>
    <xf numFmtId="3" fontId="33" fillId="6" borderId="14" xfId="0" applyNumberFormat="1" applyFont="1" applyFill="1" applyBorder="1"/>
    <xf numFmtId="3" fontId="18" fillId="25" borderId="11" xfId="0" applyNumberFormat="1" applyFont="1" applyFill="1" applyBorder="1"/>
    <xf numFmtId="0" fontId="18" fillId="3" borderId="14" xfId="0" applyFont="1" applyFill="1" applyBorder="1" applyAlignment="1">
      <alignment wrapText="1"/>
    </xf>
    <xf numFmtId="3" fontId="20" fillId="0" borderId="18" xfId="0" applyNumberFormat="1" applyFont="1" applyFill="1" applyBorder="1"/>
    <xf numFmtId="3" fontId="20" fillId="0" borderId="13" xfId="0" applyNumberFormat="1" applyFont="1" applyFill="1" applyBorder="1"/>
    <xf numFmtId="3" fontId="33" fillId="0" borderId="13" xfId="0" applyNumberFormat="1" applyFont="1" applyFill="1" applyBorder="1"/>
    <xf numFmtId="3" fontId="20" fillId="6" borderId="13" xfId="0" applyNumberFormat="1" applyFont="1" applyFill="1" applyBorder="1"/>
    <xf numFmtId="3" fontId="20" fillId="0" borderId="31" xfId="0" applyNumberFormat="1" applyFont="1" applyFill="1" applyBorder="1"/>
    <xf numFmtId="49" fontId="28" fillId="0" borderId="0" xfId="0" applyNumberFormat="1" applyFont="1"/>
    <xf numFmtId="49" fontId="21" fillId="4" borderId="37" xfId="0" applyNumberFormat="1" applyFont="1" applyFill="1" applyBorder="1" applyAlignment="1">
      <alignment horizontal="center" vertical="center"/>
    </xf>
    <xf numFmtId="49" fontId="21" fillId="0" borderId="0" xfId="0" applyNumberFormat="1" applyFont="1"/>
    <xf numFmtId="3" fontId="34" fillId="0" borderId="0" xfId="0" applyNumberFormat="1" applyFont="1" applyBorder="1"/>
    <xf numFmtId="3" fontId="18" fillId="0" borderId="0" xfId="3" applyNumberFormat="1" applyFont="1"/>
    <xf numFmtId="0" fontId="18" fillId="5" borderId="0" xfId="0" applyFont="1" applyFill="1"/>
    <xf numFmtId="3" fontId="18" fillId="0" borderId="19" xfId="0" applyNumberFormat="1" applyFont="1" applyBorder="1"/>
    <xf numFmtId="3" fontId="18" fillId="0" borderId="14" xfId="0" applyNumberFormat="1" applyFont="1" applyBorder="1"/>
    <xf numFmtId="3" fontId="18" fillId="0" borderId="44" xfId="0" applyNumberFormat="1" applyFont="1" applyBorder="1"/>
    <xf numFmtId="3" fontId="18" fillId="5" borderId="0" xfId="0" applyNumberFormat="1" applyFont="1" applyFill="1"/>
    <xf numFmtId="3" fontId="18" fillId="5" borderId="73" xfId="0" applyNumberFormat="1" applyFont="1" applyFill="1" applyBorder="1"/>
    <xf numFmtId="3" fontId="18" fillId="5" borderId="0" xfId="0" applyNumberFormat="1" applyFont="1" applyFill="1" applyBorder="1"/>
    <xf numFmtId="3" fontId="18" fillId="0" borderId="18" xfId="0" applyNumberFormat="1" applyFont="1" applyBorder="1"/>
    <xf numFmtId="3" fontId="18" fillId="0" borderId="13" xfId="0" applyNumberFormat="1" applyFont="1" applyBorder="1"/>
    <xf numFmtId="3" fontId="18" fillId="0" borderId="63" xfId="0" applyNumberFormat="1" applyFont="1" applyBorder="1"/>
    <xf numFmtId="3" fontId="18" fillId="0" borderId="23" xfId="0" applyNumberFormat="1" applyFont="1" applyBorder="1"/>
    <xf numFmtId="0" fontId="18" fillId="5" borderId="0" xfId="0" applyFont="1" applyFill="1" applyBorder="1"/>
    <xf numFmtId="0" fontId="18" fillId="21" borderId="19" xfId="0" applyFont="1" applyFill="1" applyBorder="1"/>
    <xf numFmtId="0" fontId="18" fillId="0" borderId="18" xfId="0" applyFont="1" applyBorder="1"/>
    <xf numFmtId="3" fontId="18" fillId="0" borderId="20" xfId="0" applyNumberFormat="1" applyFont="1" applyBorder="1"/>
    <xf numFmtId="3" fontId="18" fillId="0" borderId="31" xfId="0" applyNumberFormat="1" applyFont="1" applyBorder="1"/>
    <xf numFmtId="3" fontId="65" fillId="0" borderId="0" xfId="0" applyNumberFormat="1" applyFont="1" applyFill="1"/>
    <xf numFmtId="3" fontId="28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49" fontId="66" fillId="0" borderId="0" xfId="0" applyNumberFormat="1" applyFont="1" applyAlignment="1">
      <alignment horizontal="center"/>
    </xf>
    <xf numFmtId="49" fontId="67" fillId="0" borderId="0" xfId="0" applyNumberFormat="1" applyFont="1" applyAlignment="1">
      <alignment horizontal="center"/>
    </xf>
    <xf numFmtId="49" fontId="67" fillId="0" borderId="48" xfId="0" applyNumberFormat="1" applyFont="1" applyBorder="1" applyAlignment="1">
      <alignment horizontal="center"/>
    </xf>
    <xf numFmtId="49" fontId="68" fillId="0" borderId="0" xfId="0" applyNumberFormat="1" applyFont="1" applyAlignment="1">
      <alignment horizontal="center"/>
    </xf>
    <xf numFmtId="49" fontId="69" fillId="0" borderId="48" xfId="0" applyNumberFormat="1" applyFont="1" applyBorder="1" applyAlignment="1">
      <alignment horizontal="center"/>
    </xf>
    <xf numFmtId="49" fontId="69" fillId="0" borderId="0" xfId="0" applyNumberFormat="1" applyFont="1" applyAlignment="1">
      <alignment horizontal="center"/>
    </xf>
    <xf numFmtId="3" fontId="28" fillId="0" borderId="48" xfId="0" applyNumberFormat="1" applyFont="1" applyFill="1" applyBorder="1"/>
    <xf numFmtId="3" fontId="34" fillId="4" borderId="0" xfId="0" applyNumberFormat="1" applyFont="1" applyFill="1"/>
    <xf numFmtId="49" fontId="68" fillId="0" borderId="0" xfId="0" applyNumberFormat="1" applyFont="1" applyFill="1" applyAlignment="1">
      <alignment horizontal="center"/>
    </xf>
    <xf numFmtId="49" fontId="69" fillId="0" borderId="0" xfId="0" applyNumberFormat="1" applyFont="1" applyFill="1" applyBorder="1" applyAlignment="1">
      <alignment horizontal="center"/>
    </xf>
    <xf numFmtId="49" fontId="69" fillId="0" borderId="0" xfId="9" applyNumberFormat="1" applyFont="1" applyAlignment="1">
      <alignment horizontal="center"/>
    </xf>
    <xf numFmtId="49" fontId="66" fillId="0" borderId="0" xfId="0" applyNumberFormat="1" applyFont="1" applyFill="1" applyAlignment="1">
      <alignment horizontal="center"/>
    </xf>
    <xf numFmtId="49" fontId="67" fillId="0" borderId="0" xfId="0" applyNumberFormat="1" applyFont="1" applyFill="1" applyBorder="1" applyAlignment="1">
      <alignment horizontal="center"/>
    </xf>
    <xf numFmtId="49" fontId="67" fillId="0" borderId="0" xfId="9" applyNumberFormat="1" applyFont="1" applyAlignment="1">
      <alignment horizontal="center"/>
    </xf>
    <xf numFmtId="0" fontId="21" fillId="0" borderId="0" xfId="0" applyFont="1" applyAlignment="1">
      <alignment horizontal="right" vertical="center"/>
    </xf>
    <xf numFmtId="3" fontId="34" fillId="0" borderId="0" xfId="0" applyNumberFormat="1" applyFont="1" applyFill="1" applyAlignment="1">
      <alignment vertical="center"/>
    </xf>
    <xf numFmtId="49" fontId="66" fillId="0" borderId="0" xfId="0" applyNumberFormat="1" applyFont="1" applyFill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18" fillId="24" borderId="0" xfId="0" applyFont="1" applyFill="1" applyBorder="1"/>
    <xf numFmtId="9" fontId="17" fillId="24" borderId="0" xfId="9" applyFont="1" applyFill="1" applyBorder="1"/>
    <xf numFmtId="3" fontId="18" fillId="26" borderId="10" xfId="0" applyNumberFormat="1" applyFont="1" applyFill="1" applyBorder="1"/>
    <xf numFmtId="3" fontId="18" fillId="26" borderId="11" xfId="0" applyNumberFormat="1" applyFont="1" applyFill="1" applyBorder="1"/>
    <xf numFmtId="0" fontId="28" fillId="0" borderId="0" xfId="0" applyFont="1" applyAlignment="1">
      <alignment horizontal="left"/>
    </xf>
    <xf numFmtId="3" fontId="30" fillId="0" borderId="0" xfId="0" applyNumberFormat="1" applyFont="1"/>
    <xf numFmtId="43" fontId="30" fillId="0" borderId="0" xfId="1" applyFont="1"/>
    <xf numFmtId="43" fontId="63" fillId="0" borderId="0" xfId="1" applyFont="1"/>
    <xf numFmtId="3" fontId="70" fillId="4" borderId="0" xfId="0" applyNumberFormat="1" applyFont="1" applyFill="1"/>
    <xf numFmtId="3" fontId="18" fillId="5" borderId="5" xfId="0" applyNumberFormat="1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59" xfId="0" applyFont="1" applyFill="1" applyBorder="1" applyAlignment="1">
      <alignment horizontal="center"/>
    </xf>
    <xf numFmtId="0" fontId="16" fillId="0" borderId="20" xfId="0" applyFont="1" applyBorder="1"/>
    <xf numFmtId="3" fontId="18" fillId="0" borderId="21" xfId="0" applyNumberFormat="1" applyFont="1" applyBorder="1"/>
    <xf numFmtId="3" fontId="16" fillId="22" borderId="50" xfId="0" applyNumberFormat="1" applyFont="1" applyFill="1" applyBorder="1"/>
    <xf numFmtId="3" fontId="18" fillId="0" borderId="42" xfId="0" applyNumberFormat="1" applyFont="1" applyBorder="1"/>
    <xf numFmtId="3" fontId="16" fillId="23" borderId="50" xfId="0" applyNumberFormat="1" applyFont="1" applyFill="1" applyBorder="1"/>
    <xf numFmtId="0" fontId="18" fillId="21" borderId="21" xfId="0" applyFont="1" applyFill="1" applyBorder="1"/>
    <xf numFmtId="9" fontId="14" fillId="21" borderId="50" xfId="9" applyFont="1" applyFill="1" applyBorder="1"/>
    <xf numFmtId="0" fontId="18" fillId="0" borderId="20" xfId="0" applyFont="1" applyBorder="1"/>
    <xf numFmtId="0" fontId="16" fillId="0" borderId="20" xfId="0" applyFont="1" applyBorder="1" applyAlignment="1">
      <alignment horizontal="center"/>
    </xf>
    <xf numFmtId="3" fontId="18" fillId="5" borderId="1" xfId="0" applyNumberFormat="1" applyFont="1" applyFill="1" applyBorder="1" applyAlignment="1">
      <alignment horizontal="center"/>
    </xf>
    <xf numFmtId="3" fontId="18" fillId="5" borderId="37" xfId="0" applyNumberFormat="1" applyFont="1" applyFill="1" applyBorder="1"/>
    <xf numFmtId="3" fontId="20" fillId="5" borderId="3" xfId="0" applyNumberFormat="1" applyFont="1" applyFill="1" applyBorder="1" applyAlignment="1">
      <alignment horizontal="center"/>
    </xf>
    <xf numFmtId="43" fontId="30" fillId="0" borderId="55" xfId="1" applyFont="1" applyBorder="1"/>
    <xf numFmtId="3" fontId="34" fillId="0" borderId="10" xfId="0" applyNumberFormat="1" applyFont="1" applyBorder="1"/>
    <xf numFmtId="3" fontId="28" fillId="0" borderId="34" xfId="0" applyNumberFormat="1" applyFont="1" applyBorder="1"/>
    <xf numFmtId="0" fontId="28" fillId="0" borderId="16" xfId="0" applyFont="1" applyBorder="1" applyAlignment="1">
      <alignment horizontal="right"/>
    </xf>
    <xf numFmtId="0" fontId="28" fillId="0" borderId="34" xfId="0" applyFont="1" applyBorder="1" applyAlignment="1">
      <alignment horizontal="right"/>
    </xf>
    <xf numFmtId="0" fontId="18" fillId="5" borderId="3" xfId="0" applyFont="1" applyFill="1" applyBorder="1"/>
    <xf numFmtId="0" fontId="18" fillId="5" borderId="2" xfId="0" applyFont="1" applyFill="1" applyBorder="1"/>
    <xf numFmtId="43" fontId="30" fillId="0" borderId="68" xfId="1" applyFont="1" applyBorder="1"/>
    <xf numFmtId="3" fontId="34" fillId="0" borderId="17" xfId="0" applyNumberFormat="1" applyFont="1" applyBorder="1"/>
    <xf numFmtId="3" fontId="28" fillId="0" borderId="32" xfId="0" applyNumberFormat="1" applyFont="1" applyBorder="1"/>
    <xf numFmtId="0" fontId="20" fillId="5" borderId="0" xfId="0" applyFont="1" applyFill="1"/>
    <xf numFmtId="0" fontId="20" fillId="5" borderId="2" xfId="0" applyFont="1" applyFill="1" applyBorder="1" applyAlignment="1">
      <alignment horizontal="center"/>
    </xf>
    <xf numFmtId="0" fontId="20" fillId="5" borderId="2" xfId="0" applyFont="1" applyFill="1" applyBorder="1" applyAlignment="1"/>
    <xf numFmtId="0" fontId="20" fillId="5" borderId="30" xfId="0" applyFont="1" applyFill="1" applyBorder="1" applyAlignment="1"/>
    <xf numFmtId="0" fontId="20" fillId="5" borderId="6" xfId="0" applyFont="1" applyFill="1" applyBorder="1" applyAlignment="1"/>
    <xf numFmtId="3" fontId="18" fillId="5" borderId="2" xfId="0" applyNumberFormat="1" applyFont="1" applyFill="1" applyBorder="1" applyAlignment="1">
      <alignment horizontal="center"/>
    </xf>
    <xf numFmtId="3" fontId="18" fillId="5" borderId="23" xfId="0" applyNumberFormat="1" applyFont="1" applyFill="1" applyBorder="1"/>
    <xf numFmtId="3" fontId="18" fillId="5" borderId="40" xfId="0" applyNumberFormat="1" applyFont="1" applyFill="1" applyBorder="1"/>
    <xf numFmtId="3" fontId="18" fillId="5" borderId="33" xfId="0" applyNumberFormat="1" applyFont="1" applyFill="1" applyBorder="1"/>
    <xf numFmtId="3" fontId="18" fillId="5" borderId="32" xfId="0" applyNumberFormat="1" applyFont="1" applyFill="1" applyBorder="1"/>
    <xf numFmtId="49" fontId="34" fillId="0" borderId="0" xfId="0" applyNumberFormat="1" applyFont="1" applyFill="1"/>
    <xf numFmtId="49" fontId="34" fillId="0" borderId="0" xfId="0" applyNumberFormat="1" applyFont="1" applyFill="1" applyAlignment="1">
      <alignment horizontal="center" vertical="center" wrapText="1"/>
    </xf>
    <xf numFmtId="3" fontId="21" fillId="5" borderId="2" xfId="8" applyNumberFormat="1" applyFont="1" applyFill="1" applyBorder="1" applyAlignment="1"/>
    <xf numFmtId="3" fontId="21" fillId="5" borderId="30" xfId="8" applyNumberFormat="1" applyFont="1" applyFill="1" applyBorder="1" applyAlignment="1"/>
    <xf numFmtId="3" fontId="21" fillId="5" borderId="6" xfId="8" applyNumberFormat="1" applyFont="1" applyFill="1" applyBorder="1" applyAlignment="1"/>
    <xf numFmtId="4" fontId="34" fillId="0" borderId="0" xfId="0" applyNumberFormat="1" applyFont="1"/>
    <xf numFmtId="4" fontId="34" fillId="0" borderId="0" xfId="0" applyNumberFormat="1" applyFont="1" applyAlignment="1">
      <alignment horizontal="center"/>
    </xf>
    <xf numFmtId="4" fontId="24" fillId="4" borderId="0" xfId="0" applyNumberFormat="1" applyFont="1" applyFill="1"/>
    <xf numFmtId="4" fontId="41" fillId="4" borderId="0" xfId="0" applyNumberFormat="1" applyFont="1" applyFill="1"/>
    <xf numFmtId="10" fontId="24" fillId="4" borderId="0" xfId="9" applyNumberFormat="1" applyFont="1" applyFill="1"/>
    <xf numFmtId="3" fontId="24" fillId="4" borderId="0" xfId="0" applyNumberFormat="1" applyFont="1" applyFill="1"/>
    <xf numFmtId="4" fontId="25" fillId="4" borderId="0" xfId="0" applyNumberFormat="1" applyFont="1" applyFill="1"/>
    <xf numFmtId="0" fontId="33" fillId="0" borderId="62" xfId="8" applyFont="1" applyBorder="1" applyAlignment="1">
      <alignment horizontal="left" vertical="center" textRotation="180"/>
    </xf>
    <xf numFmtId="49" fontId="22" fillId="0" borderId="10" xfId="8" applyNumberFormat="1" applyFont="1" applyBorder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3" fontId="33" fillId="0" borderId="10" xfId="8" applyNumberFormat="1" applyFont="1" applyBorder="1" applyAlignment="1">
      <alignment horizontal="center"/>
    </xf>
    <xf numFmtId="0" fontId="33" fillId="0" borderId="68" xfId="8" applyFont="1" applyBorder="1" applyAlignment="1">
      <alignment horizontal="left" vertical="center" textRotation="180"/>
    </xf>
    <xf numFmtId="49" fontId="22" fillId="0" borderId="55" xfId="8" applyNumberFormat="1" applyFont="1" applyBorder="1" applyAlignment="1">
      <alignment horizontal="left"/>
    </xf>
    <xf numFmtId="0" fontId="22" fillId="0" borderId="55" xfId="0" applyFont="1" applyBorder="1" applyAlignment="1">
      <alignment wrapText="1"/>
    </xf>
    <xf numFmtId="0" fontId="22" fillId="0" borderId="55" xfId="0" applyFont="1" applyBorder="1" applyAlignment="1">
      <alignment horizontal="center" wrapText="1"/>
    </xf>
    <xf numFmtId="0" fontId="22" fillId="0" borderId="68" xfId="0" applyFont="1" applyBorder="1" applyAlignment="1">
      <alignment horizontal="center" wrapText="1"/>
    </xf>
    <xf numFmtId="3" fontId="33" fillId="0" borderId="55" xfId="8" applyNumberFormat="1" applyFont="1" applyBorder="1" applyAlignment="1">
      <alignment horizontal="center"/>
    </xf>
    <xf numFmtId="49" fontId="22" fillId="0" borderId="11" xfId="8" applyNumberFormat="1" applyFont="1" applyBorder="1" applyAlignment="1">
      <alignment horizontal="left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61" xfId="0" applyFont="1" applyBorder="1" applyAlignment="1">
      <alignment horizontal="center" wrapText="1"/>
    </xf>
    <xf numFmtId="3" fontId="33" fillId="0" borderId="11" xfId="8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3" fontId="28" fillId="0" borderId="0" xfId="8" applyNumberFormat="1" applyFont="1"/>
    <xf numFmtId="3" fontId="20" fillId="27" borderId="14" xfId="0" applyNumberFormat="1" applyFont="1" applyFill="1" applyBorder="1"/>
    <xf numFmtId="3" fontId="57" fillId="5" borderId="0" xfId="0" applyNumberFormat="1" applyFont="1" applyFill="1"/>
    <xf numFmtId="3" fontId="18" fillId="0" borderId="15" xfId="11" applyNumberFormat="1" applyFont="1" applyFill="1" applyBorder="1"/>
    <xf numFmtId="0" fontId="16" fillId="0" borderId="58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24" borderId="72" xfId="0" applyFont="1" applyFill="1" applyBorder="1" applyAlignment="1">
      <alignment horizontal="center" vertical="center" wrapText="1"/>
    </xf>
    <xf numFmtId="172" fontId="0" fillId="4" borderId="19" xfId="0" applyNumberFormat="1" applyFill="1" applyBorder="1" applyAlignment="1">
      <alignment vertical="top"/>
    </xf>
    <xf numFmtId="49" fontId="0" fillId="4" borderId="14" xfId="0" applyNumberFormat="1" applyFill="1" applyBorder="1" applyAlignment="1">
      <alignment vertical="top"/>
    </xf>
    <xf numFmtId="4" fontId="0" fillId="4" borderId="14" xfId="0" applyNumberFormat="1" applyFill="1" applyBorder="1" applyAlignment="1">
      <alignment vertical="top"/>
    </xf>
    <xf numFmtId="0" fontId="0" fillId="4" borderId="14" xfId="0" applyFill="1" applyBorder="1"/>
    <xf numFmtId="0" fontId="0" fillId="4" borderId="76" xfId="0" applyFill="1" applyBorder="1"/>
    <xf numFmtId="4" fontId="0" fillId="4" borderId="61" xfId="0" applyNumberFormat="1" applyFill="1" applyBorder="1"/>
    <xf numFmtId="4" fontId="0" fillId="4" borderId="11" xfId="0" applyNumberFormat="1" applyFill="1" applyBorder="1"/>
    <xf numFmtId="4" fontId="0" fillId="4" borderId="21" xfId="0" applyNumberFormat="1" applyFill="1" applyBorder="1"/>
    <xf numFmtId="4" fontId="0" fillId="4" borderId="14" xfId="0" applyNumberFormat="1" applyFill="1" applyBorder="1"/>
    <xf numFmtId="4" fontId="71" fillId="4" borderId="14" xfId="0" applyNumberFormat="1" applyFont="1" applyFill="1" applyBorder="1"/>
    <xf numFmtId="4" fontId="0" fillId="4" borderId="44" xfId="0" applyNumberFormat="1" applyFill="1" applyBorder="1"/>
    <xf numFmtId="172" fontId="0" fillId="4" borderId="23" xfId="0" applyNumberFormat="1" applyFill="1" applyBorder="1" applyAlignment="1">
      <alignment vertical="top"/>
    </xf>
    <xf numFmtId="49" fontId="0" fillId="4" borderId="25" xfId="0" applyNumberFormat="1" applyFill="1" applyBorder="1" applyAlignment="1">
      <alignment vertical="top"/>
    </xf>
    <xf numFmtId="4" fontId="0" fillId="4" borderId="25" xfId="0" applyNumberFormat="1" applyFill="1" applyBorder="1" applyAlignment="1">
      <alignment vertical="top"/>
    </xf>
    <xf numFmtId="0" fontId="0" fillId="4" borderId="25" xfId="0" applyFill="1" applyBorder="1"/>
    <xf numFmtId="0" fontId="0" fillId="4" borderId="26" xfId="0" applyFill="1" applyBorder="1"/>
    <xf numFmtId="4" fontId="0" fillId="4" borderId="17" xfId="0" applyNumberFormat="1" applyFill="1" applyBorder="1"/>
    <xf numFmtId="4" fontId="0" fillId="4" borderId="10" xfId="0" applyNumberFormat="1" applyFill="1" applyBorder="1"/>
    <xf numFmtId="4" fontId="0" fillId="4" borderId="42" xfId="0" applyNumberFormat="1" applyFill="1" applyBorder="1"/>
    <xf numFmtId="4" fontId="0" fillId="4" borderId="25" xfId="0" applyNumberFormat="1" applyFill="1" applyBorder="1"/>
    <xf numFmtId="4" fontId="71" fillId="4" borderId="25" xfId="0" applyNumberFormat="1" applyFont="1" applyFill="1" applyBorder="1"/>
    <xf numFmtId="4" fontId="0" fillId="4" borderId="27" xfId="0" applyNumberFormat="1" applyFill="1" applyBorder="1"/>
    <xf numFmtId="172" fontId="0" fillId="28" borderId="19" xfId="0" applyNumberFormat="1" applyFill="1" applyBorder="1" applyAlignment="1">
      <alignment vertical="top"/>
    </xf>
    <xf numFmtId="49" fontId="0" fillId="28" borderId="14" xfId="0" applyNumberFormat="1" applyFill="1" applyBorder="1" applyAlignment="1">
      <alignment vertical="top"/>
    </xf>
    <xf numFmtId="4" fontId="0" fillId="28" borderId="14" xfId="0" applyNumberFormat="1" applyFill="1" applyBorder="1" applyAlignment="1">
      <alignment vertical="top"/>
    </xf>
    <xf numFmtId="0" fontId="0" fillId="28" borderId="14" xfId="0" applyFill="1" applyBorder="1"/>
    <xf numFmtId="0" fontId="0" fillId="28" borderId="76" xfId="0" applyFill="1" applyBorder="1"/>
    <xf numFmtId="4" fontId="0" fillId="28" borderId="61" xfId="0" applyNumberFormat="1" applyFill="1" applyBorder="1"/>
    <xf numFmtId="4" fontId="0" fillId="28" borderId="11" xfId="0" applyNumberFormat="1" applyFill="1" applyBorder="1"/>
    <xf numFmtId="4" fontId="0" fillId="28" borderId="21" xfId="0" applyNumberFormat="1" applyFill="1" applyBorder="1"/>
    <xf numFmtId="4" fontId="0" fillId="28" borderId="14" xfId="0" applyNumberFormat="1" applyFill="1" applyBorder="1"/>
    <xf numFmtId="4" fontId="71" fillId="28" borderId="14" xfId="0" applyNumberFormat="1" applyFont="1" applyFill="1" applyBorder="1"/>
    <xf numFmtId="4" fontId="0" fillId="28" borderId="44" xfId="0" applyNumberFormat="1" applyFill="1" applyBorder="1"/>
    <xf numFmtId="172" fontId="0" fillId="29" borderId="23" xfId="0" applyNumberFormat="1" applyFill="1" applyBorder="1" applyAlignment="1">
      <alignment vertical="top"/>
    </xf>
    <xf numFmtId="49" fontId="0" fillId="29" borderId="25" xfId="0" applyNumberFormat="1" applyFill="1" applyBorder="1" applyAlignment="1">
      <alignment vertical="top"/>
    </xf>
    <xf numFmtId="4" fontId="0" fillId="29" borderId="25" xfId="0" applyNumberFormat="1" applyFill="1" applyBorder="1" applyAlignment="1">
      <alignment vertical="top"/>
    </xf>
    <xf numFmtId="0" fontId="0" fillId="29" borderId="25" xfId="0" applyFill="1" applyBorder="1"/>
    <xf numFmtId="0" fontId="0" fillId="29" borderId="26" xfId="0" applyFill="1" applyBorder="1"/>
    <xf numFmtId="4" fontId="0" fillId="29" borderId="17" xfId="0" applyNumberFormat="1" applyFill="1" applyBorder="1"/>
    <xf numFmtId="4" fontId="0" fillId="29" borderId="10" xfId="0" applyNumberFormat="1" applyFill="1" applyBorder="1"/>
    <xf numFmtId="4" fontId="0" fillId="29" borderId="42" xfId="0" applyNumberFormat="1" applyFill="1" applyBorder="1"/>
    <xf numFmtId="4" fontId="0" fillId="29" borderId="25" xfId="0" applyNumberFormat="1" applyFill="1" applyBorder="1"/>
    <xf numFmtId="4" fontId="71" fillId="29" borderId="25" xfId="0" applyNumberFormat="1" applyFont="1" applyFill="1" applyBorder="1"/>
    <xf numFmtId="4" fontId="0" fillId="29" borderId="27" xfId="0" applyNumberFormat="1" applyFill="1" applyBorder="1"/>
    <xf numFmtId="172" fontId="0" fillId="29" borderId="19" xfId="0" applyNumberFormat="1" applyFill="1" applyBorder="1" applyAlignment="1">
      <alignment vertical="top"/>
    </xf>
    <xf numFmtId="49" fontId="0" fillId="29" borderId="14" xfId="0" applyNumberFormat="1" applyFill="1" applyBorder="1" applyAlignment="1">
      <alignment vertical="top"/>
    </xf>
    <xf numFmtId="4" fontId="0" fillId="29" borderId="14" xfId="0" applyNumberFormat="1" applyFill="1" applyBorder="1" applyAlignment="1">
      <alignment vertical="top"/>
    </xf>
    <xf numFmtId="0" fontId="0" fillId="29" borderId="14" xfId="0" applyFill="1" applyBorder="1"/>
    <xf numFmtId="0" fontId="0" fillId="29" borderId="76" xfId="0" applyFill="1" applyBorder="1"/>
    <xf numFmtId="4" fontId="0" fillId="29" borderId="61" xfId="0" applyNumberFormat="1" applyFill="1" applyBorder="1"/>
    <xf numFmtId="4" fontId="0" fillId="29" borderId="11" xfId="0" applyNumberFormat="1" applyFill="1" applyBorder="1"/>
    <xf numFmtId="4" fontId="0" fillId="29" borderId="21" xfId="0" applyNumberFormat="1" applyFill="1" applyBorder="1"/>
    <xf numFmtId="4" fontId="0" fillId="29" borderId="14" xfId="0" applyNumberFormat="1" applyFill="1" applyBorder="1"/>
    <xf numFmtId="4" fontId="71" fillId="29" borderId="14" xfId="0" applyNumberFormat="1" applyFont="1" applyFill="1" applyBorder="1"/>
    <xf numFmtId="4" fontId="0" fillId="29" borderId="44" xfId="0" applyNumberFormat="1" applyFill="1" applyBorder="1"/>
    <xf numFmtId="172" fontId="0" fillId="17" borderId="23" xfId="0" applyNumberFormat="1" applyFill="1" applyBorder="1" applyAlignment="1">
      <alignment vertical="top"/>
    </xf>
    <xf numFmtId="49" fontId="0" fillId="17" borderId="25" xfId="0" applyNumberFormat="1" applyFill="1" applyBorder="1" applyAlignment="1">
      <alignment vertical="top"/>
    </xf>
    <xf numFmtId="4" fontId="0" fillId="17" borderId="25" xfId="0" applyNumberFormat="1" applyFill="1" applyBorder="1" applyAlignment="1">
      <alignment vertical="top"/>
    </xf>
    <xf numFmtId="0" fontId="0" fillId="17" borderId="26" xfId="0" applyFill="1" applyBorder="1"/>
    <xf numFmtId="4" fontId="0" fillId="17" borderId="17" xfId="0" applyNumberFormat="1" applyFill="1" applyBorder="1"/>
    <xf numFmtId="4" fontId="0" fillId="17" borderId="10" xfId="0" applyNumberFormat="1" applyFill="1" applyBorder="1"/>
    <xf numFmtId="4" fontId="0" fillId="17" borderId="42" xfId="0" applyNumberFormat="1" applyFill="1" applyBorder="1"/>
    <xf numFmtId="4" fontId="0" fillId="17" borderId="25" xfId="0" applyNumberFormat="1" applyFill="1" applyBorder="1"/>
    <xf numFmtId="4" fontId="71" fillId="17" borderId="25" xfId="0" applyNumberFormat="1" applyFont="1" applyFill="1" applyBorder="1"/>
    <xf numFmtId="4" fontId="0" fillId="17" borderId="27" xfId="0" applyNumberFormat="1" applyFill="1" applyBorder="1"/>
    <xf numFmtId="172" fontId="0" fillId="17" borderId="19" xfId="0" applyNumberFormat="1" applyFill="1" applyBorder="1" applyAlignment="1">
      <alignment vertical="top"/>
    </xf>
    <xf numFmtId="49" fontId="0" fillId="17" borderId="14" xfId="0" applyNumberFormat="1" applyFill="1" applyBorder="1" applyAlignment="1">
      <alignment vertical="top"/>
    </xf>
    <xf numFmtId="4" fontId="0" fillId="17" borderId="14" xfId="0" applyNumberFormat="1" applyFill="1" applyBorder="1" applyAlignment="1">
      <alignment vertical="top"/>
    </xf>
    <xf numFmtId="0" fontId="0" fillId="17" borderId="76" xfId="0" applyFill="1" applyBorder="1"/>
    <xf numFmtId="4" fontId="0" fillId="17" borderId="61" xfId="0" applyNumberFormat="1" applyFill="1" applyBorder="1"/>
    <xf numFmtId="4" fontId="0" fillId="17" borderId="11" xfId="0" applyNumberFormat="1" applyFill="1" applyBorder="1"/>
    <xf numFmtId="4" fontId="0" fillId="17" borderId="21" xfId="0" applyNumberFormat="1" applyFill="1" applyBorder="1"/>
    <xf numFmtId="4" fontId="0" fillId="17" borderId="14" xfId="0" applyNumberFormat="1" applyFill="1" applyBorder="1"/>
    <xf numFmtId="4" fontId="71" fillId="17" borderId="14" xfId="0" applyNumberFormat="1" applyFont="1" applyFill="1" applyBorder="1"/>
    <xf numFmtId="4" fontId="0" fillId="17" borderId="44" xfId="0" applyNumberFormat="1" applyFill="1" applyBorder="1"/>
    <xf numFmtId="172" fontId="0" fillId="9" borderId="23" xfId="0" applyNumberFormat="1" applyFill="1" applyBorder="1" applyAlignment="1">
      <alignment vertical="top"/>
    </xf>
    <xf numFmtId="49" fontId="0" fillId="9" borderId="25" xfId="0" applyNumberFormat="1" applyFill="1" applyBorder="1" applyAlignment="1">
      <alignment vertical="top"/>
    </xf>
    <xf numFmtId="4" fontId="0" fillId="9" borderId="25" xfId="0" applyNumberFormat="1" applyFill="1" applyBorder="1" applyAlignment="1">
      <alignment vertical="top"/>
    </xf>
    <xf numFmtId="0" fontId="0" fillId="9" borderId="25" xfId="0" applyFill="1" applyBorder="1"/>
    <xf numFmtId="0" fontId="0" fillId="9" borderId="26" xfId="0" applyFill="1" applyBorder="1"/>
    <xf numFmtId="4" fontId="0" fillId="9" borderId="17" xfId="0" applyNumberFormat="1" applyFill="1" applyBorder="1"/>
    <xf numFmtId="4" fontId="0" fillId="9" borderId="10" xfId="0" applyNumberFormat="1" applyFill="1" applyBorder="1"/>
    <xf numFmtId="4" fontId="0" fillId="9" borderId="42" xfId="0" applyNumberFormat="1" applyFill="1" applyBorder="1"/>
    <xf numFmtId="4" fontId="0" fillId="9" borderId="25" xfId="0" applyNumberFormat="1" applyFill="1" applyBorder="1"/>
    <xf numFmtId="4" fontId="71" fillId="9" borderId="25" xfId="0" applyNumberFormat="1" applyFont="1" applyFill="1" applyBorder="1"/>
    <xf numFmtId="4" fontId="0" fillId="9" borderId="27" xfId="0" applyNumberFormat="1" applyFill="1" applyBorder="1"/>
    <xf numFmtId="172" fontId="0" fillId="9" borderId="19" xfId="0" applyNumberFormat="1" applyFill="1" applyBorder="1" applyAlignment="1">
      <alignment vertical="top"/>
    </xf>
    <xf numFmtId="49" fontId="0" fillId="9" borderId="14" xfId="0" applyNumberFormat="1" applyFill="1" applyBorder="1" applyAlignment="1">
      <alignment vertical="top"/>
    </xf>
    <xf numFmtId="4" fontId="0" fillId="9" borderId="14" xfId="0" applyNumberFormat="1" applyFill="1" applyBorder="1" applyAlignment="1">
      <alignment vertical="top"/>
    </xf>
    <xf numFmtId="0" fontId="0" fillId="9" borderId="14" xfId="0" applyFill="1" applyBorder="1"/>
    <xf numFmtId="0" fontId="0" fillId="9" borderId="76" xfId="0" applyFill="1" applyBorder="1"/>
    <xf numFmtId="4" fontId="0" fillId="9" borderId="61" xfId="0" applyNumberFormat="1" applyFill="1" applyBorder="1"/>
    <xf numFmtId="4" fontId="0" fillId="9" borderId="11" xfId="0" applyNumberFormat="1" applyFill="1" applyBorder="1"/>
    <xf numFmtId="4" fontId="0" fillId="9" borderId="21" xfId="0" applyNumberFormat="1" applyFill="1" applyBorder="1"/>
    <xf numFmtId="4" fontId="0" fillId="9" borderId="14" xfId="0" applyNumberFormat="1" applyFill="1" applyBorder="1"/>
    <xf numFmtId="4" fontId="71" fillId="9" borderId="14" xfId="0" applyNumberFormat="1" applyFont="1" applyFill="1" applyBorder="1"/>
    <xf numFmtId="4" fontId="0" fillId="9" borderId="44" xfId="0" applyNumberFormat="1" applyFill="1" applyBorder="1"/>
    <xf numFmtId="172" fontId="0" fillId="26" borderId="19" xfId="0" applyNumberFormat="1" applyFill="1" applyBorder="1" applyAlignment="1">
      <alignment vertical="top"/>
    </xf>
    <xf numFmtId="49" fontId="0" fillId="26" borderId="14" xfId="0" applyNumberFormat="1" applyFill="1" applyBorder="1" applyAlignment="1">
      <alignment vertical="top"/>
    </xf>
    <xf numFmtId="4" fontId="0" fillId="26" borderId="14" xfId="0" applyNumberFormat="1" applyFill="1" applyBorder="1" applyAlignment="1">
      <alignment vertical="top"/>
    </xf>
    <xf numFmtId="0" fontId="0" fillId="26" borderId="14" xfId="0" applyFill="1" applyBorder="1"/>
    <xf numFmtId="0" fontId="0" fillId="26" borderId="76" xfId="0" applyFill="1" applyBorder="1"/>
    <xf numFmtId="4" fontId="0" fillId="26" borderId="61" xfId="0" applyNumberFormat="1" applyFill="1" applyBorder="1"/>
    <xf numFmtId="4" fontId="0" fillId="26" borderId="11" xfId="0" applyNumberFormat="1" applyFill="1" applyBorder="1"/>
    <xf numFmtId="4" fontId="0" fillId="26" borderId="21" xfId="0" applyNumberFormat="1" applyFill="1" applyBorder="1"/>
    <xf numFmtId="4" fontId="0" fillId="26" borderId="14" xfId="0" applyNumberFormat="1" applyFill="1" applyBorder="1"/>
    <xf numFmtId="4" fontId="71" fillId="26" borderId="14" xfId="0" applyNumberFormat="1" applyFont="1" applyFill="1" applyBorder="1"/>
    <xf numFmtId="4" fontId="0" fillId="26" borderId="44" xfId="0" applyNumberFormat="1" applyFill="1" applyBorder="1"/>
    <xf numFmtId="0" fontId="0" fillId="26" borderId="0" xfId="0" applyFill="1"/>
    <xf numFmtId="172" fontId="0" fillId="30" borderId="23" xfId="0" applyNumberFormat="1" applyFill="1" applyBorder="1" applyAlignment="1">
      <alignment vertical="top"/>
    </xf>
    <xf numFmtId="49" fontId="0" fillId="30" borderId="25" xfId="0" applyNumberFormat="1" applyFill="1" applyBorder="1" applyAlignment="1">
      <alignment vertical="top"/>
    </xf>
    <xf numFmtId="4" fontId="0" fillId="30" borderId="25" xfId="0" applyNumberFormat="1" applyFill="1" applyBorder="1" applyAlignment="1">
      <alignment vertical="top"/>
    </xf>
    <xf numFmtId="0" fontId="0" fillId="30" borderId="25" xfId="0" applyFill="1" applyBorder="1"/>
    <xf numFmtId="0" fontId="0" fillId="30" borderId="26" xfId="0" applyFill="1" applyBorder="1"/>
    <xf numFmtId="4" fontId="0" fillId="30" borderId="17" xfId="0" applyNumberFormat="1" applyFill="1" applyBorder="1"/>
    <xf numFmtId="4" fontId="0" fillId="30" borderId="10" xfId="0" applyNumberFormat="1" applyFill="1" applyBorder="1"/>
    <xf numFmtId="4" fontId="0" fillId="30" borderId="42" xfId="0" applyNumberFormat="1" applyFill="1" applyBorder="1"/>
    <xf numFmtId="4" fontId="0" fillId="30" borderId="25" xfId="0" applyNumberFormat="1" applyFill="1" applyBorder="1"/>
    <xf numFmtId="4" fontId="71" fillId="30" borderId="25" xfId="0" applyNumberFormat="1" applyFont="1" applyFill="1" applyBorder="1"/>
    <xf numFmtId="4" fontId="0" fillId="30" borderId="27" xfId="0" applyNumberFormat="1" applyFill="1" applyBorder="1"/>
    <xf numFmtId="172" fontId="0" fillId="30" borderId="19" xfId="0" applyNumberFormat="1" applyFill="1" applyBorder="1" applyAlignment="1">
      <alignment vertical="top"/>
    </xf>
    <xf numFmtId="49" fontId="0" fillId="30" borderId="14" xfId="0" applyNumberFormat="1" applyFill="1" applyBorder="1" applyAlignment="1">
      <alignment vertical="top"/>
    </xf>
    <xf numFmtId="4" fontId="0" fillId="30" borderId="14" xfId="0" applyNumberFormat="1" applyFill="1" applyBorder="1" applyAlignment="1">
      <alignment vertical="top"/>
    </xf>
    <xf numFmtId="0" fontId="0" fillId="30" borderId="14" xfId="0" applyFill="1" applyBorder="1"/>
    <xf numFmtId="0" fontId="0" fillId="30" borderId="76" xfId="0" applyFill="1" applyBorder="1"/>
    <xf numFmtId="4" fontId="0" fillId="30" borderId="61" xfId="0" applyNumberFormat="1" applyFill="1" applyBorder="1"/>
    <xf numFmtId="4" fontId="0" fillId="30" borderId="11" xfId="0" applyNumberFormat="1" applyFill="1" applyBorder="1"/>
    <xf numFmtId="4" fontId="0" fillId="30" borderId="21" xfId="0" applyNumberFormat="1" applyFill="1" applyBorder="1"/>
    <xf numFmtId="4" fontId="0" fillId="30" borderId="14" xfId="0" applyNumberFormat="1" applyFill="1" applyBorder="1"/>
    <xf numFmtId="4" fontId="71" fillId="30" borderId="14" xfId="0" applyNumberFormat="1" applyFont="1" applyFill="1" applyBorder="1"/>
    <xf numFmtId="4" fontId="0" fillId="30" borderId="44" xfId="0" applyNumberFormat="1" applyFill="1" applyBorder="1"/>
    <xf numFmtId="172" fontId="0" fillId="31" borderId="23" xfId="0" applyNumberFormat="1" applyFill="1" applyBorder="1" applyAlignment="1">
      <alignment vertical="top"/>
    </xf>
    <xf numFmtId="49" fontId="0" fillId="31" borderId="25" xfId="0" applyNumberFormat="1" applyFill="1" applyBorder="1" applyAlignment="1">
      <alignment vertical="top"/>
    </xf>
    <xf numFmtId="4" fontId="0" fillId="31" borderId="25" xfId="0" applyNumberFormat="1" applyFill="1" applyBorder="1" applyAlignment="1">
      <alignment vertical="top"/>
    </xf>
    <xf numFmtId="0" fontId="0" fillId="31" borderId="25" xfId="0" applyFill="1" applyBorder="1"/>
    <xf numFmtId="0" fontId="0" fillId="31" borderId="26" xfId="0" applyFill="1" applyBorder="1"/>
    <xf numFmtId="4" fontId="0" fillId="31" borderId="17" xfId="0" applyNumberFormat="1" applyFill="1" applyBorder="1"/>
    <xf numFmtId="4" fontId="0" fillId="31" borderId="10" xfId="0" applyNumberFormat="1" applyFill="1" applyBorder="1"/>
    <xf numFmtId="4" fontId="0" fillId="31" borderId="42" xfId="0" applyNumberFormat="1" applyFill="1" applyBorder="1"/>
    <xf numFmtId="4" fontId="0" fillId="31" borderId="25" xfId="0" applyNumberFormat="1" applyFill="1" applyBorder="1"/>
    <xf numFmtId="4" fontId="71" fillId="31" borderId="25" xfId="0" applyNumberFormat="1" applyFont="1" applyFill="1" applyBorder="1"/>
    <xf numFmtId="4" fontId="0" fillId="31" borderId="27" xfId="0" applyNumberFormat="1" applyFill="1" applyBorder="1"/>
    <xf numFmtId="172" fontId="0" fillId="31" borderId="19" xfId="0" applyNumberFormat="1" applyFill="1" applyBorder="1" applyAlignment="1">
      <alignment vertical="top"/>
    </xf>
    <xf numFmtId="49" fontId="0" fillId="31" borderId="14" xfId="0" applyNumberFormat="1" applyFill="1" applyBorder="1" applyAlignment="1">
      <alignment vertical="top"/>
    </xf>
    <xf numFmtId="4" fontId="0" fillId="31" borderId="14" xfId="0" applyNumberFormat="1" applyFill="1" applyBorder="1" applyAlignment="1">
      <alignment vertical="top"/>
    </xf>
    <xf numFmtId="0" fontId="0" fillId="31" borderId="14" xfId="0" applyFill="1" applyBorder="1"/>
    <xf numFmtId="0" fontId="0" fillId="31" borderId="76" xfId="0" applyFill="1" applyBorder="1"/>
    <xf numFmtId="4" fontId="0" fillId="31" borderId="61" xfId="0" applyNumberFormat="1" applyFill="1" applyBorder="1"/>
    <xf numFmtId="4" fontId="0" fillId="31" borderId="11" xfId="0" applyNumberFormat="1" applyFill="1" applyBorder="1"/>
    <xf numFmtId="4" fontId="0" fillId="31" borderId="21" xfId="0" applyNumberFormat="1" applyFill="1" applyBorder="1"/>
    <xf numFmtId="4" fontId="0" fillId="31" borderId="14" xfId="0" applyNumberFormat="1" applyFill="1" applyBorder="1"/>
    <xf numFmtId="4" fontId="71" fillId="31" borderId="14" xfId="0" applyNumberFormat="1" applyFont="1" applyFill="1" applyBorder="1"/>
    <xf numFmtId="4" fontId="0" fillId="31" borderId="44" xfId="0" applyNumberFormat="1" applyFill="1" applyBorder="1"/>
    <xf numFmtId="4" fontId="0" fillId="24" borderId="44" xfId="0" applyNumberFormat="1" applyFill="1" applyBorder="1"/>
    <xf numFmtId="172" fontId="0" fillId="32" borderId="19" xfId="0" applyNumberFormat="1" applyFill="1" applyBorder="1" applyAlignment="1">
      <alignment vertical="top"/>
    </xf>
    <xf numFmtId="49" fontId="0" fillId="32" borderId="14" xfId="0" applyNumberFormat="1" applyFill="1" applyBorder="1" applyAlignment="1">
      <alignment vertical="top"/>
    </xf>
    <xf numFmtId="4" fontId="0" fillId="32" borderId="14" xfId="0" applyNumberFormat="1" applyFill="1" applyBorder="1" applyAlignment="1">
      <alignment vertical="top"/>
    </xf>
    <xf numFmtId="0" fontId="0" fillId="32" borderId="14" xfId="0" applyFill="1" applyBorder="1"/>
    <xf numFmtId="0" fontId="0" fillId="32" borderId="76" xfId="0" applyFill="1" applyBorder="1"/>
    <xf numFmtId="4" fontId="0" fillId="32" borderId="61" xfId="0" applyNumberFormat="1" applyFill="1" applyBorder="1"/>
    <xf numFmtId="4" fontId="0" fillId="32" borderId="11" xfId="0" applyNumberFormat="1" applyFill="1" applyBorder="1"/>
    <xf numFmtId="4" fontId="0" fillId="32" borderId="21" xfId="0" applyNumberFormat="1" applyFill="1" applyBorder="1"/>
    <xf numFmtId="4" fontId="0" fillId="32" borderId="14" xfId="0" applyNumberFormat="1" applyFill="1" applyBorder="1"/>
    <xf numFmtId="4" fontId="71" fillId="32" borderId="14" xfId="0" applyNumberFormat="1" applyFont="1" applyFill="1" applyBorder="1"/>
    <xf numFmtId="4" fontId="0" fillId="32" borderId="44" xfId="0" applyNumberFormat="1" applyFill="1" applyBorder="1"/>
    <xf numFmtId="0" fontId="0" fillId="32" borderId="0" xfId="0" applyFill="1"/>
    <xf numFmtId="0" fontId="16" fillId="30" borderId="0" xfId="0" applyFont="1" applyFill="1"/>
    <xf numFmtId="0" fontId="16" fillId="17" borderId="0" xfId="0" applyFont="1" applyFill="1"/>
    <xf numFmtId="0" fontId="16" fillId="28" borderId="0" xfId="0" applyFont="1" applyFill="1"/>
    <xf numFmtId="0" fontId="16" fillId="29" borderId="0" xfId="0" applyFont="1" applyFill="1"/>
    <xf numFmtId="0" fontId="16" fillId="33" borderId="0" xfId="0" applyFont="1" applyFill="1"/>
    <xf numFmtId="0" fontId="16" fillId="9" borderId="0" xfId="0" applyFont="1" applyFill="1"/>
    <xf numFmtId="0" fontId="16" fillId="34" borderId="0" xfId="0" applyFont="1" applyFill="1"/>
    <xf numFmtId="0" fontId="16" fillId="35" borderId="0" xfId="0" applyFont="1" applyFill="1"/>
    <xf numFmtId="49" fontId="16" fillId="0" borderId="0" xfId="0" applyNumberFormat="1" applyFont="1" applyFill="1" applyBorder="1" applyAlignment="1">
      <alignment vertical="top"/>
    </xf>
    <xf numFmtId="4" fontId="0" fillId="30" borderId="0" xfId="0" applyNumberFormat="1" applyFill="1"/>
    <xf numFmtId="4" fontId="0" fillId="17" borderId="0" xfId="0" applyNumberFormat="1" applyFill="1"/>
    <xf numFmtId="4" fontId="0" fillId="28" borderId="0" xfId="0" applyNumberFormat="1" applyFill="1"/>
    <xf numFmtId="4" fontId="0" fillId="29" borderId="0" xfId="0" applyNumberFormat="1" applyFill="1"/>
    <xf numFmtId="4" fontId="0" fillId="33" borderId="0" xfId="0" applyNumberFormat="1" applyFill="1"/>
    <xf numFmtId="4" fontId="0" fillId="9" borderId="0" xfId="0" applyNumberFormat="1" applyFill="1"/>
    <xf numFmtId="4" fontId="0" fillId="34" borderId="0" xfId="0" applyNumberFormat="1" applyFill="1"/>
    <xf numFmtId="4" fontId="0" fillId="35" borderId="0" xfId="0" applyNumberFormat="1" applyFill="1"/>
    <xf numFmtId="0" fontId="0" fillId="28" borderId="0" xfId="0" applyFill="1"/>
    <xf numFmtId="0" fontId="0" fillId="29" borderId="0" xfId="0" applyFill="1"/>
    <xf numFmtId="0" fontId="0" fillId="35" borderId="0" xfId="0" applyFill="1"/>
    <xf numFmtId="3" fontId="0" fillId="30" borderId="0" xfId="0" applyNumberFormat="1" applyFill="1"/>
    <xf numFmtId="3" fontId="0" fillId="17" borderId="0" xfId="0" applyNumberFormat="1" applyFill="1"/>
    <xf numFmtId="3" fontId="0" fillId="4" borderId="0" xfId="0" applyNumberFormat="1" applyFill="1"/>
    <xf numFmtId="3" fontId="0" fillId="28" borderId="0" xfId="0" applyNumberFormat="1" applyFill="1"/>
    <xf numFmtId="3" fontId="0" fillId="29" borderId="0" xfId="0" applyNumberFormat="1" applyFill="1"/>
    <xf numFmtId="3" fontId="0" fillId="33" borderId="0" xfId="0" applyNumberFormat="1" applyFill="1"/>
    <xf numFmtId="3" fontId="0" fillId="9" borderId="0" xfId="0" applyNumberFormat="1" applyFill="1"/>
    <xf numFmtId="3" fontId="0" fillId="34" borderId="0" xfId="0" applyNumberFormat="1" applyFill="1"/>
    <xf numFmtId="3" fontId="0" fillId="35" borderId="0" xfId="0" applyNumberFormat="1" applyFill="1"/>
    <xf numFmtId="49" fontId="16" fillId="4" borderId="0" xfId="0" applyNumberFormat="1" applyFont="1" applyFill="1" applyBorder="1" applyAlignment="1">
      <alignment vertical="top"/>
    </xf>
    <xf numFmtId="4" fontId="25" fillId="4" borderId="14" xfId="0" applyNumberFormat="1" applyFont="1" applyFill="1" applyBorder="1" applyAlignment="1">
      <alignment vertical="top"/>
    </xf>
    <xf numFmtId="4" fontId="25" fillId="4" borderId="25" xfId="0" applyNumberFormat="1" applyFont="1" applyFill="1" applyBorder="1" applyAlignment="1">
      <alignment vertical="top"/>
    </xf>
    <xf numFmtId="4" fontId="25" fillId="28" borderId="14" xfId="0" applyNumberFormat="1" applyFont="1" applyFill="1" applyBorder="1" applyAlignment="1">
      <alignment vertical="top"/>
    </xf>
    <xf numFmtId="4" fontId="25" fillId="29" borderId="25" xfId="0" applyNumberFormat="1" applyFont="1" applyFill="1" applyBorder="1" applyAlignment="1">
      <alignment vertical="top"/>
    </xf>
    <xf numFmtId="4" fontId="25" fillId="29" borderId="14" xfId="0" applyNumberFormat="1" applyFont="1" applyFill="1" applyBorder="1" applyAlignment="1">
      <alignment vertical="top"/>
    </xf>
    <xf numFmtId="4" fontId="25" fillId="17" borderId="25" xfId="0" applyNumberFormat="1" applyFont="1" applyFill="1" applyBorder="1" applyAlignment="1">
      <alignment vertical="top"/>
    </xf>
    <xf numFmtId="4" fontId="25" fillId="17" borderId="14" xfId="0" applyNumberFormat="1" applyFont="1" applyFill="1" applyBorder="1" applyAlignment="1">
      <alignment vertical="top"/>
    </xf>
    <xf numFmtId="4" fontId="25" fillId="9" borderId="25" xfId="0" applyNumberFormat="1" applyFont="1" applyFill="1" applyBorder="1" applyAlignment="1">
      <alignment vertical="top"/>
    </xf>
    <xf numFmtId="4" fontId="25" fillId="9" borderId="14" xfId="0" applyNumberFormat="1" applyFont="1" applyFill="1" applyBorder="1" applyAlignment="1">
      <alignment vertical="top"/>
    </xf>
    <xf numFmtId="4" fontId="25" fillId="26" borderId="14" xfId="0" applyNumberFormat="1" applyFont="1" applyFill="1" applyBorder="1" applyAlignment="1">
      <alignment vertical="top"/>
    </xf>
    <xf numFmtId="4" fontId="25" fillId="30" borderId="25" xfId="0" applyNumberFormat="1" applyFont="1" applyFill="1" applyBorder="1" applyAlignment="1">
      <alignment vertical="top"/>
    </xf>
    <xf numFmtId="4" fontId="25" fillId="30" borderId="14" xfId="0" applyNumberFormat="1" applyFont="1" applyFill="1" applyBorder="1" applyAlignment="1">
      <alignment vertical="top"/>
    </xf>
    <xf numFmtId="4" fontId="25" fillId="31" borderId="25" xfId="0" applyNumberFormat="1" applyFont="1" applyFill="1" applyBorder="1" applyAlignment="1">
      <alignment vertical="top"/>
    </xf>
    <xf numFmtId="4" fontId="25" fillId="31" borderId="14" xfId="0" applyNumberFormat="1" applyFont="1" applyFill="1" applyBorder="1" applyAlignment="1">
      <alignment vertical="top"/>
    </xf>
    <xf numFmtId="4" fontId="25" fillId="32" borderId="14" xfId="0" applyNumberFormat="1" applyFont="1" applyFill="1" applyBorder="1" applyAlignment="1">
      <alignment vertical="top"/>
    </xf>
    <xf numFmtId="4" fontId="0" fillId="4" borderId="0" xfId="0" applyNumberFormat="1" applyFont="1" applyFill="1"/>
    <xf numFmtId="0" fontId="0" fillId="4" borderId="0" xfId="0" applyFont="1" applyFill="1"/>
    <xf numFmtId="3" fontId="0" fillId="4" borderId="0" xfId="0" applyNumberFormat="1" applyFont="1" applyFill="1"/>
    <xf numFmtId="3" fontId="25" fillId="4" borderId="68" xfId="11" applyNumberFormat="1" applyFont="1" applyFill="1" applyBorder="1"/>
    <xf numFmtId="3" fontId="25" fillId="4" borderId="55" xfId="11" applyNumberFormat="1" applyFont="1" applyFill="1" applyBorder="1"/>
    <xf numFmtId="3" fontId="25" fillId="4" borderId="47" xfId="11" applyNumberFormat="1" applyFont="1" applyFill="1" applyBorder="1"/>
    <xf numFmtId="3" fontId="18" fillId="36" borderId="17" xfId="11" applyNumberFormat="1" applyFont="1" applyFill="1" applyBorder="1"/>
    <xf numFmtId="3" fontId="18" fillId="36" borderId="16" xfId="11" applyNumberFormat="1" applyFont="1" applyFill="1" applyBorder="1"/>
    <xf numFmtId="3" fontId="18" fillId="36" borderId="61" xfId="11" applyNumberFormat="1" applyFont="1" applyFill="1" applyBorder="1"/>
    <xf numFmtId="3" fontId="18" fillId="36" borderId="11" xfId="11" applyNumberFormat="1" applyFont="1" applyFill="1" applyBorder="1"/>
    <xf numFmtId="3" fontId="24" fillId="8" borderId="32" xfId="11" applyNumberFormat="1" applyFont="1" applyFill="1" applyBorder="1"/>
    <xf numFmtId="3" fontId="24" fillId="8" borderId="34" xfId="11" applyNumberFormat="1" applyFont="1" applyFill="1" applyBorder="1"/>
    <xf numFmtId="3" fontId="24" fillId="36" borderId="32" xfId="11" applyNumberFormat="1" applyFont="1" applyFill="1" applyBorder="1"/>
    <xf numFmtId="3" fontId="24" fillId="36" borderId="34" xfId="11" applyNumberFormat="1" applyFont="1" applyFill="1" applyBorder="1"/>
    <xf numFmtId="3" fontId="24" fillId="36" borderId="46" xfId="11" applyNumberFormat="1" applyFont="1" applyFill="1" applyBorder="1"/>
    <xf numFmtId="0" fontId="34" fillId="0" borderId="14" xfId="0" applyFont="1" applyBorder="1" applyAlignment="1">
      <alignment horizontal="right"/>
    </xf>
    <xf numFmtId="0" fontId="30" fillId="0" borderId="14" xfId="0" applyFont="1" applyBorder="1" applyAlignment="1">
      <alignment horizontal="center"/>
    </xf>
    <xf numFmtId="3" fontId="34" fillId="0" borderId="14" xfId="0" applyNumberFormat="1" applyFont="1" applyBorder="1"/>
    <xf numFmtId="0" fontId="28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3" fontId="28" fillId="0" borderId="14" xfId="0" applyNumberFormat="1" applyFont="1" applyBorder="1"/>
    <xf numFmtId="0" fontId="34" fillId="0" borderId="25" xfId="0" applyFont="1" applyBorder="1" applyAlignment="1">
      <alignment horizontal="right"/>
    </xf>
    <xf numFmtId="0" fontId="30" fillId="0" borderId="25" xfId="0" applyFont="1" applyBorder="1" applyAlignment="1">
      <alignment horizontal="center"/>
    </xf>
    <xf numFmtId="3" fontId="34" fillId="0" borderId="25" xfId="0" applyNumberFormat="1" applyFont="1" applyBorder="1"/>
    <xf numFmtId="0" fontId="21" fillId="0" borderId="14" xfId="0" applyFont="1" applyBorder="1"/>
    <xf numFmtId="0" fontId="28" fillId="0" borderId="24" xfId="0" applyFont="1" applyBorder="1" applyAlignment="1">
      <alignment horizontal="right"/>
    </xf>
    <xf numFmtId="0" fontId="21" fillId="0" borderId="24" xfId="0" applyFont="1" applyBorder="1" applyAlignment="1">
      <alignment horizontal="center"/>
    </xf>
    <xf numFmtId="3" fontId="28" fillId="0" borderId="24" xfId="0" applyNumberFormat="1" applyFont="1" applyBorder="1"/>
    <xf numFmtId="0" fontId="28" fillId="4" borderId="14" xfId="0" applyFont="1" applyFill="1" applyBorder="1" applyAlignment="1">
      <alignment horizontal="right"/>
    </xf>
    <xf numFmtId="0" fontId="21" fillId="4" borderId="14" xfId="0" applyFont="1" applyFill="1" applyBorder="1" applyAlignment="1">
      <alignment horizontal="center"/>
    </xf>
    <xf numFmtId="3" fontId="28" fillId="4" borderId="14" xfId="0" applyNumberFormat="1" applyFont="1" applyFill="1" applyBorder="1"/>
    <xf numFmtId="0" fontId="28" fillId="0" borderId="14" xfId="0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25" xfId="0" applyFont="1" applyBorder="1"/>
    <xf numFmtId="0" fontId="21" fillId="0" borderId="25" xfId="0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28" fillId="4" borderId="0" xfId="0" applyFont="1" applyFill="1" applyBorder="1"/>
    <xf numFmtId="0" fontId="21" fillId="4" borderId="46" xfId="0" applyFont="1" applyFill="1" applyBorder="1"/>
    <xf numFmtId="0" fontId="21" fillId="4" borderId="46" xfId="0" applyFont="1" applyFill="1" applyBorder="1" applyAlignment="1">
      <alignment horizontal="center"/>
    </xf>
    <xf numFmtId="3" fontId="21" fillId="4" borderId="37" xfId="0" applyNumberFormat="1" applyFont="1" applyFill="1" applyBorder="1"/>
    <xf numFmtId="0" fontId="21" fillId="9" borderId="46" xfId="0" applyFont="1" applyFill="1" applyBorder="1"/>
    <xf numFmtId="0" fontId="21" fillId="9" borderId="46" xfId="0" applyFont="1" applyFill="1" applyBorder="1" applyAlignment="1">
      <alignment horizontal="center"/>
    </xf>
    <xf numFmtId="3" fontId="21" fillId="9" borderId="37" xfId="0" applyNumberFormat="1" applyFont="1" applyFill="1" applyBorder="1"/>
    <xf numFmtId="0" fontId="34" fillId="0" borderId="0" xfId="0" applyFont="1" applyAlignment="1">
      <alignment vertical="center"/>
    </xf>
    <xf numFmtId="0" fontId="34" fillId="0" borderId="14" xfId="0" applyFont="1" applyBorder="1" applyAlignment="1">
      <alignment horizontal="right" vertical="center"/>
    </xf>
    <xf numFmtId="0" fontId="30" fillId="0" borderId="14" xfId="0" applyFont="1" applyBorder="1" applyAlignment="1">
      <alignment horizontal="center" vertical="center"/>
    </xf>
    <xf numFmtId="3" fontId="34" fillId="0" borderId="14" xfId="0" applyNumberFormat="1" applyFont="1" applyBorder="1" applyAlignment="1">
      <alignment vertical="center"/>
    </xf>
    <xf numFmtId="0" fontId="34" fillId="0" borderId="24" xfId="0" applyFont="1" applyBorder="1" applyAlignment="1">
      <alignment horizontal="right"/>
    </xf>
    <xf numFmtId="0" fontId="30" fillId="0" borderId="24" xfId="0" applyFont="1" applyBorder="1" applyAlignment="1">
      <alignment horizontal="center"/>
    </xf>
    <xf numFmtId="3" fontId="34" fillId="0" borderId="24" xfId="0" applyNumberFormat="1" applyFont="1" applyBorder="1"/>
    <xf numFmtId="0" fontId="28" fillId="0" borderId="47" xfId="0" applyFont="1" applyBorder="1"/>
    <xf numFmtId="3" fontId="40" fillId="0" borderId="0" xfId="0" applyNumberFormat="1" applyFont="1" applyAlignment="1">
      <alignment horizontal="center"/>
    </xf>
    <xf numFmtId="173" fontId="0" fillId="0" borderId="0" xfId="1" applyNumberFormat="1" applyFont="1"/>
    <xf numFmtId="173" fontId="40" fillId="0" borderId="0" xfId="1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37" borderId="2" xfId="0" applyFill="1" applyBorder="1"/>
    <xf numFmtId="0" fontId="0" fillId="37" borderId="30" xfId="0" applyFill="1" applyBorder="1"/>
    <xf numFmtId="0" fontId="0" fillId="37" borderId="5" xfId="0" applyFill="1" applyBorder="1"/>
    <xf numFmtId="0" fontId="0" fillId="37" borderId="6" xfId="0" applyFill="1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Fill="1" applyBorder="1"/>
    <xf numFmtId="0" fontId="0" fillId="0" borderId="62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10" xfId="0" applyFill="1" applyBorder="1"/>
    <xf numFmtId="0" fontId="0" fillId="0" borderId="26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/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17" fillId="14" borderId="0" xfId="0" applyFont="1" applyFill="1"/>
    <xf numFmtId="0" fontId="16" fillId="14" borderId="0" xfId="0" applyFont="1" applyFill="1"/>
    <xf numFmtId="0" fontId="0" fillId="0" borderId="3" xfId="0" applyBorder="1"/>
    <xf numFmtId="4" fontId="25" fillId="0" borderId="0" xfId="3" applyNumberFormat="1" applyFont="1"/>
    <xf numFmtId="3" fontId="30" fillId="0" borderId="37" xfId="0" applyNumberFormat="1" applyFont="1" applyBorder="1" applyAlignment="1">
      <alignment horizontal="center" vertical="center" wrapText="1"/>
    </xf>
    <xf numFmtId="0" fontId="18" fillId="10" borderId="0" xfId="0" applyFont="1" applyFill="1"/>
    <xf numFmtId="0" fontId="18" fillId="10" borderId="0" xfId="6" applyFont="1" applyFill="1"/>
    <xf numFmtId="0" fontId="24" fillId="10" borderId="0" xfId="0" applyFont="1" applyFill="1"/>
    <xf numFmtId="0" fontId="41" fillId="10" borderId="0" xfId="0" applyFont="1" applyFill="1"/>
    <xf numFmtId="3" fontId="24" fillId="10" borderId="0" xfId="0" applyNumberFormat="1" applyFont="1" applyFill="1"/>
    <xf numFmtId="0" fontId="29" fillId="10" borderId="0" xfId="0" applyFont="1" applyFill="1"/>
    <xf numFmtId="0" fontId="31" fillId="10" borderId="0" xfId="0" applyFont="1" applyFill="1" applyAlignment="1">
      <alignment vertical="center"/>
    </xf>
    <xf numFmtId="0" fontId="21" fillId="10" borderId="0" xfId="0" applyFont="1" applyFill="1"/>
    <xf numFmtId="0" fontId="20" fillId="10" borderId="0" xfId="0" applyFont="1" applyFill="1" applyAlignment="1">
      <alignment horizontal="center"/>
    </xf>
    <xf numFmtId="0" fontId="18" fillId="10" borderId="0" xfId="0" applyFont="1" applyFill="1" applyAlignment="1">
      <alignment wrapText="1"/>
    </xf>
    <xf numFmtId="3" fontId="20" fillId="10" borderId="0" xfId="0" applyNumberFormat="1" applyFont="1" applyFill="1"/>
    <xf numFmtId="3" fontId="18" fillId="10" borderId="0" xfId="0" applyNumberFormat="1" applyFont="1" applyFill="1"/>
    <xf numFmtId="0" fontId="22" fillId="10" borderId="0" xfId="0" applyFont="1" applyFill="1"/>
    <xf numFmtId="4" fontId="18" fillId="10" borderId="0" xfId="0" applyNumberFormat="1" applyFont="1" applyFill="1"/>
    <xf numFmtId="0" fontId="35" fillId="10" borderId="0" xfId="0" applyFont="1" applyFill="1" applyAlignment="1">
      <alignment wrapText="1"/>
    </xf>
    <xf numFmtId="3" fontId="36" fillId="10" borderId="0" xfId="0" applyNumberFormat="1" applyFont="1" applyFill="1"/>
    <xf numFmtId="164" fontId="38" fillId="10" borderId="0" xfId="0" applyNumberFormat="1" applyFont="1" applyFill="1"/>
    <xf numFmtId="0" fontId="18" fillId="10" borderId="0" xfId="0" applyFont="1" applyFill="1" applyAlignment="1">
      <alignment horizontal="center"/>
    </xf>
    <xf numFmtId="3" fontId="22" fillId="10" borderId="0" xfId="0" applyNumberFormat="1" applyFont="1" applyFill="1"/>
    <xf numFmtId="4" fontId="18" fillId="10" borderId="0" xfId="0" applyNumberFormat="1" applyFont="1" applyFill="1" applyAlignment="1">
      <alignment horizontal="center"/>
    </xf>
    <xf numFmtId="0" fontId="20" fillId="10" borderId="0" xfId="0" applyFont="1" applyFill="1"/>
    <xf numFmtId="0" fontId="18" fillId="10" borderId="0" xfId="0" applyFont="1" applyFill="1" applyAlignment="1">
      <alignment horizontal="right"/>
    </xf>
    <xf numFmtId="0" fontId="22" fillId="10" borderId="0" xfId="0" applyFont="1" applyFill="1" applyAlignment="1">
      <alignment horizontal="center"/>
    </xf>
    <xf numFmtId="3" fontId="33" fillId="10" borderId="0" xfId="0" applyNumberFormat="1" applyFont="1" applyFill="1"/>
    <xf numFmtId="10" fontId="33" fillId="10" borderId="0" xfId="9" applyNumberFormat="1" applyFont="1" applyFill="1"/>
    <xf numFmtId="4" fontId="22" fillId="10" borderId="0" xfId="0" applyNumberFormat="1" applyFont="1" applyFill="1"/>
    <xf numFmtId="4" fontId="22" fillId="10" borderId="0" xfId="0" applyNumberFormat="1" applyFont="1" applyFill="1" applyAlignment="1">
      <alignment horizontal="center"/>
    </xf>
    <xf numFmtId="0" fontId="28" fillId="10" borderId="0" xfId="0" applyFont="1" applyFill="1"/>
    <xf numFmtId="3" fontId="60" fillId="10" borderId="0" xfId="0" applyNumberFormat="1" applyFont="1" applyFill="1"/>
    <xf numFmtId="0" fontId="34" fillId="10" borderId="0" xfId="0" applyFont="1" applyFill="1"/>
    <xf numFmtId="0" fontId="28" fillId="10" borderId="0" xfId="0" applyFont="1" applyFill="1" applyAlignment="1">
      <alignment vertical="center"/>
    </xf>
    <xf numFmtId="0" fontId="30" fillId="10" borderId="0" xfId="0" applyFont="1" applyFill="1"/>
    <xf numFmtId="0" fontId="21" fillId="10" borderId="0" xfId="0" applyFont="1" applyFill="1" applyAlignment="1">
      <alignment horizontal="center"/>
    </xf>
    <xf numFmtId="3" fontId="28" fillId="10" borderId="0" xfId="0" applyNumberFormat="1" applyFont="1" applyFill="1"/>
    <xf numFmtId="43" fontId="28" fillId="10" borderId="0" xfId="1" applyFont="1" applyFill="1"/>
    <xf numFmtId="43" fontId="21" fillId="4" borderId="0" xfId="1" applyFont="1" applyFill="1"/>
    <xf numFmtId="0" fontId="22" fillId="10" borderId="0" xfId="6" applyFont="1" applyFill="1"/>
    <xf numFmtId="0" fontId="18" fillId="10" borderId="0" xfId="7" applyFont="1" applyFill="1"/>
    <xf numFmtId="0" fontId="19" fillId="10" borderId="0" xfId="6" applyFont="1" applyFill="1"/>
    <xf numFmtId="0" fontId="26" fillId="10" borderId="0" xfId="6" applyFont="1" applyFill="1"/>
    <xf numFmtId="0" fontId="18" fillId="10" borderId="0" xfId="8" applyFont="1" applyFill="1"/>
    <xf numFmtId="0" fontId="27" fillId="10" borderId="0" xfId="8" applyFont="1" applyFill="1"/>
    <xf numFmtId="0" fontId="28" fillId="10" borderId="0" xfId="8" applyFont="1" applyFill="1"/>
    <xf numFmtId="0" fontId="20" fillId="10" borderId="0" xfId="8" applyFont="1" applyFill="1" applyAlignment="1"/>
    <xf numFmtId="0" fontId="33" fillId="10" borderId="0" xfId="8" applyFont="1" applyFill="1" applyAlignment="1"/>
    <xf numFmtId="0" fontId="18" fillId="10" borderId="0" xfId="8" applyFont="1" applyFill="1" applyAlignment="1"/>
    <xf numFmtId="0" fontId="21" fillId="10" borderId="0" xfId="8" applyFont="1" applyFill="1"/>
    <xf numFmtId="0" fontId="18" fillId="10" borderId="0" xfId="8" applyFont="1" applyFill="1" applyAlignment="1">
      <alignment horizontal="center"/>
    </xf>
    <xf numFmtId="3" fontId="18" fillId="10" borderId="0" xfId="8" applyNumberFormat="1" applyFont="1" applyFill="1"/>
    <xf numFmtId="0" fontId="22" fillId="10" borderId="0" xfId="8" applyFont="1" applyFill="1"/>
    <xf numFmtId="0" fontId="21" fillId="3" borderId="32" xfId="0" applyFont="1" applyFill="1" applyBorder="1" applyAlignment="1">
      <alignment horizontal="left" wrapText="1"/>
    </xf>
    <xf numFmtId="0" fontId="20" fillId="4" borderId="68" xfId="8" applyFont="1" applyFill="1" applyBorder="1" applyAlignment="1">
      <alignment horizontal="left"/>
    </xf>
    <xf numFmtId="0" fontId="16" fillId="10" borderId="0" xfId="0" applyFont="1" applyFill="1"/>
    <xf numFmtId="3" fontId="16" fillId="10" borderId="0" xfId="0" applyNumberFormat="1" applyFont="1" applyFill="1"/>
    <xf numFmtId="0" fontId="75" fillId="10" borderId="0" xfId="0" applyFont="1" applyFill="1"/>
    <xf numFmtId="3" fontId="75" fillId="10" borderId="0" xfId="0" applyNumberFormat="1" applyFont="1" applyFill="1"/>
    <xf numFmtId="3" fontId="75" fillId="10" borderId="0" xfId="0" applyNumberFormat="1" applyFont="1" applyFill="1" applyAlignment="1">
      <alignment horizontal="center"/>
    </xf>
    <xf numFmtId="0" fontId="43" fillId="10" borderId="0" xfId="0" applyFont="1" applyFill="1" applyAlignment="1">
      <alignment horizontal="right"/>
    </xf>
    <xf numFmtId="3" fontId="43" fillId="10" borderId="0" xfId="0" applyNumberFormat="1" applyFont="1" applyFill="1"/>
    <xf numFmtId="0" fontId="43" fillId="10" borderId="0" xfId="0" applyFont="1" applyFill="1"/>
    <xf numFmtId="0" fontId="75" fillId="10" borderId="0" xfId="0" applyFont="1" applyFill="1" applyAlignment="1">
      <alignment horizontal="left"/>
    </xf>
    <xf numFmtId="0" fontId="18" fillId="10" borderId="0" xfId="0" applyFont="1" applyFill="1" applyBorder="1"/>
    <xf numFmtId="0" fontId="75" fillId="10" borderId="0" xfId="0" applyFont="1" applyFill="1" applyAlignment="1">
      <alignment horizontal="center"/>
    </xf>
    <xf numFmtId="1" fontId="77" fillId="38" borderId="83" xfId="0" applyNumberFormat="1" applyFont="1" applyFill="1" applyBorder="1"/>
    <xf numFmtId="0" fontId="77" fillId="38" borderId="84" xfId="0" applyFont="1" applyFill="1" applyBorder="1"/>
    <xf numFmtId="0" fontId="77" fillId="38" borderId="85" xfId="0" applyFont="1" applyFill="1" applyBorder="1" applyAlignment="1">
      <alignment horizontal="center"/>
    </xf>
    <xf numFmtId="4" fontId="77" fillId="38" borderId="84" xfId="0" applyNumberFormat="1" applyFont="1" applyFill="1" applyBorder="1" applyAlignment="1">
      <alignment horizontal="center"/>
    </xf>
    <xf numFmtId="2" fontId="77" fillId="38" borderId="84" xfId="0" applyNumberFormat="1" applyFont="1" applyFill="1" applyBorder="1" applyAlignment="1">
      <alignment horizontal="center"/>
    </xf>
    <xf numFmtId="0" fontId="77" fillId="38" borderId="84" xfId="0" applyFont="1" applyFill="1" applyBorder="1" applyAlignment="1">
      <alignment horizontal="center"/>
    </xf>
    <xf numFmtId="4" fontId="78" fillId="38" borderId="84" xfId="0" applyNumberFormat="1" applyFont="1" applyFill="1" applyBorder="1" applyAlignment="1">
      <alignment horizontal="center"/>
    </xf>
    <xf numFmtId="4" fontId="79" fillId="38" borderId="82" xfId="0" applyNumberFormat="1" applyFont="1" applyFill="1" applyBorder="1" applyAlignment="1">
      <alignment horizontal="center"/>
    </xf>
    <xf numFmtId="1" fontId="77" fillId="38" borderId="86" xfId="0" applyNumberFormat="1" applyFont="1" applyFill="1" applyBorder="1" applyAlignment="1">
      <alignment horizontal="center"/>
    </xf>
    <xf numFmtId="0" fontId="77" fillId="38" borderId="38" xfId="0" applyFont="1" applyFill="1" applyBorder="1" applyAlignment="1">
      <alignment horizontal="center"/>
    </xf>
    <xf numFmtId="0" fontId="77" fillId="38" borderId="60" xfId="0" applyFont="1" applyFill="1" applyBorder="1" applyAlignment="1">
      <alignment horizontal="center"/>
    </xf>
    <xf numFmtId="4" fontId="77" fillId="38" borderId="38" xfId="0" applyNumberFormat="1" applyFont="1" applyFill="1" applyBorder="1" applyAlignment="1">
      <alignment horizontal="center"/>
    </xf>
    <xf numFmtId="2" fontId="77" fillId="38" borderId="38" xfId="0" applyNumberFormat="1" applyFont="1" applyFill="1" applyBorder="1" applyAlignment="1">
      <alignment horizontal="center"/>
    </xf>
    <xf numFmtId="4" fontId="78" fillId="38" borderId="38" xfId="0" applyNumberFormat="1" applyFont="1" applyFill="1" applyBorder="1" applyAlignment="1">
      <alignment horizontal="center"/>
    </xf>
    <xf numFmtId="1" fontId="77" fillId="38" borderId="87" xfId="0" applyNumberFormat="1" applyFont="1" applyFill="1" applyBorder="1"/>
    <xf numFmtId="0" fontId="77" fillId="38" borderId="88" xfId="0" applyFont="1" applyFill="1" applyBorder="1"/>
    <xf numFmtId="0" fontId="77" fillId="38" borderId="89" xfId="0" applyFont="1" applyFill="1" applyBorder="1" applyAlignment="1">
      <alignment horizontal="center"/>
    </xf>
    <xf numFmtId="4" fontId="77" fillId="38" borderId="88" xfId="0" applyNumberFormat="1" applyFont="1" applyFill="1" applyBorder="1" applyAlignment="1">
      <alignment horizontal="center"/>
    </xf>
    <xf numFmtId="2" fontId="77" fillId="38" borderId="88" xfId="0" applyNumberFormat="1" applyFont="1" applyFill="1" applyBorder="1" applyAlignment="1">
      <alignment horizontal="center"/>
    </xf>
    <xf numFmtId="4" fontId="5" fillId="38" borderId="88" xfId="0" applyNumberFormat="1" applyFont="1" applyFill="1" applyBorder="1" applyAlignment="1">
      <alignment horizontal="center"/>
    </xf>
    <xf numFmtId="0" fontId="77" fillId="38" borderId="88" xfId="0" applyFont="1" applyFill="1" applyBorder="1" applyAlignment="1">
      <alignment horizontal="center"/>
    </xf>
    <xf numFmtId="49" fontId="77" fillId="38" borderId="88" xfId="0" applyNumberFormat="1" applyFont="1" applyFill="1" applyBorder="1" applyAlignment="1">
      <alignment horizontal="center"/>
    </xf>
    <xf numFmtId="49" fontId="77" fillId="38" borderId="90" xfId="0" applyNumberFormat="1" applyFont="1" applyFill="1" applyBorder="1" applyAlignment="1">
      <alignment horizontal="center"/>
    </xf>
    <xf numFmtId="0" fontId="77" fillId="0" borderId="91" xfId="0" applyFont="1" applyBorder="1"/>
    <xf numFmtId="0" fontId="80" fillId="0" borderId="92" xfId="0" applyFont="1" applyBorder="1" applyAlignment="1">
      <alignment horizontal="center"/>
    </xf>
    <xf numFmtId="0" fontId="77" fillId="0" borderId="93" xfId="0" applyFont="1" applyBorder="1" applyAlignment="1">
      <alignment horizontal="center" vertical="center"/>
    </xf>
    <xf numFmtId="1" fontId="77" fillId="38" borderId="92" xfId="0" applyNumberFormat="1" applyFont="1" applyFill="1" applyBorder="1" applyAlignment="1">
      <alignment horizontal="center" vertical="center"/>
    </xf>
    <xf numFmtId="0" fontId="77" fillId="38" borderId="92" xfId="0" applyNumberFormat="1" applyFont="1" applyFill="1" applyBorder="1" applyAlignment="1">
      <alignment horizontal="center" vertical="center"/>
    </xf>
    <xf numFmtId="0" fontId="77" fillId="38" borderId="92" xfId="0" applyFont="1" applyFill="1" applyBorder="1" applyAlignment="1">
      <alignment horizontal="center" vertical="center"/>
    </xf>
    <xf numFmtId="0" fontId="78" fillId="38" borderId="94" xfId="0" applyNumberFormat="1" applyFont="1" applyFill="1" applyBorder="1" applyAlignment="1">
      <alignment horizontal="center" vertical="center"/>
    </xf>
    <xf numFmtId="0" fontId="77" fillId="0" borderId="95" xfId="0" applyFont="1" applyBorder="1"/>
    <xf numFmtId="0" fontId="77" fillId="0" borderId="42" xfId="0" applyNumberFormat="1" applyFont="1" applyBorder="1"/>
    <xf numFmtId="175" fontId="80" fillId="0" borderId="25" xfId="0" applyNumberFormat="1" applyFont="1" applyBorder="1"/>
    <xf numFmtId="175" fontId="77" fillId="0" borderId="25" xfId="0" applyNumberFormat="1" applyFont="1" applyBorder="1"/>
    <xf numFmtId="175" fontId="80" fillId="38" borderId="25" xfId="0" applyNumberFormat="1" applyFont="1" applyFill="1" applyBorder="1"/>
    <xf numFmtId="175" fontId="82" fillId="0" borderId="95" xfId="0" applyNumberFormat="1" applyFont="1" applyBorder="1"/>
    <xf numFmtId="0" fontId="77" fillId="0" borderId="96" xfId="0" applyFont="1" applyBorder="1"/>
    <xf numFmtId="3" fontId="77" fillId="0" borderId="21" xfId="0" applyNumberFormat="1" applyFont="1" applyBorder="1"/>
    <xf numFmtId="175" fontId="80" fillId="0" borderId="14" xfId="0" applyNumberFormat="1" applyFont="1" applyBorder="1"/>
    <xf numFmtId="175" fontId="77" fillId="0" borderId="14" xfId="0" applyNumberFormat="1" applyFont="1" applyBorder="1"/>
    <xf numFmtId="175" fontId="81" fillId="0" borderId="14" xfId="0" applyNumberFormat="1" applyFont="1" applyBorder="1"/>
    <xf numFmtId="175" fontId="80" fillId="38" borderId="14" xfId="0" applyNumberFormat="1" applyFont="1" applyFill="1" applyBorder="1"/>
    <xf numFmtId="175" fontId="82" fillId="0" borderId="96" xfId="0" applyNumberFormat="1" applyFont="1" applyBorder="1"/>
    <xf numFmtId="0" fontId="77" fillId="0" borderId="21" xfId="0" applyNumberFormat="1" applyFont="1" applyBorder="1"/>
    <xf numFmtId="0" fontId="80" fillId="0" borderId="96" xfId="0" applyFont="1" applyBorder="1"/>
    <xf numFmtId="1" fontId="76" fillId="38" borderId="14" xfId="0" applyNumberFormat="1" applyFont="1" applyFill="1" applyBorder="1" applyAlignment="1">
      <alignment horizontal="center"/>
    </xf>
    <xf numFmtId="0" fontId="77" fillId="0" borderId="98" xfId="0" applyFont="1" applyBorder="1"/>
    <xf numFmtId="0" fontId="77" fillId="0" borderId="99" xfId="0" applyNumberFormat="1" applyFont="1" applyBorder="1"/>
    <xf numFmtId="175" fontId="80" fillId="0" borderId="100" xfId="0" applyNumberFormat="1" applyFont="1" applyBorder="1"/>
    <xf numFmtId="175" fontId="77" fillId="0" borderId="100" xfId="0" applyNumberFormat="1" applyFont="1" applyBorder="1"/>
    <xf numFmtId="175" fontId="81" fillId="0" borderId="100" xfId="0" applyNumberFormat="1" applyFont="1" applyBorder="1"/>
    <xf numFmtId="175" fontId="80" fillId="38" borderId="100" xfId="0" applyNumberFormat="1" applyFont="1" applyFill="1" applyBorder="1"/>
    <xf numFmtId="175" fontId="82" fillId="0" borderId="98" xfId="0" applyNumberFormat="1" applyFont="1" applyBorder="1"/>
    <xf numFmtId="49" fontId="77" fillId="0" borderId="97" xfId="0" applyNumberFormat="1" applyFont="1" applyBorder="1"/>
    <xf numFmtId="0" fontId="77" fillId="0" borderId="101" xfId="0" applyFont="1" applyBorder="1"/>
    <xf numFmtId="0" fontId="77" fillId="0" borderId="56" xfId="0" applyNumberFormat="1" applyFont="1" applyBorder="1"/>
    <xf numFmtId="175" fontId="80" fillId="0" borderId="24" xfId="0" applyNumberFormat="1" applyFont="1" applyBorder="1"/>
    <xf numFmtId="175" fontId="77" fillId="0" borderId="24" xfId="0" applyNumberFormat="1" applyFont="1" applyBorder="1"/>
    <xf numFmtId="0" fontId="77" fillId="0" borderId="42" xfId="0" applyFont="1" applyBorder="1" applyAlignment="1">
      <alignment horizontal="right"/>
    </xf>
    <xf numFmtId="49" fontId="77" fillId="0" borderId="21" xfId="0" applyNumberFormat="1" applyFont="1" applyBorder="1" applyAlignment="1">
      <alignment horizontal="right"/>
    </xf>
    <xf numFmtId="49" fontId="77" fillId="0" borderId="56" xfId="0" applyNumberFormat="1" applyFont="1" applyBorder="1" applyAlignment="1">
      <alignment horizontal="right"/>
    </xf>
    <xf numFmtId="10" fontId="80" fillId="0" borderId="25" xfId="9" applyNumberFormat="1" applyFont="1" applyBorder="1"/>
    <xf numFmtId="10" fontId="80" fillId="38" borderId="25" xfId="9" applyNumberFormat="1" applyFont="1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83" fillId="10" borderId="0" xfId="0" applyFont="1" applyFill="1"/>
    <xf numFmtId="49" fontId="85" fillId="10" borderId="0" xfId="0" applyNumberFormat="1" applyFont="1" applyFill="1" applyBorder="1"/>
    <xf numFmtId="49" fontId="83" fillId="10" borderId="0" xfId="0" applyNumberFormat="1" applyFont="1" applyFill="1" applyBorder="1"/>
    <xf numFmtId="49" fontId="86" fillId="10" borderId="0" xfId="0" applyNumberFormat="1" applyFont="1" applyFill="1" applyBorder="1" applyAlignment="1"/>
    <xf numFmtId="1" fontId="85" fillId="10" borderId="0" xfId="0" applyNumberFormat="1" applyFont="1" applyFill="1" applyBorder="1"/>
    <xf numFmtId="49" fontId="86" fillId="10" borderId="0" xfId="0" applyNumberFormat="1" applyFont="1" applyFill="1" applyBorder="1" applyAlignment="1">
      <alignment horizontal="center"/>
    </xf>
    <xf numFmtId="49" fontId="87" fillId="10" borderId="0" xfId="0" applyNumberFormat="1" applyFont="1" applyFill="1" applyBorder="1" applyAlignment="1"/>
    <xf numFmtId="0" fontId="85" fillId="10" borderId="81" xfId="0" applyFont="1" applyFill="1" applyBorder="1"/>
    <xf numFmtId="49" fontId="85" fillId="10" borderId="81" xfId="0" applyNumberFormat="1" applyFont="1" applyFill="1" applyBorder="1"/>
    <xf numFmtId="174" fontId="85" fillId="10" borderId="81" xfId="0" applyNumberFormat="1" applyFont="1" applyFill="1" applyBorder="1"/>
    <xf numFmtId="49" fontId="85" fillId="10" borderId="81" xfId="0" applyNumberFormat="1" applyFont="1" applyFill="1" applyBorder="1" applyAlignment="1">
      <alignment horizontal="center"/>
    </xf>
    <xf numFmtId="49" fontId="85" fillId="10" borderId="81" xfId="0" applyNumberFormat="1" applyFont="1" applyFill="1" applyBorder="1" applyAlignment="1">
      <alignment horizontal="right"/>
    </xf>
    <xf numFmtId="0" fontId="0" fillId="10" borderId="82" xfId="0" applyFill="1" applyBorder="1"/>
    <xf numFmtId="0" fontId="7" fillId="10" borderId="0" xfId="0" applyFont="1" applyFill="1"/>
    <xf numFmtId="3" fontId="7" fillId="10" borderId="0" xfId="0" applyNumberFormat="1" applyFont="1" applyFill="1"/>
    <xf numFmtId="3" fontId="0" fillId="10" borderId="0" xfId="0" applyNumberFormat="1" applyFill="1"/>
    <xf numFmtId="0" fontId="45" fillId="10" borderId="0" xfId="0" applyFont="1" applyFill="1"/>
    <xf numFmtId="0" fontId="0" fillId="10" borderId="0" xfId="0" applyFont="1" applyFill="1"/>
    <xf numFmtId="0" fontId="43" fillId="10" borderId="0" xfId="3" applyFont="1" applyFill="1"/>
    <xf numFmtId="0" fontId="43" fillId="10" borderId="0" xfId="6" applyFont="1" applyFill="1"/>
    <xf numFmtId="0" fontId="43" fillId="10" borderId="0" xfId="7" applyFont="1" applyFill="1"/>
    <xf numFmtId="3" fontId="42" fillId="10" borderId="0" xfId="0" applyNumberFormat="1" applyFont="1" applyFill="1"/>
    <xf numFmtId="0" fontId="63" fillId="10" borderId="0" xfId="0" applyFont="1" applyFill="1"/>
    <xf numFmtId="0" fontId="88" fillId="10" borderId="0" xfId="6" applyFont="1" applyFill="1"/>
    <xf numFmtId="0" fontId="89" fillId="10" borderId="0" xfId="6" applyFont="1" applyFill="1"/>
    <xf numFmtId="49" fontId="43" fillId="10" borderId="0" xfId="7" applyNumberFormat="1" applyFont="1" applyFill="1" applyAlignment="1">
      <alignment horizontal="center"/>
    </xf>
    <xf numFmtId="3" fontId="34" fillId="10" borderId="0" xfId="0" applyNumberFormat="1" applyFont="1" applyFill="1"/>
    <xf numFmtId="0" fontId="2" fillId="5" borderId="11" xfId="0" applyFont="1" applyFill="1" applyBorder="1"/>
    <xf numFmtId="3" fontId="32" fillId="4" borderId="10" xfId="0" applyNumberFormat="1" applyFont="1" applyFill="1" applyBorder="1" applyAlignment="1">
      <alignment vertical="center"/>
    </xf>
    <xf numFmtId="49" fontId="21" fillId="0" borderId="37" xfId="0" applyNumberFormat="1" applyFont="1" applyBorder="1" applyAlignment="1">
      <alignment horizontal="center" vertical="center" wrapText="1"/>
    </xf>
    <xf numFmtId="49" fontId="34" fillId="0" borderId="0" xfId="0" applyNumberFormat="1" applyFont="1"/>
    <xf numFmtId="49" fontId="28" fillId="0" borderId="0" xfId="0" applyNumberFormat="1" applyFont="1" applyAlignment="1">
      <alignment vertical="center"/>
    </xf>
    <xf numFmtId="49" fontId="28" fillId="10" borderId="0" xfId="0" applyNumberFormat="1" applyFont="1" applyFill="1"/>
    <xf numFmtId="49" fontId="30" fillId="0" borderId="0" xfId="0" applyNumberFormat="1" applyFont="1"/>
    <xf numFmtId="49" fontId="28" fillId="0" borderId="0" xfId="0" applyNumberFormat="1" applyFont="1" applyAlignment="1">
      <alignment horizontal="left"/>
    </xf>
    <xf numFmtId="0" fontId="18" fillId="7" borderId="10" xfId="0" applyFont="1" applyFill="1" applyBorder="1" applyAlignment="1">
      <alignment wrapText="1"/>
    </xf>
    <xf numFmtId="3" fontId="18" fillId="7" borderId="10" xfId="8" applyNumberFormat="1" applyFont="1" applyFill="1" applyBorder="1" applyAlignment="1">
      <alignment horizontal="right"/>
    </xf>
    <xf numFmtId="0" fontId="14" fillId="7" borderId="61" xfId="0" applyFont="1" applyFill="1" applyBorder="1" applyAlignment="1">
      <alignment horizontal="center"/>
    </xf>
    <xf numFmtId="49" fontId="18" fillId="9" borderId="10" xfId="8" applyNumberFormat="1" applyFont="1" applyFill="1" applyBorder="1" applyAlignment="1">
      <alignment horizontal="left"/>
    </xf>
    <xf numFmtId="0" fontId="28" fillId="9" borderId="10" xfId="8" applyFont="1" applyFill="1" applyBorder="1"/>
    <xf numFmtId="0" fontId="28" fillId="9" borderId="10" xfId="8" applyFont="1" applyFill="1" applyBorder="1" applyAlignment="1">
      <alignment horizontal="center"/>
    </xf>
    <xf numFmtId="0" fontId="28" fillId="9" borderId="17" xfId="8" applyFont="1" applyFill="1" applyBorder="1" applyAlignment="1">
      <alignment horizontal="center"/>
    </xf>
    <xf numFmtId="3" fontId="18" fillId="9" borderId="10" xfId="8" applyNumberFormat="1" applyFont="1" applyFill="1" applyBorder="1" applyAlignment="1">
      <alignment horizontal="right"/>
    </xf>
    <xf numFmtId="3" fontId="22" fillId="9" borderId="10" xfId="8" applyNumberFormat="1" applyFont="1" applyFill="1" applyBorder="1" applyAlignment="1">
      <alignment horizontal="right"/>
    </xf>
    <xf numFmtId="49" fontId="18" fillId="9" borderId="34" xfId="8" applyNumberFormat="1" applyFont="1" applyFill="1" applyBorder="1" applyAlignment="1">
      <alignment horizontal="left"/>
    </xf>
    <xf numFmtId="0" fontId="28" fillId="9" borderId="34" xfId="8" applyFont="1" applyFill="1" applyBorder="1"/>
    <xf numFmtId="0" fontId="28" fillId="9" borderId="34" xfId="8" applyFont="1" applyFill="1" applyBorder="1" applyAlignment="1">
      <alignment horizontal="center"/>
    </xf>
    <xf numFmtId="0" fontId="28" fillId="9" borderId="32" xfId="8" applyFont="1" applyFill="1" applyBorder="1" applyAlignment="1">
      <alignment horizontal="center"/>
    </xf>
    <xf numFmtId="3" fontId="18" fillId="9" borderId="34" xfId="8" applyNumberFormat="1" applyFont="1" applyFill="1" applyBorder="1" applyAlignment="1">
      <alignment horizontal="right"/>
    </xf>
    <xf numFmtId="3" fontId="22" fillId="9" borderId="34" xfId="8" applyNumberFormat="1" applyFont="1" applyFill="1" applyBorder="1" applyAlignment="1">
      <alignment horizontal="right"/>
    </xf>
    <xf numFmtId="0" fontId="28" fillId="9" borderId="10" xfId="8" applyFont="1" applyFill="1" applyBorder="1" applyAlignment="1">
      <alignment horizontal="center" wrapText="1"/>
    </xf>
    <xf numFmtId="49" fontId="18" fillId="9" borderId="11" xfId="8" applyNumberFormat="1" applyFont="1" applyFill="1" applyBorder="1" applyAlignment="1">
      <alignment horizontal="left"/>
    </xf>
    <xf numFmtId="0" fontId="14" fillId="9" borderId="11" xfId="0" applyFont="1" applyFill="1" applyBorder="1"/>
    <xf numFmtId="0" fontId="14" fillId="9" borderId="11" xfId="0" applyFont="1" applyFill="1" applyBorder="1" applyAlignment="1">
      <alignment horizontal="center"/>
    </xf>
    <xf numFmtId="14" fontId="14" fillId="9" borderId="11" xfId="0" applyNumberFormat="1" applyFont="1" applyFill="1" applyBorder="1" applyAlignment="1">
      <alignment horizontal="center"/>
    </xf>
    <xf numFmtId="14" fontId="14" fillId="9" borderId="61" xfId="0" applyNumberFormat="1" applyFont="1" applyFill="1" applyBorder="1" applyAlignment="1">
      <alignment horizontal="center"/>
    </xf>
    <xf numFmtId="3" fontId="18" fillId="9" borderId="11" xfId="8" applyNumberFormat="1" applyFont="1" applyFill="1" applyBorder="1" applyAlignment="1">
      <alignment horizontal="right"/>
    </xf>
    <xf numFmtId="3" fontId="22" fillId="9" borderId="11" xfId="8" applyNumberFormat="1" applyFont="1" applyFill="1" applyBorder="1" applyAlignment="1">
      <alignment horizontal="right"/>
    </xf>
    <xf numFmtId="49" fontId="18" fillId="0" borderId="11" xfId="8" applyNumberFormat="1" applyFont="1" applyFill="1" applyBorder="1" applyAlignment="1">
      <alignment horizontal="left"/>
    </xf>
    <xf numFmtId="0" fontId="14" fillId="0" borderId="11" xfId="0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8" fillId="9" borderId="16" xfId="0" applyFont="1" applyFill="1" applyBorder="1" applyAlignment="1">
      <alignment wrapText="1"/>
    </xf>
    <xf numFmtId="0" fontId="18" fillId="9" borderId="16" xfId="0" applyFont="1" applyFill="1" applyBorder="1" applyAlignment="1">
      <alignment horizontal="center" wrapText="1"/>
    </xf>
    <xf numFmtId="0" fontId="18" fillId="9" borderId="15" xfId="0" applyFont="1" applyFill="1" applyBorder="1" applyAlignment="1">
      <alignment horizontal="center" wrapText="1"/>
    </xf>
    <xf numFmtId="3" fontId="18" fillId="9" borderId="16" xfId="8" applyNumberFormat="1" applyFont="1" applyFill="1" applyBorder="1" applyAlignment="1">
      <alignment horizontal="right"/>
    </xf>
    <xf numFmtId="3" fontId="22" fillId="9" borderId="16" xfId="8" applyNumberFormat="1" applyFont="1" applyFill="1" applyBorder="1" applyAlignment="1">
      <alignment horizontal="right"/>
    </xf>
    <xf numFmtId="0" fontId="18" fillId="9" borderId="16" xfId="0" applyFont="1" applyFill="1" applyBorder="1" applyAlignment="1">
      <alignment horizontal="center" vertical="center" wrapText="1"/>
    </xf>
    <xf numFmtId="3" fontId="41" fillId="0" borderId="20" xfId="0" applyNumberFormat="1" applyFont="1" applyBorder="1"/>
    <xf numFmtId="9" fontId="14" fillId="21" borderId="21" xfId="9" applyFont="1" applyFill="1" applyBorder="1"/>
    <xf numFmtId="3" fontId="18" fillId="5" borderId="39" xfId="0" applyNumberFormat="1" applyFont="1" applyFill="1" applyBorder="1"/>
    <xf numFmtId="0" fontId="18" fillId="5" borderId="39" xfId="0" applyFont="1" applyFill="1" applyBorder="1"/>
    <xf numFmtId="3" fontId="16" fillId="5" borderId="39" xfId="0" applyNumberFormat="1" applyFont="1" applyFill="1" applyBorder="1"/>
    <xf numFmtId="0" fontId="61" fillId="4" borderId="13" xfId="0" applyFont="1" applyFill="1" applyBorder="1"/>
    <xf numFmtId="0" fontId="61" fillId="4" borderId="63" xfId="0" applyFont="1" applyFill="1" applyBorder="1"/>
    <xf numFmtId="0" fontId="61" fillId="4" borderId="20" xfId="0" applyFont="1" applyFill="1" applyBorder="1"/>
    <xf numFmtId="0" fontId="64" fillId="12" borderId="13" xfId="0" applyFont="1" applyFill="1" applyBorder="1"/>
    <xf numFmtId="3" fontId="22" fillId="0" borderId="19" xfId="0" applyNumberFormat="1" applyFont="1" applyBorder="1"/>
    <xf numFmtId="3" fontId="22" fillId="0" borderId="21" xfId="0" applyNumberFormat="1" applyFont="1" applyBorder="1"/>
    <xf numFmtId="3" fontId="22" fillId="0" borderId="14" xfId="0" applyNumberFormat="1" applyFont="1" applyBorder="1"/>
    <xf numFmtId="3" fontId="22" fillId="0" borderId="44" xfId="0" applyNumberFormat="1" applyFont="1" applyBorder="1"/>
    <xf numFmtId="3" fontId="92" fillId="0" borderId="19" xfId="0" applyNumberFormat="1" applyFont="1" applyBorder="1"/>
    <xf numFmtId="3" fontId="92" fillId="0" borderId="21" xfId="0" applyNumberFormat="1" applyFont="1" applyBorder="1"/>
    <xf numFmtId="3" fontId="92" fillId="0" borderId="14" xfId="0" applyNumberFormat="1" applyFont="1" applyBorder="1"/>
    <xf numFmtId="3" fontId="92" fillId="0" borderId="44" xfId="0" applyNumberFormat="1" applyFont="1" applyBorder="1"/>
    <xf numFmtId="3" fontId="92" fillId="10" borderId="0" xfId="0" applyNumberFormat="1" applyFont="1" applyFill="1"/>
    <xf numFmtId="0" fontId="64" fillId="12" borderId="20" xfId="0" applyFont="1" applyFill="1" applyBorder="1"/>
    <xf numFmtId="3" fontId="18" fillId="4" borderId="44" xfId="0" applyNumberFormat="1" applyFont="1" applyFill="1" applyBorder="1"/>
    <xf numFmtId="3" fontId="22" fillId="4" borderId="44" xfId="0" applyNumberFormat="1" applyFont="1" applyFill="1" applyBorder="1"/>
    <xf numFmtId="3" fontId="92" fillId="4" borderId="44" xfId="0" applyNumberFormat="1" applyFont="1" applyFill="1" applyBorder="1"/>
    <xf numFmtId="3" fontId="18" fillId="4" borderId="63" xfId="0" applyNumberFormat="1" applyFont="1" applyFill="1" applyBorder="1"/>
    <xf numFmtId="0" fontId="16" fillId="5" borderId="39" xfId="0" applyFont="1" applyFill="1" applyBorder="1"/>
    <xf numFmtId="3" fontId="43" fillId="10" borderId="0" xfId="0" applyNumberFormat="1" applyFont="1" applyFill="1" applyAlignment="1">
      <alignment horizontal="center"/>
    </xf>
    <xf numFmtId="0" fontId="93" fillId="24" borderId="40" xfId="0" applyFont="1" applyFill="1" applyBorder="1"/>
    <xf numFmtId="9" fontId="61" fillId="24" borderId="37" xfId="9" applyFont="1" applyFill="1" applyBorder="1"/>
    <xf numFmtId="9" fontId="61" fillId="24" borderId="33" xfId="9" applyFont="1" applyFill="1" applyBorder="1"/>
    <xf numFmtId="9" fontId="61" fillId="24" borderId="50" xfId="9" applyFont="1" applyFill="1" applyBorder="1"/>
    <xf numFmtId="0" fontId="93" fillId="10" borderId="0" xfId="0" applyFont="1" applyFill="1"/>
    <xf numFmtId="0" fontId="1" fillId="5" borderId="11" xfId="0" applyFont="1" applyFill="1" applyBorder="1"/>
    <xf numFmtId="3" fontId="18" fillId="0" borderId="0" xfId="8" applyNumberFormat="1" applyFont="1" applyAlignment="1">
      <alignment horizontal="center"/>
    </xf>
    <xf numFmtId="3" fontId="34" fillId="0" borderId="0" xfId="8" applyNumberFormat="1" applyFont="1"/>
    <xf numFmtId="49" fontId="28" fillId="0" borderId="0" xfId="0" applyNumberFormat="1" applyFont="1" applyAlignment="1">
      <alignment vertical="center" wrapText="1"/>
    </xf>
    <xf numFmtId="3" fontId="21" fillId="4" borderId="51" xfId="0" applyNumberFormat="1" applyFont="1" applyFill="1" applyBorder="1" applyAlignment="1">
      <alignment horizontal="center" vertical="center"/>
    </xf>
    <xf numFmtId="3" fontId="21" fillId="4" borderId="46" xfId="0" applyNumberFormat="1" applyFont="1" applyFill="1" applyBorder="1" applyAlignment="1">
      <alignment horizontal="center" vertical="center"/>
    </xf>
    <xf numFmtId="3" fontId="21" fillId="4" borderId="50" xfId="0" applyNumberFormat="1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21" fillId="3" borderId="2" xfId="0" applyFont="1" applyFill="1" applyBorder="1" applyAlignment="1">
      <alignment horizontal="left" wrapText="1"/>
    </xf>
    <xf numFmtId="0" fontId="21" fillId="3" borderId="30" xfId="0" applyFont="1" applyFill="1" applyBorder="1" applyAlignment="1">
      <alignment horizontal="left" wrapText="1"/>
    </xf>
    <xf numFmtId="0" fontId="21" fillId="3" borderId="6" xfId="0" applyFont="1" applyFill="1" applyBorder="1" applyAlignment="1">
      <alignment horizontal="left" wrapText="1"/>
    </xf>
    <xf numFmtId="3" fontId="24" fillId="2" borderId="2" xfId="6" applyNumberFormat="1" applyFont="1" applyFill="1" applyBorder="1" applyAlignment="1">
      <alignment horizontal="left" vertical="center" wrapText="1"/>
    </xf>
    <xf numFmtId="3" fontId="24" fillId="2" borderId="30" xfId="6" applyNumberFormat="1" applyFont="1" applyFill="1" applyBorder="1" applyAlignment="1">
      <alignment horizontal="left" vertical="center" wrapText="1"/>
    </xf>
    <xf numFmtId="3" fontId="24" fillId="2" borderId="6" xfId="6" applyNumberFormat="1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wrapText="1"/>
    </xf>
    <xf numFmtId="0" fontId="29" fillId="3" borderId="30" xfId="0" applyFont="1" applyFill="1" applyBorder="1" applyAlignment="1">
      <alignment horizontal="left" wrapText="1"/>
    </xf>
    <xf numFmtId="0" fontId="29" fillId="3" borderId="6" xfId="0" applyFont="1" applyFill="1" applyBorder="1" applyAlignment="1">
      <alignment horizontal="left" wrapText="1"/>
    </xf>
    <xf numFmtId="0" fontId="72" fillId="0" borderId="71" xfId="0" applyFont="1" applyBorder="1" applyAlignment="1">
      <alignment horizontal="center" vertical="center" wrapText="1"/>
    </xf>
    <xf numFmtId="0" fontId="72" fillId="0" borderId="7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72" fillId="0" borderId="67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80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21" fillId="0" borderId="2" xfId="0" applyFont="1" applyBorder="1" applyAlignment="1">
      <alignment horizontal="left" wrapText="1"/>
    </xf>
    <xf numFmtId="0" fontId="21" fillId="0" borderId="30" xfId="0" applyFont="1" applyBorder="1" applyAlignment="1">
      <alignment horizontal="left" wrapText="1"/>
    </xf>
    <xf numFmtId="0" fontId="20" fillId="5" borderId="79" xfId="0" applyFont="1" applyFill="1" applyBorder="1" applyAlignment="1">
      <alignment horizontal="center" vertical="center" textRotation="180"/>
    </xf>
    <xf numFmtId="0" fontId="20" fillId="5" borderId="62" xfId="0" applyFont="1" applyFill="1" applyBorder="1" applyAlignment="1">
      <alignment horizontal="center" vertical="center" textRotation="180"/>
    </xf>
    <xf numFmtId="0" fontId="21" fillId="3" borderId="32" xfId="0" applyFont="1" applyFill="1" applyBorder="1" applyAlignment="1">
      <alignment horizontal="left" wrapText="1"/>
    </xf>
    <xf numFmtId="0" fontId="21" fillId="3" borderId="35" xfId="0" applyFont="1" applyFill="1" applyBorder="1" applyAlignment="1">
      <alignment horizontal="left" wrapText="1"/>
    </xf>
    <xf numFmtId="0" fontId="84" fillId="10" borderId="0" xfId="0" applyFont="1" applyFill="1" applyAlignment="1">
      <alignment horizontal="center"/>
    </xf>
    <xf numFmtId="49" fontId="86" fillId="10" borderId="0" xfId="0" applyNumberFormat="1" applyFont="1" applyFill="1" applyBorder="1" applyAlignment="1">
      <alignment horizontal="center"/>
    </xf>
    <xf numFmtId="0" fontId="85" fillId="10" borderId="0" xfId="0" applyFont="1" applyFill="1" applyAlignment="1">
      <alignment horizontal="center"/>
    </xf>
    <xf numFmtId="0" fontId="20" fillId="4" borderId="2" xfId="8" applyFont="1" applyFill="1" applyBorder="1" applyAlignment="1">
      <alignment horizontal="left"/>
    </xf>
    <xf numFmtId="0" fontId="20" fillId="4" borderId="6" xfId="8" applyFont="1" applyFill="1" applyBorder="1" applyAlignment="1">
      <alignment horizontal="left"/>
    </xf>
    <xf numFmtId="0" fontId="20" fillId="4" borderId="68" xfId="8" applyFont="1" applyFill="1" applyBorder="1" applyAlignment="1">
      <alignment horizontal="left"/>
    </xf>
    <xf numFmtId="0" fontId="20" fillId="4" borderId="72" xfId="8" applyFont="1" applyFill="1" applyBorder="1" applyAlignment="1">
      <alignment horizontal="left"/>
    </xf>
    <xf numFmtId="0" fontId="90" fillId="10" borderId="0" xfId="7" applyFont="1" applyFill="1" applyAlignment="1">
      <alignment horizontal="left"/>
    </xf>
    <xf numFmtId="0" fontId="91" fillId="10" borderId="0" xfId="7" applyFont="1" applyFill="1" applyAlignment="1">
      <alignment horizontal="left"/>
    </xf>
    <xf numFmtId="0" fontId="21" fillId="0" borderId="22" xfId="0" applyFont="1" applyBorder="1" applyAlignment="1">
      <alignment horizontal="left" wrapText="1"/>
    </xf>
    <xf numFmtId="0" fontId="23" fillId="0" borderId="0" xfId="7" applyFont="1" applyAlignment="1">
      <alignment horizontal="left"/>
    </xf>
    <xf numFmtId="0" fontId="73" fillId="0" borderId="0" xfId="7" applyFont="1" applyAlignment="1">
      <alignment horizontal="left"/>
    </xf>
    <xf numFmtId="0" fontId="20" fillId="0" borderId="74" xfId="8" applyFont="1" applyBorder="1" applyAlignment="1">
      <alignment horizontal="center" vertical="center"/>
    </xf>
    <xf numFmtId="0" fontId="20" fillId="0" borderId="57" xfId="8" applyFont="1" applyBorder="1" applyAlignment="1">
      <alignment horizontal="center" vertical="center"/>
    </xf>
    <xf numFmtId="49" fontId="20" fillId="0" borderId="38" xfId="8" applyNumberFormat="1" applyFont="1" applyBorder="1" applyAlignment="1">
      <alignment horizontal="center" vertical="center"/>
    </xf>
    <xf numFmtId="49" fontId="20" fillId="0" borderId="53" xfId="8" applyNumberFormat="1" applyFont="1" applyBorder="1" applyAlignment="1">
      <alignment horizontal="center" vertical="center"/>
    </xf>
    <xf numFmtId="0" fontId="18" fillId="0" borderId="41" xfId="8" applyFont="1" applyBorder="1" applyAlignment="1">
      <alignment horizontal="center"/>
    </xf>
    <xf numFmtId="0" fontId="18" fillId="0" borderId="23" xfId="8" applyFont="1" applyBorder="1" applyAlignment="1">
      <alignment horizontal="center"/>
    </xf>
    <xf numFmtId="0" fontId="18" fillId="0" borderId="74" xfId="8" applyFont="1" applyBorder="1" applyAlignment="1">
      <alignment horizontal="center"/>
    </xf>
    <xf numFmtId="0" fontId="18" fillId="0" borderId="57" xfId="8" applyFont="1" applyBorder="1" applyAlignment="1">
      <alignment horizontal="center"/>
    </xf>
    <xf numFmtId="0" fontId="20" fillId="0" borderId="74" xfId="8" applyFont="1" applyBorder="1" applyAlignment="1">
      <alignment horizontal="center" vertical="center" textRotation="180"/>
    </xf>
    <xf numFmtId="0" fontId="20" fillId="0" borderId="41" xfId="8" applyFont="1" applyBorder="1" applyAlignment="1">
      <alignment horizontal="center" vertical="center" textRotation="180"/>
    </xf>
    <xf numFmtId="0" fontId="20" fillId="0" borderId="57" xfId="8" applyFont="1" applyBorder="1" applyAlignment="1">
      <alignment horizontal="center" vertical="center" textRotation="180"/>
    </xf>
    <xf numFmtId="0" fontId="20" fillId="0" borderId="66" xfId="8" applyFont="1" applyBorder="1" applyAlignment="1">
      <alignment horizontal="center" vertical="center" textRotation="180"/>
    </xf>
    <xf numFmtId="0" fontId="20" fillId="0" borderId="62" xfId="8" applyFont="1" applyBorder="1" applyAlignment="1">
      <alignment horizontal="center" vertical="center" textRotation="180"/>
    </xf>
    <xf numFmtId="0" fontId="20" fillId="0" borderId="68" xfId="8" applyFont="1" applyBorder="1" applyAlignment="1">
      <alignment horizontal="center" vertical="center" textRotation="180"/>
    </xf>
    <xf numFmtId="0" fontId="18" fillId="0" borderId="74" xfId="8" applyFont="1" applyBorder="1" applyAlignment="1">
      <alignment horizontal="center" vertical="center" textRotation="180"/>
    </xf>
    <xf numFmtId="0" fontId="18" fillId="0" borderId="41" xfId="8" applyFont="1" applyBorder="1" applyAlignment="1">
      <alignment horizontal="center" vertical="center" textRotation="180"/>
    </xf>
    <xf numFmtId="0" fontId="18" fillId="0" borderId="57" xfId="8" applyFont="1" applyBorder="1" applyAlignment="1">
      <alignment horizontal="center" vertical="center" textRotation="180"/>
    </xf>
    <xf numFmtId="3" fontId="15" fillId="9" borderId="32" xfId="11" applyNumberFormat="1" applyFont="1" applyFill="1" applyBorder="1" applyAlignment="1">
      <alignment horizontal="left"/>
    </xf>
    <xf numFmtId="3" fontId="15" fillId="9" borderId="35" xfId="11" applyNumberFormat="1" applyFont="1" applyFill="1" applyBorder="1" applyAlignment="1">
      <alignment horizontal="left"/>
    </xf>
    <xf numFmtId="3" fontId="25" fillId="9" borderId="32" xfId="11" applyNumberFormat="1" applyFont="1" applyFill="1" applyBorder="1" applyAlignment="1">
      <alignment horizontal="left"/>
    </xf>
    <xf numFmtId="3" fontId="25" fillId="9" borderId="35" xfId="11" applyNumberFormat="1" applyFont="1" applyFill="1" applyBorder="1" applyAlignment="1">
      <alignment horizontal="left"/>
    </xf>
    <xf numFmtId="0" fontId="42" fillId="10" borderId="2" xfId="6" applyFont="1" applyFill="1" applyBorder="1" applyAlignment="1">
      <alignment horizontal="left" vertical="center"/>
    </xf>
    <xf numFmtId="0" fontId="42" fillId="10" borderId="6" xfId="6" applyFont="1" applyFill="1" applyBorder="1" applyAlignment="1">
      <alignment horizontal="left" vertical="center"/>
    </xf>
    <xf numFmtId="0" fontId="74" fillId="0" borderId="36" xfId="3" applyFont="1" applyBorder="1" applyAlignment="1">
      <alignment horizontal="center" vertical="center" textRotation="90"/>
    </xf>
    <xf numFmtId="0" fontId="74" fillId="0" borderId="55" xfId="3" applyFont="1" applyBorder="1" applyAlignment="1">
      <alignment horizontal="center" vertical="center" textRotation="90"/>
    </xf>
    <xf numFmtId="0" fontId="74" fillId="0" borderId="71" xfId="3" applyFont="1" applyBorder="1" applyAlignment="1">
      <alignment horizontal="center" vertical="center" textRotation="90"/>
    </xf>
    <xf numFmtId="0" fontId="74" fillId="0" borderId="39" xfId="3" applyFont="1" applyBorder="1" applyAlignment="1">
      <alignment horizontal="center" vertical="center" textRotation="90"/>
    </xf>
    <xf numFmtId="0" fontId="74" fillId="0" borderId="4" xfId="3" applyFont="1" applyBorder="1" applyAlignment="1">
      <alignment horizontal="center" vertical="center" textRotation="90"/>
    </xf>
    <xf numFmtId="3" fontId="25" fillId="8" borderId="68" xfId="11" applyNumberFormat="1" applyFont="1" applyFill="1" applyBorder="1" applyAlignment="1">
      <alignment horizontal="left"/>
    </xf>
    <xf numFmtId="3" fontId="25" fillId="8" borderId="72" xfId="11" applyNumberFormat="1" applyFont="1" applyFill="1" applyBorder="1" applyAlignment="1">
      <alignment horizontal="left"/>
    </xf>
    <xf numFmtId="0" fontId="74" fillId="2" borderId="66" xfId="6" applyFont="1" applyFill="1" applyBorder="1" applyAlignment="1">
      <alignment horizontal="center" vertical="center"/>
    </xf>
    <xf numFmtId="0" fontId="74" fillId="2" borderId="67" xfId="6" applyFont="1" applyFill="1" applyBorder="1" applyAlignment="1">
      <alignment horizontal="center" vertical="center"/>
    </xf>
    <xf numFmtId="0" fontId="74" fillId="2" borderId="71" xfId="6" applyFont="1" applyFill="1" applyBorder="1" applyAlignment="1">
      <alignment horizontal="center" vertical="center"/>
    </xf>
    <xf numFmtId="0" fontId="74" fillId="2" borderId="68" xfId="6" applyFont="1" applyFill="1" applyBorder="1" applyAlignment="1">
      <alignment horizontal="center" vertical="center"/>
    </xf>
    <xf numFmtId="0" fontId="74" fillId="2" borderId="47" xfId="6" applyFont="1" applyFill="1" applyBorder="1" applyAlignment="1">
      <alignment horizontal="center" vertical="center"/>
    </xf>
    <xf numFmtId="0" fontId="74" fillId="2" borderId="72" xfId="6" applyFont="1" applyFill="1" applyBorder="1" applyAlignment="1">
      <alignment horizontal="center" vertical="center"/>
    </xf>
    <xf numFmtId="3" fontId="42" fillId="9" borderId="2" xfId="11" applyNumberFormat="1" applyFont="1" applyFill="1" applyBorder="1" applyAlignment="1">
      <alignment horizontal="left"/>
    </xf>
    <xf numFmtId="3" fontId="42" fillId="9" borderId="30" xfId="11" applyNumberFormat="1" applyFont="1" applyFill="1" applyBorder="1" applyAlignment="1">
      <alignment horizontal="left"/>
    </xf>
    <xf numFmtId="3" fontId="42" fillId="9" borderId="6" xfId="11" applyNumberFormat="1" applyFont="1" applyFill="1" applyBorder="1" applyAlignment="1">
      <alignment horizontal="left"/>
    </xf>
    <xf numFmtId="3" fontId="25" fillId="8" borderId="2" xfId="11" applyNumberFormat="1" applyFont="1" applyFill="1" applyBorder="1" applyAlignment="1">
      <alignment horizontal="left"/>
    </xf>
    <xf numFmtId="3" fontId="25" fillId="8" borderId="6" xfId="11" applyNumberFormat="1" applyFont="1" applyFill="1" applyBorder="1" applyAlignment="1">
      <alignment horizontal="left"/>
    </xf>
    <xf numFmtId="0" fontId="20" fillId="9" borderId="2" xfId="6" applyFont="1" applyFill="1" applyBorder="1" applyAlignment="1">
      <alignment horizontal="center" vertical="center"/>
    </xf>
    <xf numFmtId="0" fontId="20" fillId="9" borderId="30" xfId="6" applyFont="1" applyFill="1" applyBorder="1" applyAlignment="1">
      <alignment horizontal="center" vertical="center"/>
    </xf>
    <xf numFmtId="0" fontId="20" fillId="9" borderId="6" xfId="6" applyFont="1" applyFill="1" applyBorder="1" applyAlignment="1">
      <alignment horizontal="center" vertical="center"/>
    </xf>
    <xf numFmtId="0" fontId="20" fillId="2" borderId="2" xfId="6" applyFont="1" applyFill="1" applyBorder="1" applyAlignment="1">
      <alignment horizontal="center" vertical="center"/>
    </xf>
    <xf numFmtId="0" fontId="20" fillId="2" borderId="30" xfId="6" applyFont="1" applyFill="1" applyBorder="1" applyAlignment="1">
      <alignment horizontal="center" vertical="center"/>
    </xf>
    <xf numFmtId="0" fontId="20" fillId="2" borderId="6" xfId="6" applyFont="1" applyFill="1" applyBorder="1" applyAlignment="1">
      <alignment horizontal="center" vertical="center"/>
    </xf>
    <xf numFmtId="0" fontId="20" fillId="2" borderId="66" xfId="6" applyFont="1" applyFill="1" applyBorder="1" applyAlignment="1">
      <alignment horizontal="center" vertical="center"/>
    </xf>
    <xf numFmtId="0" fontId="20" fillId="2" borderId="67" xfId="6" applyFont="1" applyFill="1" applyBorder="1" applyAlignment="1">
      <alignment horizontal="center" vertical="center"/>
    </xf>
    <xf numFmtId="0" fontId="20" fillId="2" borderId="71" xfId="6" applyFont="1" applyFill="1" applyBorder="1" applyAlignment="1">
      <alignment horizontal="center" vertical="center"/>
    </xf>
    <xf numFmtId="0" fontId="20" fillId="10" borderId="2" xfId="6" applyFont="1" applyFill="1" applyBorder="1" applyAlignment="1">
      <alignment horizontal="left" vertical="center"/>
    </xf>
    <xf numFmtId="0" fontId="20" fillId="10" borderId="6" xfId="6" applyFont="1" applyFill="1" applyBorder="1" applyAlignment="1">
      <alignment horizontal="left" vertical="center"/>
    </xf>
    <xf numFmtId="3" fontId="20" fillId="9" borderId="2" xfId="11" applyNumberFormat="1" applyFont="1" applyFill="1" applyBorder="1" applyAlignment="1">
      <alignment horizontal="left"/>
    </xf>
    <xf numFmtId="3" fontId="20" fillId="9" borderId="30" xfId="11" applyNumberFormat="1" applyFont="1" applyFill="1" applyBorder="1" applyAlignment="1">
      <alignment horizontal="left"/>
    </xf>
    <xf numFmtId="3" fontId="20" fillId="9" borderId="6" xfId="11" applyNumberFormat="1" applyFont="1" applyFill="1" applyBorder="1" applyAlignment="1">
      <alignment horizontal="left"/>
    </xf>
    <xf numFmtId="3" fontId="24" fillId="8" borderId="68" xfId="11" applyNumberFormat="1" applyFont="1" applyFill="1" applyBorder="1" applyAlignment="1">
      <alignment horizontal="left"/>
    </xf>
    <xf numFmtId="3" fontId="24" fillId="8" borderId="2" xfId="11" applyNumberFormat="1" applyFont="1" applyFill="1" applyBorder="1" applyAlignment="1">
      <alignment horizontal="left"/>
    </xf>
    <xf numFmtId="3" fontId="24" fillId="8" borderId="6" xfId="11" applyNumberFormat="1" applyFont="1" applyFill="1" applyBorder="1" applyAlignment="1">
      <alignment horizontal="left"/>
    </xf>
    <xf numFmtId="0" fontId="16" fillId="5" borderId="45" xfId="0" applyFont="1" applyFill="1" applyBorder="1" applyAlignment="1">
      <alignment horizontal="center"/>
    </xf>
  </cellXfs>
  <cellStyles count="12">
    <cellStyle name="Čárka" xfId="1" builtinId="3"/>
    <cellStyle name="Normální" xfId="0" builtinId="0"/>
    <cellStyle name="Normální 2" xfId="2"/>
    <cellStyle name="Normální 3" xfId="3"/>
    <cellStyle name="normální_1.-7 2" xfId="4"/>
    <cellStyle name="normální_1.-7 2 2" xfId="5"/>
    <cellStyle name="normální_čerp.-celek 1.-9.09" xfId="6"/>
    <cellStyle name="normální_Fondy" xfId="7"/>
    <cellStyle name="normální_t 01" xfId="8"/>
    <cellStyle name="Procenta" xfId="9" builtinId="5"/>
    <cellStyle name="Обычный 2" xfId="10"/>
    <cellStyle name="Обычный 2_2009 04-06 1901 MCF as of 08 04 0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82327209098865E-2"/>
          <c:y val="0.19334612286550495"/>
          <c:w val="0.63884414065832584"/>
          <c:h val="0.700777261482630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2.6259365762836051E-2"/>
                  <c:y val="-0.103511757999946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87708204734446"/>
                  <c:y val="1.7534575854785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34640148948876E-2"/>
                  <c:y val="-0.213494171814381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0.40977829476584027</c:v>
              </c:pt>
              <c:pt idx="1">
                <c:v>0.99419053719008266</c:v>
              </c:pt>
              <c:pt idx="2">
                <c:v>0.52530939393939391</c:v>
              </c:pt>
              <c:pt idx="3">
                <c:v>2.1280103168044078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8.5370734908136486E-2"/>
                  <c:y val="-0.243163458734324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806547072100727"/>
                  <c:y val="2.23974437474943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747020927196929E-3"/>
                  <c:y val="2.61808748245559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911566933846016"/>
                  <c:y val="1.96275512293228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567038495188101E-2"/>
                  <c:y val="-0.18918234179060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Graf!$A$5:$A$9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Graf!$B$5:$B$9</c:f>
              <c:numCache>
                <c:formatCode>#,##0</c:formatCode>
                <c:ptCount val="5"/>
                <c:pt idx="0">
                  <c:v>108848000</c:v>
                </c:pt>
                <c:pt idx="1">
                  <c:v>19045200</c:v>
                </c:pt>
                <c:pt idx="2">
                  <c:v>60000</c:v>
                </c:pt>
                <c:pt idx="3">
                  <c:v>20393067</c:v>
                </c:pt>
                <c:pt idx="4">
                  <c:v>90858791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82327209098865E-2"/>
          <c:y val="0.19334612286550495"/>
          <c:w val="0.63884414065832584"/>
          <c:h val="0.700777261482630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2.6259365762836051E-2"/>
                  <c:y val="-0.103511757999946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87708204734446"/>
                  <c:y val="1.7534575854785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34640148948876E-2"/>
                  <c:y val="-0.213494171814381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'Graf_analýza nákladovost na RUD'!$N$8:$N$11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RUD'!$P$8:$P$11</c:f>
              <c:numCache>
                <c:formatCode>#,##0.00</c:formatCode>
                <c:ptCount val="4"/>
                <c:pt idx="0">
                  <c:v>0.40977829476584027</c:v>
                </c:pt>
                <c:pt idx="1">
                  <c:v>0.99419053719008266</c:v>
                </c:pt>
                <c:pt idx="2">
                  <c:v>0.52530939393939391</c:v>
                </c:pt>
                <c:pt idx="3">
                  <c:v>2.1280103168044078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2015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988626421697285E-3"/>
                  <c:y val="-3.80938402392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00000000010187E-4"/>
                  <c:y val="-0.1185185010179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01706036745404E-3"/>
                  <c:y val="3.7566395699171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04111986001752E-2"/>
                  <c:y val="-0.372295813106258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'Graf_analýza nákladovost na RUD'!$E$8:$E$11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RUD'!$G$8:$G$11</c:f>
              <c:numCache>
                <c:formatCode>#,##0.00</c:formatCode>
                <c:ptCount val="4"/>
                <c:pt idx="0">
                  <c:v>0.40947991998836331</c:v>
                </c:pt>
                <c:pt idx="1">
                  <c:v>0.7862683708387822</c:v>
                </c:pt>
                <c:pt idx="2">
                  <c:v>1.0013121908697897</c:v>
                </c:pt>
                <c:pt idx="3">
                  <c:v>2.1970604739380191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2014_skutečnost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825715181828607E-2"/>
                  <c:y val="-5.8680736957625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731656184486373E-3"/>
                  <c:y val="-6.515350542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30789547532976E-2"/>
                  <c:y val="8.7968685438605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29473910100856E-2"/>
                  <c:y val="-0.277982808002727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RUD'!$A$8:$A$11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RUD'!$C$8:$C$11</c:f>
              <c:numCache>
                <c:formatCode>#,##0.00</c:formatCode>
                <c:ptCount val="4"/>
                <c:pt idx="0">
                  <c:v>0.38657163825886059</c:v>
                </c:pt>
                <c:pt idx="1">
                  <c:v>0.59796367149995799</c:v>
                </c:pt>
                <c:pt idx="2">
                  <c:v>0.93007614610619882</c:v>
                </c:pt>
                <c:pt idx="3">
                  <c:v>1.9146114605110029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Rozpočtové</a:t>
            </a:r>
            <a:r>
              <a:rPr lang="cs-CZ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příjmy rok 2017 v%</a:t>
            </a:r>
          </a:p>
        </c:rich>
      </c:tx>
      <c:layout>
        <c:manualLayout>
          <c:xMode val="edge"/>
          <c:yMode val="edge"/>
          <c:x val="0.25647698293032517"/>
          <c:y val="1.570461587038462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4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3443157003748E-2"/>
          <c:y val="0.18015795267454343"/>
          <c:w val="0.8298330594854505"/>
          <c:h val="0.727913373100560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2.1601476644687707E-2"/>
                  <c:y val="-0.112544433927896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85473970225266E-3"/>
                  <c:y val="-0.284952896883114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75057081279472E-2"/>
                  <c:y val="5.69412145285990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'Graf_analýza nákladovost na RUD'!$B$42:$B$46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transfery_Dotace</c:v>
                </c:pt>
                <c:pt idx="4">
                  <c:v>Financování</c:v>
                </c:pt>
              </c:strCache>
            </c:strRef>
          </c:cat>
          <c:val>
            <c:numRef>
              <c:f>'Graf_analýza nákladovost na RUD'!$E$42:$E$46</c:f>
              <c:numCache>
                <c:formatCode>0%</c:formatCode>
                <c:ptCount val="5"/>
                <c:pt idx="0">
                  <c:v>0.72427717362847199</c:v>
                </c:pt>
                <c:pt idx="1">
                  <c:v>0.134283546641739</c:v>
                </c:pt>
                <c:pt idx="2">
                  <c:v>4.3743656167396941E-4</c:v>
                </c:pt>
                <c:pt idx="3">
                  <c:v>7.0500921584057519E-2</c:v>
                </c:pt>
                <c:pt idx="4">
                  <c:v>7.0500921584057519E-2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709618614746315E-2"/>
                  <c:y val="-5.4338744526957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71E-2"/>
                  <c:y val="-1.3984528363203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RUD'!$A$70:$A$73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RUD'!$C$70:$C$73</c:f>
              <c:numCache>
                <c:formatCode>#,##0.00</c:formatCode>
                <c:ptCount val="4"/>
                <c:pt idx="0">
                  <c:v>0.19256405456774123</c:v>
                </c:pt>
                <c:pt idx="1">
                  <c:v>0.46719253630454177</c:v>
                </c:pt>
                <c:pt idx="2">
                  <c:v>0.24685472142270484</c:v>
                </c:pt>
                <c:pt idx="3">
                  <c:v>9.3388687705012269E-2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695E-2"/>
          <c:y val="0.11518553514144066"/>
          <c:w val="0.93408414480734292"/>
          <c:h val="0.83089367162438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RUD'!$A$99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RUD'!$B$99:$D$99</c:f>
              <c:numCache>
                <c:formatCode>0%</c:formatCode>
                <c:ptCount val="3"/>
                <c:pt idx="0">
                  <c:v>0.41</c:v>
                </c:pt>
                <c:pt idx="1">
                  <c:v>0.99</c:v>
                </c:pt>
                <c:pt idx="2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'Graf_analýza nákladovost na RUD'!$A$100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RUD'!$B$100:$D$100</c:f>
              <c:numCache>
                <c:formatCode>0%</c:formatCode>
                <c:ptCount val="3"/>
                <c:pt idx="0">
                  <c:v>0.39</c:v>
                </c:pt>
                <c:pt idx="1">
                  <c:v>0.89</c:v>
                </c:pt>
                <c:pt idx="2">
                  <c:v>0.52</c:v>
                </c:pt>
              </c:numCache>
            </c:numRef>
          </c:val>
        </c:ser>
        <c:ser>
          <c:idx val="2"/>
          <c:order val="2"/>
          <c:tx>
            <c:strRef>
              <c:f>'Graf_analýza nákladovost na RUD'!$A$101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RUD'!$B$101:$D$101</c:f>
              <c:numCache>
                <c:formatCode>0%</c:formatCode>
                <c:ptCount val="3"/>
                <c:pt idx="0">
                  <c:v>0.41</c:v>
                </c:pt>
                <c:pt idx="1">
                  <c:v>0.79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'Graf_analýza nákladovost na RUD'!$A$102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RUD'!$B$102:$D$102</c:f>
              <c:numCache>
                <c:formatCode>0%</c:formatCode>
                <c:ptCount val="3"/>
                <c:pt idx="0">
                  <c:v>0.39</c:v>
                </c:pt>
                <c:pt idx="1">
                  <c:v>0.6</c:v>
                </c:pt>
                <c:pt idx="2">
                  <c:v>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43096"/>
        <c:axId val="493747408"/>
      </c:barChart>
      <c:catAx>
        <c:axId val="49374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3747408"/>
        <c:crosses val="autoZero"/>
        <c:auto val="1"/>
        <c:lblAlgn val="ctr"/>
        <c:lblOffset val="100"/>
        <c:noMultiLvlLbl val="0"/>
      </c:catAx>
      <c:valAx>
        <c:axId val="49374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3743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2105315782895558"/>
          <c:y val="1.5594541910331383E-2"/>
          <c:w val="0.58020115906564307"/>
          <c:h val="5.06822612085769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RUD'!$A$142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RUD'!$B$142:$F$142</c:f>
              <c:numCache>
                <c:formatCode>#,##0.00</c:formatCode>
                <c:ptCount val="5"/>
                <c:pt idx="0" formatCode="General">
                  <c:v>64168276</c:v>
                </c:pt>
                <c:pt idx="1">
                  <c:v>68876667</c:v>
                </c:pt>
                <c:pt idx="2">
                  <c:v>70886189</c:v>
                </c:pt>
                <c:pt idx="3">
                  <c:v>86223000</c:v>
                </c:pt>
                <c:pt idx="4">
                  <c:v>99343846</c:v>
                </c:pt>
              </c:numCache>
            </c:numRef>
          </c:val>
        </c:ser>
        <c:ser>
          <c:idx val="1"/>
          <c:order val="1"/>
          <c:tx>
            <c:strRef>
              <c:f>'Graf_analýza nákladovost na RUD'!$A$143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RUD'!$B$143:$F$143</c:f>
              <c:numCache>
                <c:formatCode>#,##0.00</c:formatCode>
                <c:ptCount val="5"/>
                <c:pt idx="0" formatCode="General">
                  <c:v>89472981</c:v>
                </c:pt>
                <c:pt idx="1">
                  <c:v>70930301</c:v>
                </c:pt>
                <c:pt idx="2">
                  <c:v>87313297</c:v>
                </c:pt>
                <c:pt idx="3">
                  <c:v>56664073.810000002</c:v>
                </c:pt>
                <c:pt idx="4">
                  <c:v>55149703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44664"/>
        <c:axId val="493747016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RUD'!$A$144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RUD'!$B$144:$F$144</c:f>
              <c:numCache>
                <c:formatCode>#,##0.00</c:formatCode>
                <c:ptCount val="5"/>
                <c:pt idx="0" formatCode="General">
                  <c:v>153641257</c:v>
                </c:pt>
                <c:pt idx="1">
                  <c:v>139806968</c:v>
                </c:pt>
                <c:pt idx="2">
                  <c:v>158199486</c:v>
                </c:pt>
                <c:pt idx="3">
                  <c:v>142887073.81</c:v>
                </c:pt>
                <c:pt idx="4">
                  <c:v>154493549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44664"/>
        <c:axId val="493747016"/>
      </c:lineChart>
      <c:catAx>
        <c:axId val="49374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3747016"/>
        <c:crosses val="autoZero"/>
        <c:auto val="1"/>
        <c:lblAlgn val="ctr"/>
        <c:lblOffset val="100"/>
        <c:noMultiLvlLbl val="0"/>
      </c:catAx>
      <c:valAx>
        <c:axId val="49374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3744664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25043744531932"/>
          <c:y val="0.90278069407990669"/>
          <c:w val="0.78750153105861775"/>
          <c:h val="0.972225503062117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RUD'!$G$99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RUD'!$H$98:$K$98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RUD'!$H$99:$K$99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0.1579647820668402</c:v>
                </c:pt>
                <c:pt idx="3">
                  <c:v>0.19184989135766159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48192"/>
        <c:axId val="493749368"/>
      </c:barChart>
      <c:catAx>
        <c:axId val="4937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3749368"/>
        <c:crosses val="autoZero"/>
        <c:auto val="1"/>
        <c:lblAlgn val="ctr"/>
        <c:lblOffset val="100"/>
        <c:noMultiLvlLbl val="0"/>
      </c:catAx>
      <c:valAx>
        <c:axId val="49374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37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RUD'!$H$129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RUD'!$H$130:$H$133</c:f>
              <c:numCache>
                <c:formatCode>0%</c:formatCode>
                <c:ptCount val="4"/>
                <c:pt idx="0">
                  <c:v>0.51422198710544109</c:v>
                </c:pt>
                <c:pt idx="1">
                  <c:v>0.54424914790073209</c:v>
                </c:pt>
                <c:pt idx="2">
                  <c:v>0.65309041824312719</c:v>
                </c:pt>
                <c:pt idx="3">
                  <c:v>0.659756590872283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'Graf_analýza nákladovost na RUD'!$I$129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RUD'!$I$130:$I$133</c:f>
              <c:numCache>
                <c:formatCode>0%</c:formatCode>
                <c:ptCount val="4"/>
                <c:pt idx="0">
                  <c:v>0.48577801046796448</c:v>
                </c:pt>
                <c:pt idx="1">
                  <c:v>0.45575085563076662</c:v>
                </c:pt>
                <c:pt idx="2">
                  <c:v>0.26722439406306514</c:v>
                </c:pt>
                <c:pt idx="3">
                  <c:v>0.24685472142270484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0824"/>
        <c:axId val="494707688"/>
      </c:scatterChart>
      <c:valAx>
        <c:axId val="49471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4707688"/>
        <c:crosses val="autoZero"/>
        <c:crossBetween val="midCat"/>
      </c:valAx>
      <c:valAx>
        <c:axId val="49470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47108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08259288689831"/>
          <c:y val="0.90278069407990669"/>
          <c:w val="0.75688145633171999"/>
          <c:h val="0.972225503062117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2015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988626421697285E-3"/>
                  <c:y val="-3.80938402392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00000000010187E-4"/>
                  <c:y val="-0.1185185010179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01706036745404E-3"/>
                  <c:y val="3.7566395699171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04111986001752E-2"/>
                  <c:y val="-0.372295813106258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0.40947991998836331</c:v>
              </c:pt>
              <c:pt idx="1">
                <c:v>0.7862683708387822</c:v>
              </c:pt>
              <c:pt idx="2">
                <c:v>1.0013121908697897</c:v>
              </c:pt>
              <c:pt idx="3">
                <c:v>2.1970604739380191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2014_skutečnost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825715181828607E-2"/>
                  <c:y val="-5.8680736957625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731656184486373E-3"/>
                  <c:y val="-6.515350542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30789547532976E-2"/>
                  <c:y val="8.7968685438605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29473910100856E-2"/>
                  <c:y val="-0.277982808002727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0.38657163825886059</c:v>
              </c:pt>
              <c:pt idx="1">
                <c:v>0.59796367149995799</c:v>
              </c:pt>
              <c:pt idx="2">
                <c:v>0.93007614610619882</c:v>
              </c:pt>
              <c:pt idx="3">
                <c:v>1.9146114605110029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Rozpočtové</a:t>
            </a:r>
            <a:r>
              <a:rPr lang="cs-CZ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příjmy rok 2017 v%</a:t>
            </a:r>
          </a:p>
        </c:rich>
      </c:tx>
      <c:layout>
        <c:manualLayout>
          <c:xMode val="edge"/>
          <c:yMode val="edge"/>
          <c:x val="0.25647706198887299"/>
          <c:y val="1.5704684641692515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4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3443157003748E-2"/>
          <c:y val="0.18015795267454343"/>
          <c:w val="0.8298330594854505"/>
          <c:h val="0.727913373100560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2.1601476644687707E-2"/>
                  <c:y val="-0.112544433927896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85473970225266E-3"/>
                  <c:y val="-0.284952896883114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75057081279472E-2"/>
                  <c:y val="5.69412145285990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Daňové příjmy</c:v>
              </c:pt>
              <c:pt idx="1">
                <c:v>Nedaňové příjmy </c:v>
              </c:pt>
              <c:pt idx="2">
                <c:v>Kapitálové příjmy</c:v>
              </c:pt>
              <c:pt idx="3">
                <c:v>Přijaté transfery_Dotace</c:v>
              </c:pt>
              <c:pt idx="4">
                <c:v>Financování</c:v>
              </c:pt>
            </c:strLit>
          </c:cat>
          <c:val>
            <c:numLit>
              <c:formatCode>General</c:formatCode>
              <c:ptCount val="5"/>
              <c:pt idx="0">
                <c:v>0.72427717362847199</c:v>
              </c:pt>
              <c:pt idx="1">
                <c:v>0.134283546641739</c:v>
              </c:pt>
              <c:pt idx="2">
                <c:v>4.3743656167396941E-4</c:v>
              </c:pt>
              <c:pt idx="3">
                <c:v>7.0500921584057519E-2</c:v>
              </c:pt>
              <c:pt idx="4">
                <c:v>7.0500921584057519E-2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0986497813513E-2"/>
          <c:y val="6.0604646641392035E-2"/>
          <c:w val="0.93408414480734292"/>
          <c:h val="0.83089367162438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List4!$A$99</c:f>
              <c:strCache>
                <c:ptCount val="1"/>
                <c:pt idx="0">
                  <c:v>2018-plán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List4!$B$99:$E$99</c:f>
              <c:numCache>
                <c:formatCode>_-* #\ ##0.0\ _K_č_-;\-* #\ ##0.0\ _K_č_-;_-* "-"?\ _K_č_-;_-@_-</c:formatCode>
                <c:ptCount val="4"/>
                <c:pt idx="0">
                  <c:v>0.36136752544642858</c:v>
                </c:pt>
                <c:pt idx="1">
                  <c:v>0.88864994506250006</c:v>
                </c:pt>
                <c:pt idx="2">
                  <c:v>1.2881356919642857</c:v>
                </c:pt>
                <c:pt idx="3">
                  <c:v>2.6696993120267858</c:v>
                </c:pt>
              </c:numCache>
            </c:numRef>
          </c:val>
        </c:ser>
        <c:ser>
          <c:idx val="1"/>
          <c:order val="1"/>
          <c:tx>
            <c:strRef>
              <c:f>List4!$A$100</c:f>
              <c:strCache>
                <c:ptCount val="1"/>
                <c:pt idx="0">
                  <c:v>2017 oček.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List4!$B$100:$E$100</c:f>
              <c:numCache>
                <c:formatCode>_-* #\ ##0.0\ _K_č_-;\-* #\ ##0.0\ _K_č_-;_-* "-"?\ _K_č_-;_-@_-</c:formatCode>
                <c:ptCount val="4"/>
                <c:pt idx="0">
                  <c:v>0.41</c:v>
                </c:pt>
                <c:pt idx="1">
                  <c:v>0.99</c:v>
                </c:pt>
                <c:pt idx="2">
                  <c:v>0.53</c:v>
                </c:pt>
                <c:pt idx="3">
                  <c:v>2.13</c:v>
                </c:pt>
              </c:numCache>
            </c:numRef>
          </c:val>
        </c:ser>
        <c:ser>
          <c:idx val="2"/>
          <c:order val="2"/>
          <c:tx>
            <c:strRef>
              <c:f>List4!$A$101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List4!$B$101:$E$101</c:f>
              <c:numCache>
                <c:formatCode>_-* #\ ##0.0\ _K_č_-;\-* #\ ##0.0\ _K_č_-;_-* "-"?\ _K_č_-;_-@_-</c:formatCode>
                <c:ptCount val="4"/>
                <c:pt idx="0">
                  <c:v>0.39</c:v>
                </c:pt>
                <c:pt idx="1">
                  <c:v>0.89</c:v>
                </c:pt>
                <c:pt idx="2">
                  <c:v>0.52</c:v>
                </c:pt>
                <c:pt idx="3">
                  <c:v>1.97</c:v>
                </c:pt>
              </c:numCache>
            </c:numRef>
          </c:val>
        </c:ser>
        <c:ser>
          <c:idx val="3"/>
          <c:order val="3"/>
          <c:tx>
            <c:strRef>
              <c:f>List4!$A$102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List4!$B$102:$E$102</c:f>
              <c:numCache>
                <c:formatCode>_-* #\ ##0.0\ _K_č_-;\-* #\ ##0.0\ _K_č_-;_-* "-"?\ _K_č_-;_-@_-</c:formatCode>
                <c:ptCount val="4"/>
                <c:pt idx="0">
                  <c:v>0.41</c:v>
                </c:pt>
                <c:pt idx="1">
                  <c:v>0.79</c:v>
                </c:pt>
                <c:pt idx="2">
                  <c:v>1</c:v>
                </c:pt>
                <c:pt idx="3">
                  <c:v>2.2000000000000002</c:v>
                </c:pt>
              </c:numCache>
            </c:numRef>
          </c:val>
        </c:ser>
        <c:ser>
          <c:idx val="4"/>
          <c:order val="4"/>
          <c:tx>
            <c:strRef>
              <c:f>List4!$A$103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List4!$B$103:$E$103</c:f>
              <c:numCache>
                <c:formatCode>_-* #\ ##0.0\ _K_č_-;\-* #\ ##0.0\ _K_č_-;_-* "-"?\ _K_č_-;_-@_-</c:formatCode>
                <c:ptCount val="4"/>
                <c:pt idx="0">
                  <c:v>0.39</c:v>
                </c:pt>
                <c:pt idx="1">
                  <c:v>0.6</c:v>
                </c:pt>
                <c:pt idx="2">
                  <c:v>0.93</c:v>
                </c:pt>
                <c:pt idx="3">
                  <c:v>1.91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150736"/>
        <c:axId val="322153872"/>
      </c:barChart>
      <c:catAx>
        <c:axId val="32215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2153872"/>
        <c:crosses val="autoZero"/>
        <c:auto val="1"/>
        <c:lblAlgn val="ctr"/>
        <c:lblOffset val="100"/>
        <c:noMultiLvlLbl val="0"/>
      </c:catAx>
      <c:valAx>
        <c:axId val="32215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K_č_-;\-* #\ ##0.0\ _K_č_-;_-* &quot;-&quot;?\ _K_č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2150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saldo ( běž. Př. - běž.výd.)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numLit>
          </c:cat>
          <c:val>
            <c:numLit>
              <c:formatCode>General</c:formatCode>
              <c:ptCount val="4"/>
              <c:pt idx="0">
                <c:v>0.17944808100989548</c:v>
              </c:pt>
              <c:pt idx="1">
                <c:v>0.18254106156577712</c:v>
              </c:pt>
              <c:pt idx="2">
                <c:v>0.16016715023242142</c:v>
              </c:pt>
              <c:pt idx="3">
                <c:v>0.19184989135766159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154656"/>
        <c:axId val="322155048"/>
      </c:barChart>
      <c:catAx>
        <c:axId val="3221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2155048"/>
        <c:crosses val="autoZero"/>
        <c:auto val="1"/>
        <c:lblAlgn val="ctr"/>
        <c:lblOffset val="100"/>
        <c:noMultiLvlLbl val="0"/>
      </c:catAx>
      <c:valAx>
        <c:axId val="32215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215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List4!$A$143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List4!$B$143:$G$143</c:f>
              <c:numCache>
                <c:formatCode>#,##0</c:formatCode>
                <c:ptCount val="6"/>
                <c:pt idx="0">
                  <c:v>64168.275999999998</c:v>
                </c:pt>
                <c:pt idx="1">
                  <c:v>68876.667000000001</c:v>
                </c:pt>
                <c:pt idx="2">
                  <c:v>70886.188999999998</c:v>
                </c:pt>
                <c:pt idx="3">
                  <c:v>86513</c:v>
                </c:pt>
                <c:pt idx="4">
                  <c:v>105237.84600000001</c:v>
                </c:pt>
                <c:pt idx="5">
                  <c:v>108848</c:v>
                </c:pt>
              </c:numCache>
            </c:numRef>
          </c:val>
        </c:ser>
        <c:ser>
          <c:idx val="1"/>
          <c:order val="1"/>
          <c:tx>
            <c:strRef>
              <c:f>List4!$A$144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List4!$B$144:$G$144</c:f>
              <c:numCache>
                <c:formatCode>#,##0</c:formatCode>
                <c:ptCount val="6"/>
                <c:pt idx="0">
                  <c:v>89472.981</c:v>
                </c:pt>
                <c:pt idx="1">
                  <c:v>70930.301000000007</c:v>
                </c:pt>
                <c:pt idx="2">
                  <c:v>87313.297000000006</c:v>
                </c:pt>
                <c:pt idx="3">
                  <c:v>56664.073810000002</c:v>
                </c:pt>
                <c:pt idx="4">
                  <c:v>124647.56903999999</c:v>
                </c:pt>
                <c:pt idx="5">
                  <c:v>130357.05799999999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149952"/>
        <c:axId val="322151912"/>
      </c:barChart>
      <c:lineChart>
        <c:grouping val="standard"/>
        <c:varyColors val="0"/>
        <c:ser>
          <c:idx val="2"/>
          <c:order val="2"/>
          <c:tx>
            <c:strRef>
              <c:f>List4!$A$145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List4!$B$145:$G$145</c:f>
              <c:numCache>
                <c:formatCode>#,##0</c:formatCode>
                <c:ptCount val="6"/>
                <c:pt idx="0">
                  <c:v>153641.25699999998</c:v>
                </c:pt>
                <c:pt idx="1">
                  <c:v>139806.96799999999</c:v>
                </c:pt>
                <c:pt idx="2">
                  <c:v>158199.486</c:v>
                </c:pt>
                <c:pt idx="3">
                  <c:v>143177.07381</c:v>
                </c:pt>
                <c:pt idx="4">
                  <c:v>229885.41503999999</c:v>
                </c:pt>
                <c:pt idx="5">
                  <c:v>239205.05799999999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49952"/>
        <c:axId val="322151912"/>
      </c:lineChart>
      <c:dateAx>
        <c:axId val="32214995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2151912"/>
        <c:crosses val="autoZero"/>
        <c:auto val="0"/>
        <c:lblOffset val="100"/>
        <c:baseTimeUnit val="days"/>
      </c:dateAx>
      <c:valAx>
        <c:axId val="32215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00\ 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2149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222222222222221E-2"/>
          <c:y val="0.17171296296296298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3.8067475940507439E-2"/>
                  <c:y val="-6.38520705745115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702974628171479E-3"/>
                  <c:y val="-0.438044619422572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523840769903761E-2"/>
                  <c:y val="-0.2321099445902595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List4!$A$70:$A$73</c:f>
              <c:strCache>
                <c:ptCount val="4"/>
                <c:pt idx="0">
                  <c:v>Osobní náklady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List4!$B$70:$B$73</c:f>
              <c:numCache>
                <c:formatCode>#,##0</c:formatCode>
                <c:ptCount val="4"/>
                <c:pt idx="0">
                  <c:v>32378530.280000001</c:v>
                </c:pt>
                <c:pt idx="1">
                  <c:v>79623035.077600002</c:v>
                </c:pt>
                <c:pt idx="2">
                  <c:v>115416958</c:v>
                </c:pt>
                <c:pt idx="3">
                  <c:v>11786535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List4!$J$131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List4!$I$132:$I$136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 oček.</c:v>
                </c:pt>
                <c:pt idx="4">
                  <c:v>2018-plán</c:v>
                </c:pt>
              </c:strCache>
            </c:strRef>
          </c:cat>
          <c:val>
            <c:numRef>
              <c:f>List4!$J$132:$J$136</c:f>
              <c:numCache>
                <c:formatCode>0%</c:formatCode>
                <c:ptCount val="5"/>
                <c:pt idx="0">
                  <c:v>0.51422198710544109</c:v>
                </c:pt>
                <c:pt idx="1">
                  <c:v>0.54424914790073209</c:v>
                </c:pt>
                <c:pt idx="2">
                  <c:v>0.65309041824312719</c:v>
                </c:pt>
                <c:pt idx="3">
                  <c:v>0.77124055192751118</c:v>
                </c:pt>
                <c:pt idx="4">
                  <c:v>0.46602929622561712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List4!$K$131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List4!$I$132:$I$136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 oček.</c:v>
                </c:pt>
                <c:pt idx="4">
                  <c:v>2018-plán</c:v>
                </c:pt>
              </c:strCache>
            </c:strRef>
          </c:cat>
          <c:val>
            <c:numRef>
              <c:f>List4!$K$132:$K$136</c:f>
              <c:numCache>
                <c:formatCode>0%</c:formatCode>
                <c:ptCount val="5"/>
                <c:pt idx="0">
                  <c:v>0.48577801046796448</c:v>
                </c:pt>
                <c:pt idx="1">
                  <c:v>0.45575085563076662</c:v>
                </c:pt>
                <c:pt idx="2">
                  <c:v>0.26722439406306514</c:v>
                </c:pt>
                <c:pt idx="3">
                  <c:v>0.6348001430143857</c:v>
                </c:pt>
                <c:pt idx="4">
                  <c:v>0.46644037866958865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45056"/>
        <c:axId val="493750152"/>
      </c:lineChart>
      <c:catAx>
        <c:axId val="4937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3750152"/>
        <c:crosses val="autoZero"/>
        <c:auto val="1"/>
        <c:lblAlgn val="ctr"/>
        <c:lblOffset val="100"/>
        <c:noMultiLvlLbl val="0"/>
      </c:catAx>
      <c:valAx>
        <c:axId val="49375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3745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37</xdr:row>
      <xdr:rowOff>152400</xdr:rowOff>
    </xdr:from>
    <xdr:to>
      <xdr:col>19</xdr:col>
      <xdr:colOff>200025</xdr:colOff>
      <xdr:row>63</xdr:row>
      <xdr:rowOff>9525</xdr:rowOff>
    </xdr:to>
    <xdr:graphicFrame macro="">
      <xdr:nvGraphicFramePr>
        <xdr:cNvPr id="869440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13</xdr:row>
      <xdr:rowOff>0</xdr:rowOff>
    </xdr:from>
    <xdr:to>
      <xdr:col>19</xdr:col>
      <xdr:colOff>152400</xdr:colOff>
      <xdr:row>33</xdr:row>
      <xdr:rowOff>152400</xdr:rowOff>
    </xdr:to>
    <xdr:graphicFrame macro="">
      <xdr:nvGraphicFramePr>
        <xdr:cNvPr id="8694409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17</xdr:row>
      <xdr:rowOff>19050</xdr:rowOff>
    </xdr:from>
    <xdr:to>
      <xdr:col>4</xdr:col>
      <xdr:colOff>1562100</xdr:colOff>
      <xdr:row>33</xdr:row>
      <xdr:rowOff>161925</xdr:rowOff>
    </xdr:to>
    <xdr:graphicFrame macro="">
      <xdr:nvGraphicFramePr>
        <xdr:cNvPr id="8694410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36</xdr:row>
      <xdr:rowOff>9525</xdr:rowOff>
    </xdr:from>
    <xdr:to>
      <xdr:col>4</xdr:col>
      <xdr:colOff>942975</xdr:colOff>
      <xdr:row>50</xdr:row>
      <xdr:rowOff>66675</xdr:rowOff>
    </xdr:to>
    <xdr:graphicFrame macro="">
      <xdr:nvGraphicFramePr>
        <xdr:cNvPr id="8694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542925</xdr:colOff>
      <xdr:row>105</xdr:row>
      <xdr:rowOff>76200</xdr:rowOff>
    </xdr:from>
    <xdr:to>
      <xdr:col>7</xdr:col>
      <xdr:colOff>666750</xdr:colOff>
      <xdr:row>135</xdr:row>
      <xdr:rowOff>28575</xdr:rowOff>
    </xdr:to>
    <xdr:graphicFrame macro="">
      <xdr:nvGraphicFramePr>
        <xdr:cNvPr id="8694412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1781175</xdr:colOff>
      <xdr:row>101</xdr:row>
      <xdr:rowOff>28575</xdr:rowOff>
    </xdr:from>
    <xdr:to>
      <xdr:col>14</xdr:col>
      <xdr:colOff>28575</xdr:colOff>
      <xdr:row>118</xdr:row>
      <xdr:rowOff>19050</xdr:rowOff>
    </xdr:to>
    <xdr:graphicFrame macro="">
      <xdr:nvGraphicFramePr>
        <xdr:cNvPr id="869441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704850</xdr:colOff>
      <xdr:row>151</xdr:row>
      <xdr:rowOff>28575</xdr:rowOff>
    </xdr:from>
    <xdr:to>
      <xdr:col>8</xdr:col>
      <xdr:colOff>104775</xdr:colOff>
      <xdr:row>169</xdr:row>
      <xdr:rowOff>85725</xdr:rowOff>
    </xdr:to>
    <xdr:graphicFrame macro="">
      <xdr:nvGraphicFramePr>
        <xdr:cNvPr id="8694414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476250</xdr:colOff>
      <xdr:row>71</xdr:row>
      <xdr:rowOff>85725</xdr:rowOff>
    </xdr:from>
    <xdr:to>
      <xdr:col>10</xdr:col>
      <xdr:colOff>190500</xdr:colOff>
      <xdr:row>88</xdr:row>
      <xdr:rowOff>76200</xdr:rowOff>
    </xdr:to>
    <xdr:graphicFrame macro="">
      <xdr:nvGraphicFramePr>
        <xdr:cNvPr id="8694415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95250</xdr:colOff>
      <xdr:row>136</xdr:row>
      <xdr:rowOff>152400</xdr:rowOff>
    </xdr:from>
    <xdr:to>
      <xdr:col>13</xdr:col>
      <xdr:colOff>581025</xdr:colOff>
      <xdr:row>153</xdr:row>
      <xdr:rowOff>142875</xdr:rowOff>
    </xdr:to>
    <xdr:graphicFrame macro="">
      <xdr:nvGraphicFramePr>
        <xdr:cNvPr id="86944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12</xdr:row>
      <xdr:rowOff>47625</xdr:rowOff>
    </xdr:from>
    <xdr:to>
      <xdr:col>15</xdr:col>
      <xdr:colOff>542925</xdr:colOff>
      <xdr:row>42</xdr:row>
      <xdr:rowOff>19050</xdr:rowOff>
    </xdr:to>
    <xdr:graphicFrame macro="">
      <xdr:nvGraphicFramePr>
        <xdr:cNvPr id="8682570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809625</xdr:colOff>
      <xdr:row>37</xdr:row>
      <xdr:rowOff>152400</xdr:rowOff>
    </xdr:from>
    <xdr:to>
      <xdr:col>17</xdr:col>
      <xdr:colOff>200025</xdr:colOff>
      <xdr:row>63</xdr:row>
      <xdr:rowOff>9525</xdr:rowOff>
    </xdr:to>
    <xdr:graphicFrame macro="">
      <xdr:nvGraphicFramePr>
        <xdr:cNvPr id="845911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13</xdr:row>
      <xdr:rowOff>0</xdr:rowOff>
    </xdr:from>
    <xdr:to>
      <xdr:col>17</xdr:col>
      <xdr:colOff>152400</xdr:colOff>
      <xdr:row>33</xdr:row>
      <xdr:rowOff>152400</xdr:rowOff>
    </xdr:to>
    <xdr:graphicFrame macro="">
      <xdr:nvGraphicFramePr>
        <xdr:cNvPr id="8459115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17</xdr:row>
      <xdr:rowOff>19050</xdr:rowOff>
    </xdr:from>
    <xdr:to>
      <xdr:col>4</xdr:col>
      <xdr:colOff>1562100</xdr:colOff>
      <xdr:row>33</xdr:row>
      <xdr:rowOff>161925</xdr:rowOff>
    </xdr:to>
    <xdr:graphicFrame macro="">
      <xdr:nvGraphicFramePr>
        <xdr:cNvPr id="845911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37</xdr:row>
      <xdr:rowOff>104775</xdr:rowOff>
    </xdr:from>
    <xdr:to>
      <xdr:col>5</xdr:col>
      <xdr:colOff>219075</xdr:colOff>
      <xdr:row>52</xdr:row>
      <xdr:rowOff>19050</xdr:rowOff>
    </xdr:to>
    <xdr:graphicFrame macro="">
      <xdr:nvGraphicFramePr>
        <xdr:cNvPr id="8459117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1333500</xdr:colOff>
      <xdr:row>75</xdr:row>
      <xdr:rowOff>57150</xdr:rowOff>
    </xdr:from>
    <xdr:to>
      <xdr:col>5</xdr:col>
      <xdr:colOff>438150</xdr:colOff>
      <xdr:row>93</xdr:row>
      <xdr:rowOff>57150</xdr:rowOff>
    </xdr:to>
    <xdr:graphicFrame macro="">
      <xdr:nvGraphicFramePr>
        <xdr:cNvPr id="845911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323850</xdr:colOff>
      <xdr:row>104</xdr:row>
      <xdr:rowOff>57150</xdr:rowOff>
    </xdr:from>
    <xdr:to>
      <xdr:col>4</xdr:col>
      <xdr:colOff>1704975</xdr:colOff>
      <xdr:row>134</xdr:row>
      <xdr:rowOff>9525</xdr:rowOff>
    </xdr:to>
    <xdr:graphicFrame macro="">
      <xdr:nvGraphicFramePr>
        <xdr:cNvPr id="845911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123825</xdr:colOff>
      <xdr:row>150</xdr:row>
      <xdr:rowOff>19050</xdr:rowOff>
    </xdr:from>
    <xdr:to>
      <xdr:col>4</xdr:col>
      <xdr:colOff>209550</xdr:colOff>
      <xdr:row>167</xdr:row>
      <xdr:rowOff>9525</xdr:rowOff>
    </xdr:to>
    <xdr:graphicFrame macro="">
      <xdr:nvGraphicFramePr>
        <xdr:cNvPr id="845912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1781175</xdr:colOff>
      <xdr:row>100</xdr:row>
      <xdr:rowOff>28575</xdr:rowOff>
    </xdr:from>
    <xdr:to>
      <xdr:col>12</xdr:col>
      <xdr:colOff>28575</xdr:colOff>
      <xdr:row>117</xdr:row>
      <xdr:rowOff>19050</xdr:rowOff>
    </xdr:to>
    <xdr:graphicFrame macro="">
      <xdr:nvGraphicFramePr>
        <xdr:cNvPr id="845912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190500</xdr:colOff>
      <xdr:row>132</xdr:row>
      <xdr:rowOff>142875</xdr:rowOff>
    </xdr:from>
    <xdr:to>
      <xdr:col>10</xdr:col>
      <xdr:colOff>285750</xdr:colOff>
      <xdr:row>149</xdr:row>
      <xdr:rowOff>133350</xdr:rowOff>
    </xdr:to>
    <xdr:graphicFrame macro="">
      <xdr:nvGraphicFramePr>
        <xdr:cNvPr id="845912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8\rozpo&#269;et%202018\rozpo&#269;et%202018%20RO%20&#269;.2%20Nesahat!!!!\Rozpo&#269;et%202018%20-%20podklady%20Person&#225;l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8\rozpo&#269;et%202018\rozpo&#269;et%202018%20RO%20&#269;.2%20Nesahat!!!!\Rozpo&#269;et%202018%20-%20podklady%20O&#381;P&#218;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8\rozpo&#269;et%202018\rozpo&#269;et%202018%20RO%20&#269;.2%20Nesahat!!!!\Rozpo&#269;et%202018%20-%20podklady%20OSP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8\rozpo&#269;et%202018\rozpo&#269;et%202018%20RO%20&#269;.2%20Nesahat!!!!\Rozpo&#269;et%202018%20-%20podklady%20O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8\rozpo&#269;et%202018\rozpo&#269;et%202018%20RO%20&#269;.2%20Nesahat!!!!\Rozpo&#269;et%202018%20-%20podklady%20OI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8\rozpo&#269;et%202018\rozpo&#269;et%202018%20RO%20&#269;.2%20Nesahat!!!!\Rozpo&#269;et%202018%20-%20podklady%20O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hare\spolecny\SEKRETARIAT\upload\rozpocet\Rozpo&#269;et%20m&#283;sta%20rok%202018\rozpo&#269;et%202018\rozpo&#269;et%202018%20RO%20&#269;.1%20Nesahat!!!!!\Rozpo&#269;et%202018%20-%20podklady%20O&#381;P&#218;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hare\spolecny\SEKRETARIAT\upload\rozpocet\Rozpo&#269;et%20m&#283;sta%20rok%202018\rozpo&#269;et%202018\Rozpo&#269;et%202018%20Nesahat!!!!!!\2018%20Rozpo&#269;et_m&#283;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3">
          <cell r="B3">
            <v>4105000</v>
          </cell>
          <cell r="C3">
            <v>0</v>
          </cell>
          <cell r="D3">
            <v>370000</v>
          </cell>
          <cell r="E3">
            <v>0</v>
          </cell>
          <cell r="F3">
            <v>0</v>
          </cell>
          <cell r="G3">
            <v>0</v>
          </cell>
          <cell r="H3">
            <v>1118750</v>
          </cell>
          <cell r="I3">
            <v>402750</v>
          </cell>
          <cell r="J3">
            <v>18795</v>
          </cell>
          <cell r="M3">
            <v>6015295</v>
          </cell>
        </row>
        <row r="4">
          <cell r="B4">
            <v>3969800</v>
          </cell>
          <cell r="C4">
            <v>120000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992450</v>
          </cell>
          <cell r="I4">
            <v>357282</v>
          </cell>
          <cell r="J4">
            <v>16673.16</v>
          </cell>
          <cell r="M4">
            <v>5456205.1600000001</v>
          </cell>
        </row>
        <row r="5">
          <cell r="B5">
            <v>0</v>
          </cell>
          <cell r="C5">
            <v>0</v>
          </cell>
          <cell r="D5">
            <v>70800</v>
          </cell>
          <cell r="E5">
            <v>0</v>
          </cell>
          <cell r="F5">
            <v>0</v>
          </cell>
          <cell r="G5">
            <v>30000</v>
          </cell>
          <cell r="H5">
            <v>17700</v>
          </cell>
          <cell r="I5">
            <v>6372</v>
          </cell>
          <cell r="J5">
            <v>297.35999999999996</v>
          </cell>
          <cell r="M5">
            <v>125169.36</v>
          </cell>
        </row>
        <row r="6">
          <cell r="B6">
            <v>1243000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310750</v>
          </cell>
          <cell r="I6">
            <v>111870</v>
          </cell>
          <cell r="J6">
            <v>5220.5999999999995</v>
          </cell>
          <cell r="M6">
            <v>1670840.6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M7">
            <v>0</v>
          </cell>
        </row>
        <row r="8">
          <cell r="B8">
            <v>1050400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262600</v>
          </cell>
          <cell r="I8">
            <v>94536</v>
          </cell>
          <cell r="J8">
            <v>4411.6799999999994</v>
          </cell>
          <cell r="M8">
            <v>1411947.68</v>
          </cell>
        </row>
        <row r="9">
          <cell r="B9">
            <v>0</v>
          </cell>
          <cell r="C9">
            <v>89400</v>
          </cell>
          <cell r="D9">
            <v>42000</v>
          </cell>
          <cell r="E9">
            <v>0</v>
          </cell>
          <cell r="F9">
            <v>0</v>
          </cell>
          <cell r="G9">
            <v>0</v>
          </cell>
          <cell r="H9">
            <v>10500</v>
          </cell>
          <cell r="I9">
            <v>3780</v>
          </cell>
          <cell r="J9">
            <v>176.39999999999998</v>
          </cell>
          <cell r="M9">
            <v>145856.4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2004000</v>
          </cell>
          <cell r="C12">
            <v>0</v>
          </cell>
          <cell r="D12">
            <v>45000</v>
          </cell>
          <cell r="E12">
            <v>0</v>
          </cell>
          <cell r="F12">
            <v>0</v>
          </cell>
          <cell r="G12">
            <v>0</v>
          </cell>
          <cell r="H12">
            <v>512250</v>
          </cell>
          <cell r="I12">
            <v>184410</v>
          </cell>
          <cell r="J12">
            <v>8605.7999999999993</v>
          </cell>
          <cell r="M12">
            <v>2754265.8</v>
          </cell>
        </row>
        <row r="13">
          <cell r="B13">
            <v>3100000</v>
          </cell>
          <cell r="C13">
            <v>4000</v>
          </cell>
          <cell r="D13">
            <v>225000</v>
          </cell>
          <cell r="E13">
            <v>0</v>
          </cell>
          <cell r="F13">
            <v>0</v>
          </cell>
          <cell r="G13">
            <v>0</v>
          </cell>
          <cell r="H13">
            <v>831250</v>
          </cell>
          <cell r="I13">
            <v>299250.00000000047</v>
          </cell>
          <cell r="J13">
            <v>13965</v>
          </cell>
          <cell r="M13">
            <v>4473465</v>
          </cell>
        </row>
        <row r="14">
          <cell r="B14">
            <v>1500000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375000</v>
          </cell>
          <cell r="I14">
            <v>135000.00000000023</v>
          </cell>
          <cell r="J14">
            <v>6300</v>
          </cell>
          <cell r="M14">
            <v>2016300.0000000002</v>
          </cell>
        </row>
        <row r="15">
          <cell r="B15">
            <v>1234000</v>
          </cell>
          <cell r="C15">
            <v>0</v>
          </cell>
          <cell r="D15">
            <v>5000</v>
          </cell>
          <cell r="E15">
            <v>0</v>
          </cell>
          <cell r="F15">
            <v>0</v>
          </cell>
          <cell r="G15">
            <v>0</v>
          </cell>
          <cell r="H15">
            <v>309750</v>
          </cell>
          <cell r="I15">
            <v>111510</v>
          </cell>
          <cell r="J15">
            <v>5203.7999999999993</v>
          </cell>
          <cell r="M15">
            <v>1665463.8</v>
          </cell>
        </row>
        <row r="16">
          <cell r="B16">
            <v>3162500</v>
          </cell>
          <cell r="C16">
            <v>0</v>
          </cell>
          <cell r="D16">
            <v>400000</v>
          </cell>
          <cell r="E16">
            <v>0</v>
          </cell>
          <cell r="F16">
            <v>0</v>
          </cell>
          <cell r="G16">
            <v>0</v>
          </cell>
          <cell r="H16">
            <v>890625</v>
          </cell>
          <cell r="I16">
            <v>320625.00000000047</v>
          </cell>
          <cell r="J16">
            <v>14962.5</v>
          </cell>
          <cell r="M16">
            <v>4788712.5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</row>
        <row r="18">
          <cell r="E18">
            <v>2347000</v>
          </cell>
          <cell r="F18">
            <v>657000</v>
          </cell>
          <cell r="H18">
            <v>586750</v>
          </cell>
          <cell r="I18">
            <v>211230</v>
          </cell>
          <cell r="J18">
            <v>9857.4</v>
          </cell>
          <cell r="M18">
            <v>3811837.4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Rybníky 3749-2"/>
      <sheetName val="Městská stezka 374-3"/>
      <sheetName val="TSÚ-Sběrný dvůr 3722-36"/>
      <sheetName val="Pošembeří"/>
      <sheetName val="List1"/>
    </sheetNames>
    <sheetDataSet>
      <sheetData sheetId="0">
        <row r="4">
          <cell r="B4">
            <v>165000</v>
          </cell>
        </row>
        <row r="14">
          <cell r="B14">
            <v>0</v>
          </cell>
        </row>
        <row r="22">
          <cell r="B22">
            <v>50000</v>
          </cell>
        </row>
        <row r="30">
          <cell r="B30">
            <v>20000</v>
          </cell>
        </row>
        <row r="32">
          <cell r="B32">
            <v>20000</v>
          </cell>
        </row>
      </sheetData>
      <sheetData sheetId="1">
        <row r="4">
          <cell r="B4">
            <v>0</v>
          </cell>
        </row>
        <row r="12">
          <cell r="B12">
            <v>350000</v>
          </cell>
        </row>
        <row r="20">
          <cell r="B20">
            <v>50000</v>
          </cell>
        </row>
        <row r="22">
          <cell r="B22">
            <v>50000</v>
          </cell>
        </row>
        <row r="29">
          <cell r="B29">
            <v>254100</v>
          </cell>
        </row>
      </sheetData>
      <sheetData sheetId="2">
        <row r="4">
          <cell r="B4">
            <v>200000</v>
          </cell>
        </row>
        <row r="6">
          <cell r="B6">
            <v>200000</v>
          </cell>
        </row>
      </sheetData>
      <sheetData sheetId="3">
        <row r="4">
          <cell r="B4">
            <v>0</v>
          </cell>
        </row>
        <row r="12">
          <cell r="B12">
            <v>0</v>
          </cell>
        </row>
        <row r="20">
          <cell r="D20">
            <v>0</v>
          </cell>
          <cell r="E20">
            <v>4950000</v>
          </cell>
        </row>
        <row r="22">
          <cell r="B22">
            <v>4950000</v>
          </cell>
        </row>
        <row r="23">
          <cell r="B23">
            <v>0</v>
          </cell>
        </row>
        <row r="29">
          <cell r="B29">
            <v>0</v>
          </cell>
        </row>
      </sheetData>
      <sheetData sheetId="4">
        <row r="4">
          <cell r="D4">
            <v>60000</v>
          </cell>
          <cell r="E4">
            <v>650000</v>
          </cell>
        </row>
        <row r="6">
          <cell r="B6">
            <v>650000</v>
          </cell>
        </row>
        <row r="7">
          <cell r="B7">
            <v>30000</v>
          </cell>
        </row>
        <row r="8">
          <cell r="B8">
            <v>30000</v>
          </cell>
        </row>
        <row r="13">
          <cell r="B13">
            <v>215700</v>
          </cell>
        </row>
        <row r="17">
          <cell r="B17">
            <v>215700</v>
          </cell>
        </row>
      </sheetData>
      <sheetData sheetId="5">
        <row r="4">
          <cell r="B4">
            <v>545000</v>
          </cell>
        </row>
        <row r="6">
          <cell r="B6">
            <v>500000</v>
          </cell>
        </row>
        <row r="9">
          <cell r="B9">
            <v>0</v>
          </cell>
        </row>
        <row r="10">
          <cell r="B10">
            <v>45000</v>
          </cell>
        </row>
      </sheetData>
      <sheetData sheetId="6">
        <row r="4">
          <cell r="D4">
            <v>0</v>
          </cell>
          <cell r="E4">
            <v>70000</v>
          </cell>
        </row>
        <row r="6">
          <cell r="B6">
            <v>70000</v>
          </cell>
        </row>
      </sheetData>
      <sheetData sheetId="7">
        <row r="4">
          <cell r="B4">
            <v>0</v>
          </cell>
        </row>
        <row r="12">
          <cell r="B12">
            <v>66500</v>
          </cell>
        </row>
        <row r="14">
          <cell r="B14">
            <v>60000</v>
          </cell>
        </row>
        <row r="15">
          <cell r="B15">
            <v>6500</v>
          </cell>
        </row>
        <row r="16">
          <cell r="B16">
            <v>0</v>
          </cell>
        </row>
        <row r="21">
          <cell r="B21">
            <v>0</v>
          </cell>
        </row>
        <row r="29">
          <cell r="B29">
            <v>0</v>
          </cell>
        </row>
        <row r="33">
          <cell r="B33">
            <v>0</v>
          </cell>
        </row>
      </sheetData>
      <sheetData sheetId="8">
        <row r="4">
          <cell r="D4">
            <v>300000</v>
          </cell>
          <cell r="E4">
            <v>50000</v>
          </cell>
        </row>
        <row r="13">
          <cell r="B13">
            <v>3330000</v>
          </cell>
        </row>
        <row r="15">
          <cell r="B15">
            <v>300000</v>
          </cell>
        </row>
        <row r="16">
          <cell r="B16">
            <v>1460000</v>
          </cell>
        </row>
        <row r="17">
          <cell r="B17">
            <v>1060000</v>
          </cell>
        </row>
        <row r="18">
          <cell r="B18">
            <v>510000</v>
          </cell>
        </row>
        <row r="23">
          <cell r="B23">
            <v>222000</v>
          </cell>
        </row>
        <row r="26">
          <cell r="B26">
            <v>200000</v>
          </cell>
        </row>
        <row r="27">
          <cell r="B27">
            <v>22000</v>
          </cell>
        </row>
      </sheetData>
      <sheetData sheetId="9">
        <row r="4">
          <cell r="B4">
            <v>0</v>
          </cell>
        </row>
        <row r="13">
          <cell r="B13">
            <v>0</v>
          </cell>
        </row>
        <row r="29">
          <cell r="B29">
            <v>2058000</v>
          </cell>
        </row>
        <row r="32">
          <cell r="B32">
            <v>2058000</v>
          </cell>
        </row>
      </sheetData>
      <sheetData sheetId="10">
        <row r="4">
          <cell r="B4">
            <v>0</v>
          </cell>
        </row>
        <row r="13">
          <cell r="B13">
            <v>351001</v>
          </cell>
        </row>
        <row r="21">
          <cell r="B21">
            <v>421000</v>
          </cell>
        </row>
        <row r="23">
          <cell r="B23">
            <v>400000</v>
          </cell>
        </row>
        <row r="24">
          <cell r="B24">
            <v>21000</v>
          </cell>
        </row>
      </sheetData>
      <sheetData sheetId="11">
        <row r="4">
          <cell r="B4">
            <v>0</v>
          </cell>
        </row>
        <row r="13">
          <cell r="B13">
            <v>0</v>
          </cell>
        </row>
        <row r="21">
          <cell r="B21">
            <v>0</v>
          </cell>
        </row>
        <row r="29">
          <cell r="B29">
            <v>0</v>
          </cell>
        </row>
      </sheetData>
      <sheetData sheetId="12">
        <row r="4">
          <cell r="B4">
            <v>2000000</v>
          </cell>
        </row>
        <row r="6">
          <cell r="B6">
            <v>2000000</v>
          </cell>
        </row>
      </sheetData>
      <sheetData sheetId="13">
        <row r="4">
          <cell r="B4">
            <v>0</v>
          </cell>
        </row>
        <row r="12">
          <cell r="B12">
            <v>0</v>
          </cell>
        </row>
        <row r="17">
          <cell r="B17">
            <v>0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  <sheetName val="List1"/>
    </sheetNames>
    <sheetDataSet>
      <sheetData sheetId="0">
        <row r="4">
          <cell r="B4">
            <v>8000</v>
          </cell>
        </row>
        <row r="10">
          <cell r="B10">
            <v>500000</v>
          </cell>
        </row>
        <row r="17">
          <cell r="B17">
            <v>45000</v>
          </cell>
        </row>
        <row r="24">
          <cell r="B24">
            <v>50000</v>
          </cell>
        </row>
        <row r="31">
          <cell r="B31">
            <v>50000</v>
          </cell>
        </row>
        <row r="37">
          <cell r="B37">
            <v>17000</v>
          </cell>
        </row>
        <row r="44">
          <cell r="B44">
            <v>40000</v>
          </cell>
        </row>
        <row r="51">
          <cell r="B51">
            <v>30000</v>
          </cell>
        </row>
        <row r="52">
          <cell r="B52">
            <v>30000</v>
          </cell>
        </row>
        <row r="58">
          <cell r="B58">
            <v>30000</v>
          </cell>
        </row>
        <row r="65">
          <cell r="B65">
            <v>140000</v>
          </cell>
        </row>
        <row r="73">
          <cell r="B73">
            <v>135000</v>
          </cell>
        </row>
        <row r="80">
          <cell r="B80">
            <v>75000</v>
          </cell>
        </row>
        <row r="87">
          <cell r="B87">
            <v>1060000</v>
          </cell>
        </row>
      </sheetData>
      <sheetData sheetId="1">
        <row r="4">
          <cell r="B4">
            <v>45000</v>
          </cell>
        </row>
        <row r="11">
          <cell r="B11">
            <v>1000000</v>
          </cell>
        </row>
        <row r="20">
          <cell r="D20">
            <v>530000</v>
          </cell>
          <cell r="E20">
            <v>70000</v>
          </cell>
        </row>
        <row r="27">
          <cell r="B27">
            <v>0</v>
          </cell>
        </row>
        <row r="34">
          <cell r="B34">
            <v>0</v>
          </cell>
        </row>
        <row r="41">
          <cell r="B41">
            <v>0</v>
          </cell>
        </row>
        <row r="48">
          <cell r="B48">
            <v>50000</v>
          </cell>
        </row>
        <row r="55">
          <cell r="B55">
            <v>600000</v>
          </cell>
        </row>
        <row r="62">
          <cell r="B62">
            <v>300000</v>
          </cell>
        </row>
        <row r="69">
          <cell r="B69">
            <v>650000</v>
          </cell>
        </row>
        <row r="75">
          <cell r="B75">
            <v>200000</v>
          </cell>
        </row>
        <row r="82">
          <cell r="B82">
            <v>910000</v>
          </cell>
        </row>
        <row r="83">
          <cell r="B83">
            <v>150000</v>
          </cell>
        </row>
        <row r="84">
          <cell r="B84">
            <v>200000</v>
          </cell>
        </row>
        <row r="85">
          <cell r="B85">
            <v>560000</v>
          </cell>
        </row>
        <row r="90">
          <cell r="B90">
            <v>366000</v>
          </cell>
        </row>
        <row r="91">
          <cell r="B91">
            <v>300000</v>
          </cell>
        </row>
        <row r="92">
          <cell r="D92">
            <v>66000</v>
          </cell>
        </row>
        <row r="97">
          <cell r="B97">
            <v>1300000</v>
          </cell>
        </row>
        <row r="104">
          <cell r="B104">
            <v>30000</v>
          </cell>
        </row>
        <row r="111">
          <cell r="B111">
            <v>120000</v>
          </cell>
        </row>
        <row r="118">
          <cell r="B118">
            <v>0</v>
          </cell>
        </row>
        <row r="125">
          <cell r="B125">
            <v>80000</v>
          </cell>
        </row>
        <row r="132">
          <cell r="B132">
            <v>30000</v>
          </cell>
        </row>
        <row r="139">
          <cell r="B139">
            <v>50000</v>
          </cell>
        </row>
        <row r="146">
          <cell r="B146">
            <v>0</v>
          </cell>
        </row>
        <row r="153">
          <cell r="B153">
            <v>0</v>
          </cell>
        </row>
        <row r="160">
          <cell r="B160">
            <v>0</v>
          </cell>
        </row>
        <row r="167">
          <cell r="B167">
            <v>11248745</v>
          </cell>
        </row>
      </sheetData>
      <sheetData sheetId="2">
        <row r="4">
          <cell r="B4">
            <v>20000</v>
          </cell>
        </row>
        <row r="11">
          <cell r="B11">
            <v>60000</v>
          </cell>
        </row>
        <row r="18">
          <cell r="B18">
            <v>70000</v>
          </cell>
        </row>
        <row r="25">
          <cell r="B25">
            <v>100000</v>
          </cell>
        </row>
        <row r="32">
          <cell r="B32">
            <v>12000</v>
          </cell>
        </row>
        <row r="39">
          <cell r="B39">
            <v>0</v>
          </cell>
        </row>
        <row r="45">
          <cell r="B45">
            <v>8000</v>
          </cell>
        </row>
        <row r="52">
          <cell r="B52">
            <v>20000</v>
          </cell>
        </row>
        <row r="53">
          <cell r="B53">
            <v>20000</v>
          </cell>
        </row>
        <row r="59">
          <cell r="B59">
            <v>40000</v>
          </cell>
        </row>
        <row r="60">
          <cell r="B60">
            <v>40000</v>
          </cell>
        </row>
        <row r="66">
          <cell r="B66">
            <v>10000</v>
          </cell>
        </row>
        <row r="73">
          <cell r="B73">
            <v>1000</v>
          </cell>
        </row>
        <row r="80">
          <cell r="B80">
            <v>12000</v>
          </cell>
        </row>
        <row r="86">
          <cell r="B86">
            <v>10000</v>
          </cell>
        </row>
        <row r="93">
          <cell r="B93">
            <v>5000</v>
          </cell>
        </row>
        <row r="100">
          <cell r="B100">
            <v>0</v>
          </cell>
        </row>
      </sheetData>
      <sheetData sheetId="3">
        <row r="4">
          <cell r="B4">
            <v>86000</v>
          </cell>
        </row>
        <row r="11">
          <cell r="B11">
            <v>3000</v>
          </cell>
        </row>
        <row r="18">
          <cell r="B18">
            <v>50000</v>
          </cell>
        </row>
        <row r="28">
          <cell r="B28">
            <v>30000</v>
          </cell>
        </row>
        <row r="35">
          <cell r="B35">
            <v>0</v>
          </cell>
        </row>
        <row r="42">
          <cell r="B42">
            <v>0</v>
          </cell>
        </row>
        <row r="49">
          <cell r="B49">
            <v>0</v>
          </cell>
        </row>
        <row r="56">
          <cell r="B56">
            <v>150000</v>
          </cell>
        </row>
        <row r="63">
          <cell r="B63">
            <v>0</v>
          </cell>
        </row>
        <row r="70">
          <cell r="B70">
            <v>45000</v>
          </cell>
        </row>
        <row r="77">
          <cell r="B77">
            <v>0</v>
          </cell>
        </row>
        <row r="84">
          <cell r="B84">
            <v>0</v>
          </cell>
        </row>
        <row r="91">
          <cell r="B91">
            <v>75000</v>
          </cell>
        </row>
        <row r="98">
          <cell r="B98">
            <v>35000</v>
          </cell>
        </row>
        <row r="99">
          <cell r="B99">
            <v>25000</v>
          </cell>
        </row>
        <row r="100">
          <cell r="B100">
            <v>10000</v>
          </cell>
        </row>
        <row r="105">
          <cell r="B105">
            <v>55000</v>
          </cell>
        </row>
        <row r="106">
          <cell r="B106">
            <v>55000</v>
          </cell>
        </row>
        <row r="112">
          <cell r="B112">
            <v>180000</v>
          </cell>
        </row>
        <row r="119">
          <cell r="B119">
            <v>15000</v>
          </cell>
        </row>
        <row r="126">
          <cell r="B126">
            <v>20000</v>
          </cell>
        </row>
        <row r="133">
          <cell r="B133">
            <v>0</v>
          </cell>
        </row>
        <row r="140">
          <cell r="B140">
            <v>30000</v>
          </cell>
        </row>
        <row r="147">
          <cell r="B147">
            <v>7000</v>
          </cell>
        </row>
        <row r="154">
          <cell r="B154">
            <v>16000</v>
          </cell>
        </row>
        <row r="161">
          <cell r="B161">
            <v>0</v>
          </cell>
        </row>
        <row r="168">
          <cell r="B168">
            <v>85000</v>
          </cell>
        </row>
        <row r="175">
          <cell r="B175">
            <v>0</v>
          </cell>
        </row>
        <row r="182">
          <cell r="B182">
            <v>822800</v>
          </cell>
        </row>
      </sheetData>
      <sheetData sheetId="4">
        <row r="4">
          <cell r="B4">
            <v>200000</v>
          </cell>
        </row>
        <row r="5">
          <cell r="B5">
            <v>200000</v>
          </cell>
        </row>
      </sheetData>
      <sheetData sheetId="5">
        <row r="4">
          <cell r="B4">
            <v>5000</v>
          </cell>
        </row>
        <row r="11">
          <cell r="B11">
            <v>4000</v>
          </cell>
        </row>
        <row r="18">
          <cell r="B18">
            <v>100000</v>
          </cell>
        </row>
        <row r="19">
          <cell r="B19">
            <v>50000</v>
          </cell>
        </row>
        <row r="20">
          <cell r="B20">
            <v>50000</v>
          </cell>
        </row>
        <row r="25">
          <cell r="B25">
            <v>6000</v>
          </cell>
        </row>
      </sheetData>
      <sheetData sheetId="6">
        <row r="4">
          <cell r="B4">
            <v>200000</v>
          </cell>
        </row>
        <row r="11">
          <cell r="B11">
            <v>50000</v>
          </cell>
        </row>
        <row r="18">
          <cell r="B18">
            <v>25000</v>
          </cell>
        </row>
        <row r="25">
          <cell r="B25">
            <v>0</v>
          </cell>
        </row>
        <row r="32">
          <cell r="B32">
            <v>8000</v>
          </cell>
        </row>
        <row r="39">
          <cell r="B39">
            <v>12000</v>
          </cell>
        </row>
        <row r="46">
          <cell r="B46">
            <v>160000</v>
          </cell>
        </row>
        <row r="53">
          <cell r="B53">
            <v>5000</v>
          </cell>
        </row>
        <row r="60">
          <cell r="B60">
            <v>15000</v>
          </cell>
        </row>
        <row r="61">
          <cell r="B61">
            <v>15000</v>
          </cell>
        </row>
        <row r="67">
          <cell r="B67">
            <v>15000</v>
          </cell>
        </row>
        <row r="68">
          <cell r="B68">
            <v>15000</v>
          </cell>
        </row>
        <row r="74">
          <cell r="B74">
            <v>65000</v>
          </cell>
        </row>
        <row r="81">
          <cell r="B81">
            <v>1000</v>
          </cell>
        </row>
        <row r="88">
          <cell r="B88">
            <v>1000</v>
          </cell>
        </row>
        <row r="95">
          <cell r="B95">
            <v>4000</v>
          </cell>
        </row>
      </sheetData>
      <sheetData sheetId="7">
        <row r="4">
          <cell r="B4">
            <v>40000</v>
          </cell>
        </row>
        <row r="11">
          <cell r="B11">
            <v>450000</v>
          </cell>
        </row>
        <row r="12">
          <cell r="B12">
            <v>450000</v>
          </cell>
        </row>
      </sheetData>
      <sheetData sheetId="8">
        <row r="4">
          <cell r="B4">
            <v>150000</v>
          </cell>
        </row>
        <row r="13">
          <cell r="B13">
            <v>180000</v>
          </cell>
        </row>
        <row r="21">
          <cell r="B21">
            <v>50000</v>
          </cell>
        </row>
        <row r="28">
          <cell r="B28">
            <v>730000</v>
          </cell>
        </row>
        <row r="29">
          <cell r="B29">
            <v>250000</v>
          </cell>
        </row>
        <row r="30">
          <cell r="B30">
            <v>150000</v>
          </cell>
        </row>
        <row r="31">
          <cell r="B31">
            <v>30000</v>
          </cell>
        </row>
        <row r="32">
          <cell r="B32">
            <v>100000</v>
          </cell>
        </row>
        <row r="33">
          <cell r="B33">
            <v>200000</v>
          </cell>
        </row>
        <row r="38">
          <cell r="B38">
            <v>55000</v>
          </cell>
        </row>
        <row r="45">
          <cell r="B45">
            <v>75000</v>
          </cell>
        </row>
        <row r="52">
          <cell r="B52">
            <v>15000</v>
          </cell>
        </row>
        <row r="59">
          <cell r="B59">
            <v>20000</v>
          </cell>
        </row>
      </sheetData>
      <sheetData sheetId="9">
        <row r="4">
          <cell r="B4">
            <v>50000</v>
          </cell>
        </row>
        <row r="11">
          <cell r="B11">
            <v>70000</v>
          </cell>
        </row>
        <row r="18">
          <cell r="B18">
            <v>50000</v>
          </cell>
        </row>
        <row r="26">
          <cell r="B26">
            <v>6000</v>
          </cell>
        </row>
        <row r="61">
          <cell r="B61">
            <v>26000</v>
          </cell>
        </row>
        <row r="68">
          <cell r="B68">
            <v>25000</v>
          </cell>
        </row>
        <row r="75">
          <cell r="B75">
            <v>50000</v>
          </cell>
        </row>
        <row r="76">
          <cell r="B76">
            <v>50000</v>
          </cell>
        </row>
        <row r="82">
          <cell r="B82">
            <v>100000</v>
          </cell>
        </row>
        <row r="83">
          <cell r="B83">
            <v>100000</v>
          </cell>
        </row>
        <row r="89">
          <cell r="B89">
            <v>30000</v>
          </cell>
        </row>
        <row r="96">
          <cell r="B96">
            <v>5000</v>
          </cell>
        </row>
      </sheetData>
      <sheetData sheetId="10">
        <row r="4">
          <cell r="B4">
            <v>50000</v>
          </cell>
        </row>
        <row r="11">
          <cell r="B11">
            <v>30000</v>
          </cell>
        </row>
        <row r="18">
          <cell r="B18">
            <v>0</v>
          </cell>
        </row>
        <row r="25">
          <cell r="B25">
            <v>0</v>
          </cell>
        </row>
        <row r="32">
          <cell r="B32">
            <v>0</v>
          </cell>
        </row>
        <row r="39">
          <cell r="B39">
            <v>10000</v>
          </cell>
        </row>
        <row r="46">
          <cell r="B46">
            <v>10000</v>
          </cell>
        </row>
        <row r="47">
          <cell r="B47">
            <v>10000</v>
          </cell>
        </row>
        <row r="53">
          <cell r="D53">
            <v>0</v>
          </cell>
        </row>
        <row r="54">
          <cell r="B54">
            <v>0</v>
          </cell>
        </row>
        <row r="55">
          <cell r="B55">
            <v>0</v>
          </cell>
        </row>
        <row r="60">
          <cell r="B60">
            <v>0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Koupaliště-Hřišť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4">
          <cell r="B4">
            <v>50000</v>
          </cell>
        </row>
        <row r="5">
          <cell r="B5">
            <v>50000</v>
          </cell>
        </row>
        <row r="11">
          <cell r="B11">
            <v>0</v>
          </cell>
        </row>
        <row r="18">
          <cell r="B18">
            <v>660000</v>
          </cell>
        </row>
        <row r="25">
          <cell r="B25">
            <v>0</v>
          </cell>
        </row>
        <row r="32">
          <cell r="B32">
            <v>0</v>
          </cell>
        </row>
      </sheetData>
      <sheetData sheetId="1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2"/>
      <sheetData sheetId="3">
        <row r="4">
          <cell r="B4">
            <v>460000</v>
          </cell>
        </row>
        <row r="5">
          <cell r="B5">
            <v>250000</v>
          </cell>
        </row>
        <row r="6">
          <cell r="B6">
            <v>210000</v>
          </cell>
        </row>
        <row r="11">
          <cell r="D11">
            <v>500000</v>
          </cell>
          <cell r="E11">
            <v>80000</v>
          </cell>
        </row>
        <row r="12">
          <cell r="B12">
            <v>80000</v>
          </cell>
        </row>
        <row r="13">
          <cell r="B13">
            <v>200000</v>
          </cell>
        </row>
        <row r="14">
          <cell r="B14">
            <v>50000</v>
          </cell>
        </row>
        <row r="15">
          <cell r="B15">
            <v>250000</v>
          </cell>
        </row>
        <row r="22">
          <cell r="D22">
            <v>20000</v>
          </cell>
          <cell r="E22">
            <v>0</v>
          </cell>
        </row>
        <row r="29">
          <cell r="D29">
            <v>34862</v>
          </cell>
          <cell r="E29">
            <v>0</v>
          </cell>
        </row>
        <row r="36">
          <cell r="D36">
            <v>80000</v>
          </cell>
          <cell r="E36">
            <v>0</v>
          </cell>
        </row>
      </sheetData>
      <sheetData sheetId="4">
        <row r="4">
          <cell r="D4">
            <v>240000</v>
          </cell>
          <cell r="E4">
            <v>0</v>
          </cell>
        </row>
        <row r="5">
          <cell r="B5">
            <v>220000</v>
          </cell>
        </row>
        <row r="6">
          <cell r="B6">
            <v>20000</v>
          </cell>
        </row>
        <row r="11">
          <cell r="D11">
            <v>150000</v>
          </cell>
          <cell r="E11">
            <v>50000</v>
          </cell>
        </row>
        <row r="12">
          <cell r="B12">
            <v>150000</v>
          </cell>
        </row>
        <row r="13">
          <cell r="B13">
            <v>50000</v>
          </cell>
        </row>
        <row r="14">
          <cell r="B14">
            <v>0</v>
          </cell>
        </row>
      </sheetData>
      <sheetData sheetId="5">
        <row r="4">
          <cell r="B4">
            <v>15000</v>
          </cell>
        </row>
        <row r="11">
          <cell r="B11">
            <v>60000</v>
          </cell>
        </row>
        <row r="18">
          <cell r="B18">
            <v>150000</v>
          </cell>
        </row>
        <row r="19">
          <cell r="B19">
            <v>120000</v>
          </cell>
        </row>
        <row r="20">
          <cell r="B20">
            <v>30000</v>
          </cell>
        </row>
        <row r="25">
          <cell r="D25">
            <v>480000</v>
          </cell>
          <cell r="E25">
            <v>60000</v>
          </cell>
        </row>
        <row r="26">
          <cell r="B26">
            <v>150000</v>
          </cell>
        </row>
        <row r="27">
          <cell r="B27">
            <v>40000</v>
          </cell>
        </row>
        <row r="28">
          <cell r="B28">
            <v>250000</v>
          </cell>
        </row>
        <row r="29">
          <cell r="B29">
            <v>100000</v>
          </cell>
        </row>
        <row r="34">
          <cell r="B34">
            <v>0</v>
          </cell>
        </row>
        <row r="41">
          <cell r="B41">
            <v>0</v>
          </cell>
        </row>
        <row r="49">
          <cell r="B49">
            <v>20000</v>
          </cell>
        </row>
      </sheetData>
      <sheetData sheetId="6">
        <row r="4">
          <cell r="B4">
            <v>20000</v>
          </cell>
        </row>
        <row r="5">
          <cell r="B5">
            <v>20000</v>
          </cell>
        </row>
        <row r="11">
          <cell r="B11">
            <v>50000</v>
          </cell>
        </row>
        <row r="12">
          <cell r="B12">
            <v>50000</v>
          </cell>
        </row>
        <row r="18">
          <cell r="B18">
            <v>20000</v>
          </cell>
        </row>
        <row r="25">
          <cell r="B25">
            <v>50000</v>
          </cell>
        </row>
        <row r="32">
          <cell r="B32">
            <v>0</v>
          </cell>
        </row>
        <row r="39">
          <cell r="B39">
            <v>80000</v>
          </cell>
        </row>
      </sheetData>
      <sheetData sheetId="7">
        <row r="5">
          <cell r="B5">
            <v>150000</v>
          </cell>
        </row>
        <row r="6">
          <cell r="B6">
            <v>100000</v>
          </cell>
        </row>
        <row r="7">
          <cell r="B7">
            <v>50000</v>
          </cell>
        </row>
      </sheetData>
      <sheetData sheetId="8">
        <row r="4">
          <cell r="B4">
            <v>10000</v>
          </cell>
        </row>
        <row r="5">
          <cell r="B5">
            <v>10000</v>
          </cell>
        </row>
      </sheetData>
      <sheetData sheetId="9">
        <row r="5">
          <cell r="D5">
            <v>0</v>
          </cell>
          <cell r="E5">
            <v>50000</v>
          </cell>
        </row>
        <row r="6">
          <cell r="B6">
            <v>50000</v>
          </cell>
        </row>
        <row r="12">
          <cell r="D12">
            <v>0</v>
          </cell>
          <cell r="E12">
            <v>20000</v>
          </cell>
        </row>
        <row r="19">
          <cell r="B19">
            <v>10000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3">
          <cell r="D33">
            <v>350000</v>
          </cell>
          <cell r="E33">
            <v>0</v>
          </cell>
        </row>
        <row r="34">
          <cell r="B34">
            <v>150000</v>
          </cell>
        </row>
        <row r="35">
          <cell r="B35">
            <v>200000</v>
          </cell>
        </row>
      </sheetData>
      <sheetData sheetId="10">
        <row r="4">
          <cell r="B4">
            <v>160000</v>
          </cell>
        </row>
        <row r="5">
          <cell r="B5">
            <v>60000</v>
          </cell>
        </row>
        <row r="6">
          <cell r="B6">
            <v>100000</v>
          </cell>
        </row>
        <row r="11">
          <cell r="D11">
            <v>160000</v>
          </cell>
          <cell r="E11">
            <v>250000</v>
          </cell>
        </row>
        <row r="12">
          <cell r="B12">
            <v>150000</v>
          </cell>
        </row>
        <row r="13">
          <cell r="B13">
            <v>160000</v>
          </cell>
        </row>
        <row r="14">
          <cell r="B14">
            <v>100000</v>
          </cell>
        </row>
      </sheetData>
      <sheetData sheetId="11">
        <row r="4">
          <cell r="B4">
            <v>180000</v>
          </cell>
        </row>
        <row r="5">
          <cell r="B5">
            <v>80000</v>
          </cell>
        </row>
        <row r="6">
          <cell r="B6">
            <v>70000</v>
          </cell>
        </row>
        <row r="7">
          <cell r="B7">
            <v>20000</v>
          </cell>
        </row>
        <row r="8">
          <cell r="B8">
            <v>10000</v>
          </cell>
        </row>
        <row r="13">
          <cell r="D13">
            <v>850000</v>
          </cell>
          <cell r="E13">
            <v>50000</v>
          </cell>
        </row>
        <row r="14">
          <cell r="B14">
            <v>700000</v>
          </cell>
        </row>
        <row r="15">
          <cell r="B15">
            <v>200000</v>
          </cell>
        </row>
      </sheetData>
      <sheetData sheetId="12">
        <row r="4">
          <cell r="B4">
            <v>66000</v>
          </cell>
        </row>
        <row r="5">
          <cell r="B5">
            <v>10000</v>
          </cell>
        </row>
        <row r="6">
          <cell r="B6">
            <v>6000</v>
          </cell>
        </row>
        <row r="7">
          <cell r="B7">
            <v>50000</v>
          </cell>
        </row>
        <row r="11">
          <cell r="E11">
            <v>0</v>
          </cell>
        </row>
        <row r="12">
          <cell r="B12">
            <v>100000</v>
          </cell>
        </row>
        <row r="13">
          <cell r="B13">
            <v>80000</v>
          </cell>
        </row>
        <row r="14">
          <cell r="B14">
            <v>20000</v>
          </cell>
        </row>
      </sheetData>
      <sheetData sheetId="13">
        <row r="4">
          <cell r="B4">
            <v>30000</v>
          </cell>
        </row>
        <row r="5">
          <cell r="B5">
            <v>30000</v>
          </cell>
        </row>
        <row r="6">
          <cell r="B6">
            <v>0</v>
          </cell>
        </row>
        <row r="11">
          <cell r="D11">
            <v>200000</v>
          </cell>
          <cell r="E11">
            <v>20000</v>
          </cell>
        </row>
        <row r="12">
          <cell r="B12">
            <v>200000</v>
          </cell>
        </row>
        <row r="13">
          <cell r="B13">
            <v>20000</v>
          </cell>
        </row>
      </sheetData>
      <sheetData sheetId="14">
        <row r="4">
          <cell r="B4">
            <v>20000</v>
          </cell>
        </row>
        <row r="5">
          <cell r="B5">
            <v>20000</v>
          </cell>
        </row>
        <row r="6">
          <cell r="B6">
            <v>0</v>
          </cell>
        </row>
        <row r="11">
          <cell r="D11">
            <v>50000</v>
          </cell>
          <cell r="E11">
            <v>20000</v>
          </cell>
        </row>
        <row r="12">
          <cell r="B12">
            <v>20000</v>
          </cell>
        </row>
        <row r="13">
          <cell r="B13">
            <v>50000</v>
          </cell>
        </row>
        <row r="18">
          <cell r="B18">
            <v>673300</v>
          </cell>
        </row>
      </sheetData>
      <sheetData sheetId="15">
        <row r="4">
          <cell r="B4">
            <v>1568138</v>
          </cell>
        </row>
        <row r="6">
          <cell r="B6">
            <v>0</v>
          </cell>
        </row>
        <row r="11">
          <cell r="B11">
            <v>85000</v>
          </cell>
        </row>
        <row r="18">
          <cell r="D18">
            <v>350000</v>
          </cell>
          <cell r="E18">
            <v>20000</v>
          </cell>
        </row>
        <row r="19">
          <cell r="B19">
            <v>200000</v>
          </cell>
        </row>
        <row r="20">
          <cell r="B20">
            <v>50000</v>
          </cell>
        </row>
        <row r="21">
          <cell r="B21">
            <v>0</v>
          </cell>
        </row>
        <row r="22">
          <cell r="B22">
            <v>100000</v>
          </cell>
        </row>
        <row r="23">
          <cell r="B23">
            <v>20000</v>
          </cell>
        </row>
      </sheetData>
      <sheetData sheetId="16">
        <row r="5">
          <cell r="D5">
            <v>100000</v>
          </cell>
          <cell r="E5">
            <v>20000</v>
          </cell>
        </row>
        <row r="6">
          <cell r="B6">
            <v>100000</v>
          </cell>
        </row>
        <row r="7">
          <cell r="B7">
            <v>20000</v>
          </cell>
        </row>
      </sheetData>
      <sheetData sheetId="17">
        <row r="4">
          <cell r="B4">
            <v>15000</v>
          </cell>
        </row>
        <row r="5">
          <cell r="B5">
            <v>15000</v>
          </cell>
        </row>
        <row r="6">
          <cell r="B6">
            <v>0</v>
          </cell>
        </row>
        <row r="11">
          <cell r="B11">
            <v>20000</v>
          </cell>
        </row>
        <row r="12">
          <cell r="B12">
            <v>20000</v>
          </cell>
        </row>
        <row r="13">
          <cell r="B13">
            <v>0</v>
          </cell>
        </row>
      </sheetData>
      <sheetData sheetId="18">
        <row r="4">
          <cell r="B4">
            <v>80000</v>
          </cell>
        </row>
        <row r="5">
          <cell r="B5">
            <v>40000</v>
          </cell>
        </row>
        <row r="6">
          <cell r="B6">
            <v>4000</v>
          </cell>
        </row>
        <row r="7">
          <cell r="B7">
            <v>36000</v>
          </cell>
        </row>
        <row r="12">
          <cell r="D12">
            <v>100000</v>
          </cell>
          <cell r="E12">
            <v>20000</v>
          </cell>
        </row>
        <row r="13">
          <cell r="B13">
            <v>80000</v>
          </cell>
        </row>
        <row r="14">
          <cell r="B14">
            <v>20000</v>
          </cell>
        </row>
        <row r="15">
          <cell r="B15">
            <v>20000</v>
          </cell>
        </row>
      </sheetData>
      <sheetData sheetId="19">
        <row r="4">
          <cell r="B4">
            <v>242100</v>
          </cell>
        </row>
        <row r="5">
          <cell r="B5">
            <v>100000</v>
          </cell>
        </row>
        <row r="6">
          <cell r="B6">
            <v>60000</v>
          </cell>
        </row>
        <row r="7">
          <cell r="B7">
            <v>70000</v>
          </cell>
        </row>
        <row r="8">
          <cell r="B8">
            <v>12100</v>
          </cell>
        </row>
        <row r="13">
          <cell r="D13">
            <v>150000</v>
          </cell>
          <cell r="E13">
            <v>350000</v>
          </cell>
        </row>
        <row r="14">
          <cell r="B14">
            <v>250000</v>
          </cell>
        </row>
        <row r="15">
          <cell r="B15">
            <v>100000</v>
          </cell>
        </row>
        <row r="16">
          <cell r="B16">
            <v>50000</v>
          </cell>
        </row>
        <row r="17">
          <cell r="B17">
            <v>100000</v>
          </cell>
        </row>
        <row r="22">
          <cell r="D22">
            <v>2792000</v>
          </cell>
          <cell r="E22">
            <v>0</v>
          </cell>
        </row>
        <row r="23">
          <cell r="B23">
            <v>60000</v>
          </cell>
        </row>
        <row r="24">
          <cell r="B24">
            <v>416000</v>
          </cell>
        </row>
        <row r="25">
          <cell r="B25">
            <v>2000000</v>
          </cell>
        </row>
        <row r="26">
          <cell r="B26">
            <v>300000</v>
          </cell>
        </row>
        <row r="27">
          <cell r="B27">
            <v>16000</v>
          </cell>
        </row>
        <row r="28">
          <cell r="B28">
            <v>0</v>
          </cell>
        </row>
        <row r="47">
          <cell r="B47">
            <v>536000</v>
          </cell>
        </row>
      </sheetData>
      <sheetData sheetId="20">
        <row r="4">
          <cell r="D4">
            <v>1800000</v>
          </cell>
          <cell r="E4">
            <v>450000</v>
          </cell>
        </row>
        <row r="5">
          <cell r="B5">
            <v>50000</v>
          </cell>
        </row>
        <row r="6">
          <cell r="B6">
            <v>352672</v>
          </cell>
        </row>
        <row r="7">
          <cell r="B7">
            <v>500000</v>
          </cell>
        </row>
        <row r="8">
          <cell r="B8">
            <v>100000</v>
          </cell>
        </row>
        <row r="9">
          <cell r="B9">
            <v>0</v>
          </cell>
        </row>
        <row r="10">
          <cell r="B10">
            <v>947328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300000</v>
          </cell>
        </row>
        <row r="19">
          <cell r="B19">
            <v>400</v>
          </cell>
        </row>
        <row r="30">
          <cell r="B30">
            <v>62000</v>
          </cell>
        </row>
      </sheetData>
      <sheetData sheetId="21">
        <row r="4">
          <cell r="B4">
            <v>0</v>
          </cell>
        </row>
        <row r="5">
          <cell r="B5">
            <v>0</v>
          </cell>
        </row>
        <row r="18">
          <cell r="D18">
            <v>100000</v>
          </cell>
          <cell r="E18">
            <v>150000</v>
          </cell>
        </row>
        <row r="19">
          <cell r="B19">
            <v>100000</v>
          </cell>
        </row>
        <row r="20">
          <cell r="B20">
            <v>150000</v>
          </cell>
        </row>
        <row r="26">
          <cell r="D26">
            <v>100000</v>
          </cell>
          <cell r="E26">
            <v>120000</v>
          </cell>
        </row>
        <row r="27">
          <cell r="B27">
            <v>120000</v>
          </cell>
        </row>
        <row r="28">
          <cell r="B28">
            <v>100000</v>
          </cell>
        </row>
        <row r="34">
          <cell r="B34">
            <v>90000</v>
          </cell>
        </row>
      </sheetData>
      <sheetData sheetId="22">
        <row r="4">
          <cell r="B4">
            <v>72000</v>
          </cell>
        </row>
        <row r="5">
          <cell r="B5">
            <v>72000</v>
          </cell>
        </row>
        <row r="6">
          <cell r="B6">
            <v>0</v>
          </cell>
        </row>
        <row r="7">
          <cell r="D7">
            <v>0</v>
          </cell>
        </row>
        <row r="23">
          <cell r="B23">
            <v>860000</v>
          </cell>
        </row>
        <row r="24">
          <cell r="B24">
            <v>460000</v>
          </cell>
        </row>
        <row r="25">
          <cell r="B25">
            <v>0</v>
          </cell>
        </row>
        <row r="26">
          <cell r="B26">
            <v>200000</v>
          </cell>
        </row>
        <row r="27">
          <cell r="B27">
            <v>200000</v>
          </cell>
        </row>
      </sheetData>
      <sheetData sheetId="23">
        <row r="4">
          <cell r="B4">
            <v>0</v>
          </cell>
        </row>
        <row r="11">
          <cell r="B11">
            <v>240000</v>
          </cell>
        </row>
        <row r="12">
          <cell r="B12">
            <v>60000</v>
          </cell>
        </row>
        <row r="13">
          <cell r="B13">
            <v>180000</v>
          </cell>
        </row>
        <row r="18">
          <cell r="D18">
            <v>1250000</v>
          </cell>
          <cell r="E18">
            <v>50000</v>
          </cell>
        </row>
        <row r="19">
          <cell r="B19">
            <v>250000</v>
          </cell>
        </row>
        <row r="20">
          <cell r="B20">
            <v>1050000</v>
          </cell>
        </row>
      </sheetData>
      <sheetData sheetId="24">
        <row r="4">
          <cell r="B4">
            <v>0</v>
          </cell>
        </row>
        <row r="13">
          <cell r="D13">
            <v>20000</v>
          </cell>
          <cell r="E13">
            <v>0</v>
          </cell>
        </row>
        <row r="14">
          <cell r="B14">
            <v>20000</v>
          </cell>
        </row>
      </sheetData>
      <sheetData sheetId="25">
        <row r="4">
          <cell r="B4">
            <v>0</v>
          </cell>
        </row>
        <row r="13">
          <cell r="B1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Silnice světelná křižovatka"/>
      <sheetName val="Silnice nákup materiálu"/>
      <sheetName val="Silnice stavba"/>
      <sheetName val="Doprava"/>
      <sheetName val="TSÚ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Knihovna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Pošembeří"/>
    </sheetNames>
    <sheetDataSet>
      <sheetData sheetId="0">
        <row r="4">
          <cell r="B4">
            <v>800000</v>
          </cell>
        </row>
        <row r="5">
          <cell r="B5">
            <v>150000</v>
          </cell>
        </row>
        <row r="8">
          <cell r="B8">
            <v>0</v>
          </cell>
        </row>
        <row r="9">
          <cell r="B9">
            <v>150000</v>
          </cell>
        </row>
        <row r="26">
          <cell r="B26">
            <v>0</v>
          </cell>
        </row>
        <row r="27">
          <cell r="B27">
            <v>0</v>
          </cell>
        </row>
        <row r="44">
          <cell r="B44">
            <v>0</v>
          </cell>
        </row>
        <row r="45">
          <cell r="B45">
            <v>0</v>
          </cell>
        </row>
        <row r="62">
          <cell r="B62">
            <v>0</v>
          </cell>
        </row>
        <row r="63">
          <cell r="B63">
            <v>0</v>
          </cell>
        </row>
        <row r="79">
          <cell r="B79">
            <v>0</v>
          </cell>
        </row>
        <row r="80">
          <cell r="B80">
            <v>0</v>
          </cell>
        </row>
        <row r="96">
          <cell r="B96">
            <v>0</v>
          </cell>
        </row>
        <row r="97">
          <cell r="B97">
            <v>0</v>
          </cell>
        </row>
        <row r="113">
          <cell r="B113">
            <v>800000</v>
          </cell>
        </row>
      </sheetData>
      <sheetData sheetId="1">
        <row r="4">
          <cell r="B4">
            <v>8497900</v>
          </cell>
        </row>
        <row r="5">
          <cell r="B5">
            <v>47000</v>
          </cell>
        </row>
        <row r="8">
          <cell r="B8">
            <v>17900</v>
          </cell>
        </row>
        <row r="9">
          <cell r="B9">
            <v>0</v>
          </cell>
        </row>
        <row r="25">
          <cell r="B25">
            <v>60000</v>
          </cell>
        </row>
        <row r="26">
          <cell r="B26">
            <v>0</v>
          </cell>
        </row>
        <row r="41">
          <cell r="B41">
            <v>8420000</v>
          </cell>
        </row>
        <row r="42">
          <cell r="B42">
            <v>47000</v>
          </cell>
        </row>
        <row r="70">
          <cell r="B70">
            <v>0</v>
          </cell>
        </row>
        <row r="78">
          <cell r="B78">
            <v>0</v>
          </cell>
        </row>
        <row r="84">
          <cell r="B84">
            <v>0</v>
          </cell>
        </row>
      </sheetData>
      <sheetData sheetId="2">
        <row r="4">
          <cell r="B4">
            <v>410000</v>
          </cell>
        </row>
        <row r="5">
          <cell r="B5">
            <v>210000</v>
          </cell>
        </row>
        <row r="6">
          <cell r="B6">
            <v>200000</v>
          </cell>
        </row>
      </sheetData>
      <sheetData sheetId="3">
        <row r="4">
          <cell r="B4">
            <v>2138569</v>
          </cell>
        </row>
      </sheetData>
      <sheetData sheetId="4">
        <row r="4">
          <cell r="B4">
            <v>42826897.960000001</v>
          </cell>
          <cell r="E4">
            <v>0</v>
          </cell>
        </row>
        <row r="5">
          <cell r="B5">
            <v>4239925</v>
          </cell>
        </row>
        <row r="8">
          <cell r="B8">
            <v>0</v>
          </cell>
        </row>
        <row r="9">
          <cell r="B9">
            <v>1593315</v>
          </cell>
        </row>
        <row r="22">
          <cell r="B22">
            <v>0</v>
          </cell>
        </row>
        <row r="30">
          <cell r="B30">
            <v>0</v>
          </cell>
        </row>
        <row r="32">
          <cell r="B32">
            <v>0</v>
          </cell>
        </row>
        <row r="35">
          <cell r="B35">
            <v>191020</v>
          </cell>
        </row>
        <row r="36">
          <cell r="B36">
            <v>0</v>
          </cell>
        </row>
        <row r="51">
          <cell r="B51">
            <v>1140246</v>
          </cell>
        </row>
        <row r="52">
          <cell r="B52">
            <v>0</v>
          </cell>
        </row>
        <row r="66">
          <cell r="B66">
            <v>600000</v>
          </cell>
        </row>
        <row r="67">
          <cell r="B67">
            <v>400000</v>
          </cell>
        </row>
        <row r="79">
          <cell r="B79">
            <v>0</v>
          </cell>
        </row>
        <row r="80">
          <cell r="B80">
            <v>0</v>
          </cell>
        </row>
        <row r="96">
          <cell r="B96">
            <v>0</v>
          </cell>
        </row>
        <row r="97">
          <cell r="B97">
            <v>500000</v>
          </cell>
        </row>
        <row r="111">
          <cell r="B111">
            <v>0</v>
          </cell>
        </row>
        <row r="112">
          <cell r="B112">
            <v>0</v>
          </cell>
        </row>
        <row r="124">
          <cell r="B124">
            <v>0</v>
          </cell>
        </row>
        <row r="125">
          <cell r="B125">
            <v>234396</v>
          </cell>
        </row>
        <row r="139">
          <cell r="B139">
            <v>0</v>
          </cell>
        </row>
        <row r="140">
          <cell r="B140">
            <v>95000</v>
          </cell>
        </row>
        <row r="154">
          <cell r="B154">
            <v>0</v>
          </cell>
        </row>
        <row r="155">
          <cell r="B155">
            <v>0</v>
          </cell>
        </row>
        <row r="170">
          <cell r="B170">
            <v>0</v>
          </cell>
        </row>
        <row r="173">
          <cell r="B173">
            <v>0</v>
          </cell>
        </row>
        <row r="174">
          <cell r="B174">
            <v>0</v>
          </cell>
        </row>
        <row r="184">
          <cell r="B184">
            <v>0</v>
          </cell>
        </row>
        <row r="185">
          <cell r="B185">
            <v>0</v>
          </cell>
        </row>
        <row r="195">
          <cell r="B195">
            <v>0</v>
          </cell>
        </row>
        <row r="196">
          <cell r="B196">
            <v>0</v>
          </cell>
        </row>
        <row r="206">
          <cell r="B206">
            <v>0</v>
          </cell>
        </row>
        <row r="207">
          <cell r="B207">
            <v>0</v>
          </cell>
        </row>
        <row r="217">
          <cell r="B217">
            <v>0</v>
          </cell>
        </row>
        <row r="218">
          <cell r="B218">
            <v>0</v>
          </cell>
        </row>
        <row r="228">
          <cell r="B228">
            <v>200000</v>
          </cell>
        </row>
        <row r="229">
          <cell r="B229">
            <v>100000</v>
          </cell>
        </row>
        <row r="239">
          <cell r="B239">
            <v>200960</v>
          </cell>
        </row>
        <row r="240">
          <cell r="B240">
            <v>50000</v>
          </cell>
        </row>
        <row r="254">
          <cell r="B254">
            <v>0</v>
          </cell>
        </row>
        <row r="255">
          <cell r="B255">
            <v>50000</v>
          </cell>
        </row>
        <row r="268">
          <cell r="B268">
            <v>38954584</v>
          </cell>
        </row>
        <row r="273">
          <cell r="B273">
            <v>400000</v>
          </cell>
        </row>
        <row r="283">
          <cell r="B283">
            <v>0</v>
          </cell>
        </row>
        <row r="284">
          <cell r="B284">
            <v>487214</v>
          </cell>
        </row>
        <row r="298">
          <cell r="B298">
            <v>0</v>
          </cell>
        </row>
        <row r="299">
          <cell r="B299">
            <v>0</v>
          </cell>
        </row>
        <row r="309">
          <cell r="B309">
            <v>0</v>
          </cell>
        </row>
        <row r="310">
          <cell r="B310">
            <v>100000</v>
          </cell>
        </row>
        <row r="320">
          <cell r="B320">
            <v>1540087.96</v>
          </cell>
        </row>
        <row r="321">
          <cell r="B321">
            <v>0</v>
          </cell>
        </row>
        <row r="336">
          <cell r="B336">
            <v>230000</v>
          </cell>
        </row>
        <row r="339">
          <cell r="B339">
            <v>0</v>
          </cell>
        </row>
      </sheetData>
      <sheetData sheetId="5">
        <row r="4">
          <cell r="B4">
            <v>1250000</v>
          </cell>
        </row>
      </sheetData>
      <sheetData sheetId="6">
        <row r="4">
          <cell r="B4">
            <v>3640000</v>
          </cell>
        </row>
        <row r="12">
          <cell r="D12">
            <v>950000</v>
          </cell>
        </row>
        <row r="13">
          <cell r="B13">
            <v>450000</v>
          </cell>
          <cell r="D13">
            <v>450000</v>
          </cell>
        </row>
        <row r="14">
          <cell r="B14">
            <v>840000</v>
          </cell>
          <cell r="D14">
            <v>840000</v>
          </cell>
        </row>
        <row r="15">
          <cell r="B15">
            <v>250000</v>
          </cell>
          <cell r="D15">
            <v>250000</v>
          </cell>
        </row>
        <row r="16">
          <cell r="B16">
            <v>300000</v>
          </cell>
          <cell r="D16">
            <v>300000</v>
          </cell>
        </row>
        <row r="17">
          <cell r="B17">
            <v>850000</v>
          </cell>
          <cell r="D17">
            <v>850000</v>
          </cell>
        </row>
      </sheetData>
      <sheetData sheetId="7">
        <row r="4">
          <cell r="B4">
            <v>1000000</v>
          </cell>
        </row>
        <row r="5">
          <cell r="B5">
            <v>0</v>
          </cell>
        </row>
      </sheetData>
      <sheetData sheetId="8">
        <row r="4">
          <cell r="B4">
            <v>14500000</v>
          </cell>
        </row>
        <row r="5">
          <cell r="B5">
            <v>400000</v>
          </cell>
        </row>
        <row r="8">
          <cell r="B8">
            <v>400000</v>
          </cell>
        </row>
        <row r="12">
          <cell r="B12">
            <v>14500000</v>
          </cell>
        </row>
        <row r="16">
          <cell r="B16">
            <v>0</v>
          </cell>
        </row>
      </sheetData>
      <sheetData sheetId="9">
        <row r="4">
          <cell r="B4">
            <v>8176819</v>
          </cell>
        </row>
        <row r="5">
          <cell r="B5">
            <v>733810</v>
          </cell>
        </row>
        <row r="11">
          <cell r="B11">
            <v>398360</v>
          </cell>
        </row>
        <row r="19">
          <cell r="B19">
            <v>0</v>
          </cell>
        </row>
        <row r="25">
          <cell r="B25">
            <v>175450</v>
          </cell>
        </row>
        <row r="26">
          <cell r="B26">
            <v>80000</v>
          </cell>
        </row>
        <row r="35">
          <cell r="B35">
            <v>5747819</v>
          </cell>
        </row>
        <row r="37">
          <cell r="B37">
            <v>30000</v>
          </cell>
        </row>
        <row r="45">
          <cell r="B45">
            <v>0</v>
          </cell>
        </row>
        <row r="52">
          <cell r="B52">
            <v>0</v>
          </cell>
        </row>
        <row r="56">
          <cell r="B56">
            <v>99000</v>
          </cell>
        </row>
        <row r="60">
          <cell r="B60">
            <v>80000</v>
          </cell>
        </row>
        <row r="65">
          <cell r="B65">
            <v>2300000</v>
          </cell>
        </row>
      </sheetData>
      <sheetData sheetId="10">
        <row r="4">
          <cell r="B4">
            <v>70000</v>
          </cell>
        </row>
        <row r="5">
          <cell r="B5">
            <v>0</v>
          </cell>
        </row>
        <row r="9">
          <cell r="B9">
            <v>0</v>
          </cell>
        </row>
        <row r="14">
          <cell r="B14">
            <v>70000</v>
          </cell>
        </row>
      </sheetData>
      <sheetData sheetId="11">
        <row r="4">
          <cell r="B4">
            <v>0</v>
          </cell>
        </row>
        <row r="5">
          <cell r="B5">
            <v>0</v>
          </cell>
        </row>
      </sheetData>
      <sheetData sheetId="12">
        <row r="4">
          <cell r="B4">
            <v>2287000</v>
          </cell>
        </row>
        <row r="5">
          <cell r="B5">
            <v>0</v>
          </cell>
        </row>
        <row r="9">
          <cell r="B9">
            <v>0</v>
          </cell>
        </row>
        <row r="17">
          <cell r="B17">
            <v>2287000</v>
          </cell>
        </row>
        <row r="21">
          <cell r="B21">
            <v>0</v>
          </cell>
        </row>
      </sheetData>
      <sheetData sheetId="13">
        <row r="4">
          <cell r="B4">
            <v>200000</v>
          </cell>
        </row>
        <row r="5">
          <cell r="B5">
            <v>80000</v>
          </cell>
        </row>
        <row r="9">
          <cell r="B9">
            <v>80000</v>
          </cell>
        </row>
        <row r="12">
          <cell r="B12">
            <v>0</v>
          </cell>
        </row>
        <row r="15">
          <cell r="B15">
            <v>200000</v>
          </cell>
        </row>
      </sheetData>
      <sheetData sheetId="14">
        <row r="4">
          <cell r="B4">
            <v>30000</v>
          </cell>
        </row>
        <row r="5">
          <cell r="B5">
            <v>500000</v>
          </cell>
        </row>
        <row r="13">
          <cell r="B13">
            <v>500000</v>
          </cell>
        </row>
        <row r="20">
          <cell r="B20">
            <v>30000</v>
          </cell>
        </row>
      </sheetData>
      <sheetData sheetId="15">
        <row r="4">
          <cell r="B4">
            <v>0</v>
          </cell>
        </row>
        <row r="5">
          <cell r="B5">
            <v>0</v>
          </cell>
        </row>
        <row r="9">
          <cell r="B9">
            <v>0</v>
          </cell>
        </row>
        <row r="20">
          <cell r="B20">
            <v>0</v>
          </cell>
        </row>
      </sheetData>
      <sheetData sheetId="16">
        <row r="4">
          <cell r="B4">
            <v>19500</v>
          </cell>
        </row>
        <row r="6">
          <cell r="B6">
            <v>15000</v>
          </cell>
        </row>
        <row r="7">
          <cell r="B7">
            <v>4500</v>
          </cell>
        </row>
      </sheetData>
      <sheetData sheetId="17">
        <row r="4">
          <cell r="B4">
            <v>67705</v>
          </cell>
        </row>
      </sheetData>
      <sheetData sheetId="18">
        <row r="4">
          <cell r="B4">
            <v>72000</v>
          </cell>
        </row>
        <row r="5">
          <cell r="B5">
            <v>170000</v>
          </cell>
        </row>
        <row r="8">
          <cell r="B8">
            <v>170000</v>
          </cell>
        </row>
        <row r="14">
          <cell r="B14">
            <v>0</v>
          </cell>
        </row>
        <row r="31">
          <cell r="B31">
            <v>72000</v>
          </cell>
        </row>
        <row r="35">
          <cell r="B35">
            <v>0</v>
          </cell>
        </row>
      </sheetData>
      <sheetData sheetId="19">
        <row r="4">
          <cell r="B4">
            <v>0</v>
          </cell>
        </row>
        <row r="5">
          <cell r="B5">
            <v>0</v>
          </cell>
        </row>
        <row r="14">
          <cell r="B14">
            <v>0</v>
          </cell>
        </row>
        <row r="25">
          <cell r="B25">
            <v>0</v>
          </cell>
        </row>
      </sheetData>
      <sheetData sheetId="20">
        <row r="4">
          <cell r="B4">
            <v>3880000</v>
          </cell>
        </row>
        <row r="6">
          <cell r="B6">
            <v>2000000</v>
          </cell>
        </row>
        <row r="7">
          <cell r="D7">
            <v>1500000</v>
          </cell>
        </row>
        <row r="8">
          <cell r="B8">
            <v>380000</v>
          </cell>
        </row>
      </sheetData>
      <sheetData sheetId="21">
        <row r="4">
          <cell r="B4">
            <v>9200000</v>
          </cell>
        </row>
        <row r="5">
          <cell r="B5">
            <v>310000</v>
          </cell>
        </row>
        <row r="12">
          <cell r="B12">
            <v>0</v>
          </cell>
        </row>
        <row r="18">
          <cell r="B18">
            <v>9200000</v>
          </cell>
        </row>
        <row r="26">
          <cell r="B26">
            <v>310000</v>
          </cell>
        </row>
        <row r="33">
          <cell r="B33">
            <v>0</v>
          </cell>
        </row>
        <row r="38">
          <cell r="B38">
            <v>0</v>
          </cell>
        </row>
        <row r="45">
          <cell r="B45">
            <v>0</v>
          </cell>
        </row>
        <row r="50">
          <cell r="B50">
            <v>0</v>
          </cell>
        </row>
      </sheetData>
      <sheetData sheetId="22">
        <row r="4">
          <cell r="B4">
            <v>0</v>
          </cell>
        </row>
        <row r="6">
          <cell r="B6">
            <v>0</v>
          </cell>
        </row>
      </sheetData>
      <sheetData sheetId="23">
        <row r="4">
          <cell r="B4">
            <v>90000</v>
          </cell>
        </row>
        <row r="5">
          <cell r="B5">
            <v>0</v>
          </cell>
        </row>
        <row r="8">
          <cell r="B8">
            <v>0</v>
          </cell>
        </row>
        <row r="14">
          <cell r="B14">
            <v>90000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átky jistiny"/>
      <sheetName val="Úroky"/>
      <sheetName val="Všebecná pokladna"/>
      <sheetName val="Správa"/>
      <sheetName val="TSÚ"/>
      <sheetName val="Knihovna"/>
      <sheetName val="Byty"/>
      <sheetName val="DPS"/>
      <sheetName val="Nebyty"/>
      <sheetName val="Hasiči"/>
      <sheetName val="TESKO"/>
      <sheetName val="Hřbitov"/>
      <sheetName val="Koupaliště"/>
      <sheetName val="ZŠ"/>
      <sheetName val="č.p.65"/>
      <sheetName val="MDDM"/>
      <sheetName val="MŠ III."/>
      <sheetName val="Jídelna ZŠ"/>
      <sheetName val="Jídelna MŠ III."/>
      <sheetName val="Sběr.dvůr"/>
      <sheetName val=" MŠ Cuk"/>
    </sheetNames>
    <sheetDataSet>
      <sheetData sheetId="0">
        <row r="4">
          <cell r="B4">
            <v>11409092</v>
          </cell>
        </row>
        <row r="5">
          <cell r="B5">
            <v>11409092</v>
          </cell>
        </row>
        <row r="6">
          <cell r="B6">
            <v>0</v>
          </cell>
        </row>
        <row r="11">
          <cell r="B11">
            <v>479732</v>
          </cell>
        </row>
        <row r="12">
          <cell r="B12">
            <v>479732</v>
          </cell>
        </row>
      </sheetData>
      <sheetData sheetId="1">
        <row r="4">
          <cell r="B4">
            <v>1736409.0776</v>
          </cell>
        </row>
        <row r="12">
          <cell r="B12">
            <v>80000</v>
          </cell>
        </row>
      </sheetData>
      <sheetData sheetId="2">
        <row r="21">
          <cell r="B21">
            <v>0</v>
          </cell>
        </row>
        <row r="38">
          <cell r="B38">
            <v>0</v>
          </cell>
        </row>
        <row r="45">
          <cell r="B45">
            <v>869500</v>
          </cell>
        </row>
        <row r="52">
          <cell r="B52">
            <v>1300000</v>
          </cell>
        </row>
        <row r="58">
          <cell r="B58">
            <v>0</v>
          </cell>
        </row>
        <row r="64">
          <cell r="B64">
            <v>0</v>
          </cell>
        </row>
        <row r="73">
          <cell r="B73">
            <v>1245000</v>
          </cell>
        </row>
        <row r="79">
          <cell r="B79">
            <v>600000</v>
          </cell>
        </row>
      </sheetData>
      <sheetData sheetId="3">
        <row r="4">
          <cell r="B4">
            <v>35000</v>
          </cell>
        </row>
        <row r="12">
          <cell r="B12">
            <v>350000</v>
          </cell>
        </row>
        <row r="19">
          <cell r="B19">
            <v>350000</v>
          </cell>
        </row>
      </sheetData>
      <sheetData sheetId="4">
        <row r="26">
          <cell r="B26">
            <v>0</v>
          </cell>
        </row>
      </sheetData>
      <sheetData sheetId="5">
        <row r="4">
          <cell r="B4">
            <v>5000</v>
          </cell>
        </row>
        <row r="12">
          <cell r="B12">
            <v>5000</v>
          </cell>
        </row>
        <row r="19">
          <cell r="B19">
            <v>136000</v>
          </cell>
        </row>
      </sheetData>
      <sheetData sheetId="6">
        <row r="4">
          <cell r="B4">
            <v>30000</v>
          </cell>
        </row>
        <row r="12">
          <cell r="B12">
            <v>120000</v>
          </cell>
        </row>
        <row r="19">
          <cell r="B19">
            <v>100000</v>
          </cell>
        </row>
      </sheetData>
      <sheetData sheetId="7">
        <row r="4">
          <cell r="B4">
            <v>500000</v>
          </cell>
        </row>
        <row r="12">
          <cell r="B12">
            <v>930000</v>
          </cell>
        </row>
        <row r="19">
          <cell r="B19">
            <v>300000</v>
          </cell>
        </row>
      </sheetData>
      <sheetData sheetId="8">
        <row r="4">
          <cell r="B4">
            <v>30000</v>
          </cell>
        </row>
        <row r="12">
          <cell r="B12">
            <v>500000</v>
          </cell>
        </row>
        <row r="19">
          <cell r="B19">
            <v>359000</v>
          </cell>
        </row>
      </sheetData>
      <sheetData sheetId="9">
        <row r="4">
          <cell r="B4">
            <v>3000</v>
          </cell>
        </row>
        <row r="12">
          <cell r="B12">
            <v>50000</v>
          </cell>
        </row>
        <row r="19">
          <cell r="B19">
            <v>43000</v>
          </cell>
        </row>
      </sheetData>
      <sheetData sheetId="10">
        <row r="4">
          <cell r="B4">
            <v>31000</v>
          </cell>
        </row>
      </sheetData>
      <sheetData sheetId="11">
        <row r="4">
          <cell r="B4">
            <v>10000</v>
          </cell>
        </row>
      </sheetData>
      <sheetData sheetId="12">
        <row r="4">
          <cell r="B4">
            <v>30000</v>
          </cell>
        </row>
        <row r="10">
          <cell r="B10">
            <v>1450000</v>
          </cell>
        </row>
      </sheetData>
      <sheetData sheetId="13">
        <row r="4">
          <cell r="B4">
            <v>30000</v>
          </cell>
        </row>
        <row r="12">
          <cell r="B12">
            <v>900000</v>
          </cell>
        </row>
        <row r="19">
          <cell r="B19">
            <v>250000</v>
          </cell>
        </row>
        <row r="26">
          <cell r="B26">
            <v>3343000</v>
          </cell>
        </row>
        <row r="32">
          <cell r="B32">
            <v>808000</v>
          </cell>
        </row>
      </sheetData>
      <sheetData sheetId="14">
        <row r="4">
          <cell r="B4">
            <v>20000</v>
          </cell>
        </row>
        <row r="12">
          <cell r="B12">
            <v>100000</v>
          </cell>
        </row>
        <row r="19">
          <cell r="B19">
            <v>100000</v>
          </cell>
        </row>
      </sheetData>
      <sheetData sheetId="15">
        <row r="4">
          <cell r="B4">
            <v>550000</v>
          </cell>
        </row>
      </sheetData>
      <sheetData sheetId="16">
        <row r="4">
          <cell r="B4">
            <v>2200000</v>
          </cell>
        </row>
      </sheetData>
      <sheetData sheetId="17">
        <row r="4">
          <cell r="B4">
            <v>1300000</v>
          </cell>
        </row>
      </sheetData>
      <sheetData sheetId="18">
        <row r="4">
          <cell r="B4">
            <v>200000</v>
          </cell>
        </row>
      </sheetData>
      <sheetData sheetId="19">
        <row r="19">
          <cell r="B19">
            <v>3600</v>
          </cell>
        </row>
      </sheetData>
      <sheetData sheetId="20">
        <row r="4">
          <cell r="B4">
            <v>0</v>
          </cell>
        </row>
        <row r="10">
          <cell r="B10">
            <v>0</v>
          </cell>
        </row>
        <row r="18">
          <cell r="B18">
            <v>0</v>
          </cell>
        </row>
        <row r="25">
          <cell r="B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Rybníky 3749-2"/>
      <sheetName val="Městská stezka 374-3"/>
      <sheetName val="TSÚ-Sběrný dvůr 3722-36"/>
      <sheetName val="Pošembeří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2">
          <cell r="B32">
            <v>2058000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18"/>
      <sheetName val="List4"/>
      <sheetName val="Graf"/>
      <sheetName val="Souhrn dle odborů a kap."/>
      <sheetName val="počet zaměstnanců"/>
      <sheetName val="List2"/>
      <sheetName val="Graf_analýza nákladovost na RUD"/>
      <sheetName val="Sumář příjmů kapitol"/>
      <sheetName val="Sumář  výdaje kapitol"/>
      <sheetName val="Sumář  výdaje kapitol (2)"/>
      <sheetName val="TSÚ"/>
      <sheetName val="List3"/>
      <sheetName val="TSÚ_personální náklady"/>
      <sheetName val="srovnání "/>
      <sheetName val="voda-kalkulace"/>
      <sheetName val="Konsolidace "/>
      <sheetName val="Příjmy z pronájmu"/>
      <sheetName val="TSÚ (2)"/>
      <sheetName val="Investice  2018"/>
      <sheetName val="Opravy a udrzování"/>
      <sheetName val="5169_nákup služeb"/>
      <sheetName val="Investice celkem"/>
      <sheetName val="6111 - Programové vybavení"/>
      <sheetName val="6121 - Budovy haly a stavby"/>
      <sheetName val="6121 - Projektová dok"/>
      <sheetName val="6122 -Stroje a zařízení"/>
      <sheetName val="6123 - Dopravní prostředky"/>
      <sheetName val="6125 - Výpočetní techniky"/>
      <sheetName val="6130 - Pozemky"/>
      <sheetName val="Úvěr"/>
      <sheetName val="Cash flow - Peněžní tok"/>
      <sheetName val="Podkladová tabulka -CF"/>
      <sheetName val="výhled do 2023"/>
      <sheetName val="Výhled 2018-2022"/>
      <sheetName val="Zásobník projektů 2016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G34">
            <v>16355600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L269"/>
  <sheetViews>
    <sheetView topLeftCell="A194" workbookViewId="0">
      <selection activeCell="K211" sqref="K211"/>
    </sheetView>
  </sheetViews>
  <sheetFormatPr defaultRowHeight="15.75" outlineLevelRow="1" outlineLevelCol="1" x14ac:dyDescent="0.25"/>
  <cols>
    <col min="1" max="1" width="8.7109375" style="1709" customWidth="1"/>
    <col min="2" max="2" width="54" style="1709" customWidth="1"/>
    <col min="3" max="3" width="8.42578125" style="1714" bestFit="1" customWidth="1"/>
    <col min="4" max="4" width="18.42578125" style="1715" hidden="1" customWidth="1" outlineLevel="1"/>
    <col min="5" max="5" width="17.28515625" style="1715" hidden="1" customWidth="1" outlineLevel="1"/>
    <col min="6" max="7" width="14.5703125" style="1715" hidden="1" customWidth="1" outlineLevel="1"/>
    <col min="8" max="8" width="20.7109375" style="1715" customWidth="1" collapsed="1"/>
    <col min="9" max="9" width="16" style="1715" customWidth="1"/>
    <col min="10" max="10" width="14.85546875" style="1715" customWidth="1"/>
    <col min="11" max="11" width="14.28515625" style="1836" customWidth="1"/>
    <col min="12" max="12" width="47" style="1842" customWidth="1"/>
    <col min="13" max="16384" width="9.140625" style="1709"/>
  </cols>
  <sheetData>
    <row r="2" spans="1:12" x14ac:dyDescent="0.25">
      <c r="A2" s="33" t="s">
        <v>1366</v>
      </c>
      <c r="B2" s="33"/>
      <c r="C2" s="236"/>
      <c r="D2" s="237"/>
      <c r="E2" s="237"/>
      <c r="F2" s="237"/>
      <c r="G2" s="237"/>
      <c r="H2" s="237"/>
      <c r="I2" s="237"/>
      <c r="J2" s="237"/>
      <c r="K2" s="238"/>
      <c r="L2" s="1241"/>
    </row>
    <row r="3" spans="1:12" x14ac:dyDescent="0.25">
      <c r="A3" s="129"/>
      <c r="B3" s="129"/>
      <c r="C3" s="236"/>
      <c r="D3" s="237"/>
      <c r="E3" s="237"/>
      <c r="F3" s="237"/>
      <c r="G3" s="237"/>
      <c r="H3" s="237"/>
      <c r="I3" s="237"/>
      <c r="J3" s="237"/>
      <c r="K3" s="238"/>
      <c r="L3" s="1241"/>
    </row>
    <row r="4" spans="1:12" ht="36" customHeight="1" thickBot="1" x14ac:dyDescent="0.3">
      <c r="A4" s="239" t="s">
        <v>344</v>
      </c>
      <c r="B4" s="240"/>
      <c r="C4" s="241" t="s">
        <v>125</v>
      </c>
      <c r="D4" s="242" t="s">
        <v>422</v>
      </c>
      <c r="E4" s="242" t="s">
        <v>1255</v>
      </c>
      <c r="F4" s="242" t="s">
        <v>1350</v>
      </c>
      <c r="G4" s="242" t="s">
        <v>1403</v>
      </c>
      <c r="H4" s="267" t="s">
        <v>1369</v>
      </c>
      <c r="I4" s="267" t="s">
        <v>1552</v>
      </c>
      <c r="J4" s="267" t="s">
        <v>1627</v>
      </c>
      <c r="K4" s="1681" t="s">
        <v>1554</v>
      </c>
      <c r="L4" s="1839" t="s">
        <v>1076</v>
      </c>
    </row>
    <row r="5" spans="1:12" x14ac:dyDescent="0.25">
      <c r="A5" s="129"/>
      <c r="B5" s="129"/>
      <c r="C5" s="236"/>
      <c r="D5" s="237"/>
      <c r="E5" s="237"/>
      <c r="F5" s="237"/>
      <c r="G5" s="237"/>
      <c r="H5" s="237"/>
      <c r="I5" s="237"/>
      <c r="J5" s="237"/>
      <c r="K5" s="238"/>
      <c r="L5" s="1241"/>
    </row>
    <row r="6" spans="1:12" s="1689" customFormat="1" ht="15" customHeight="1" thickBot="1" x14ac:dyDescent="0.3">
      <c r="A6" s="243" t="s">
        <v>345</v>
      </c>
      <c r="B6" s="243" t="s">
        <v>346</v>
      </c>
      <c r="C6" s="244"/>
      <c r="D6" s="245">
        <f>SUM(D7:D24)</f>
        <v>86223000</v>
      </c>
      <c r="E6" s="245">
        <f>SUM(E7:E24)</f>
        <v>99343846</v>
      </c>
      <c r="F6" s="245">
        <v>101443846</v>
      </c>
      <c r="G6" s="245">
        <f>SUM(G7:G24)</f>
        <v>105237846</v>
      </c>
      <c r="H6" s="245">
        <f>SUM(H7:H24)</f>
        <v>108848000</v>
      </c>
      <c r="I6" s="245">
        <v>109758000</v>
      </c>
      <c r="J6" s="245">
        <f>SUM(J7:J24)</f>
        <v>114758000</v>
      </c>
      <c r="K6" s="1289">
        <f>+J6-I6</f>
        <v>5000000</v>
      </c>
      <c r="L6" s="1243"/>
    </row>
    <row r="7" spans="1:12" s="1711" customFormat="1" ht="18" customHeight="1" outlineLevel="1" x14ac:dyDescent="0.25">
      <c r="A7" s="249"/>
      <c r="B7" s="250" t="s">
        <v>20</v>
      </c>
      <c r="C7" s="251">
        <v>1111</v>
      </c>
      <c r="D7" s="238">
        <f>'Sumář příjmů kapitol'!E8</f>
        <v>16000000</v>
      </c>
      <c r="E7" s="238">
        <f>'Sumář příjmů kapitol'!F8</f>
        <v>18500000</v>
      </c>
      <c r="F7" s="238">
        <v>18500000</v>
      </c>
      <c r="G7" s="238">
        <v>19000000</v>
      </c>
      <c r="H7" s="238">
        <f>'Sumář příjmů kapitol'!I8</f>
        <v>21600000</v>
      </c>
      <c r="I7" s="238">
        <v>21600000</v>
      </c>
      <c r="J7" s="238">
        <f>'Sumář příjmů kapitol'!K8</f>
        <v>21600000</v>
      </c>
      <c r="K7" s="238">
        <f t="shared" ref="K7:K71" si="0">+J7-I7</f>
        <v>0</v>
      </c>
      <c r="L7" s="1840"/>
    </row>
    <row r="8" spans="1:12" s="1711" customFormat="1" ht="18" customHeight="1" outlineLevel="1" x14ac:dyDescent="0.25">
      <c r="A8" s="249"/>
      <c r="B8" s="250" t="s">
        <v>21</v>
      </c>
      <c r="C8" s="251">
        <v>1112</v>
      </c>
      <c r="D8" s="238">
        <f>'Sumář příjmů kapitol'!E9</f>
        <v>1550000</v>
      </c>
      <c r="E8" s="238">
        <f>'Sumář příjmů kapitol'!F9</f>
        <v>0</v>
      </c>
      <c r="F8" s="238">
        <v>2100000</v>
      </c>
      <c r="G8" s="238">
        <v>2100000</v>
      </c>
      <c r="H8" s="238">
        <f>'Sumář příjmů kapitol'!I9</f>
        <v>2100000</v>
      </c>
      <c r="I8" s="238">
        <v>2100000</v>
      </c>
      <c r="J8" s="238">
        <f>'Sumář příjmů kapitol'!K9</f>
        <v>2100000</v>
      </c>
      <c r="K8" s="238">
        <f t="shared" si="0"/>
        <v>0</v>
      </c>
      <c r="L8" s="1840"/>
    </row>
    <row r="9" spans="1:12" s="1711" customFormat="1" ht="18" customHeight="1" outlineLevel="1" x14ac:dyDescent="0.25">
      <c r="A9" s="249"/>
      <c r="B9" s="250" t="s">
        <v>22</v>
      </c>
      <c r="C9" s="251">
        <v>1121</v>
      </c>
      <c r="D9" s="238">
        <f>'Sumář příjmů kapitol'!E10</f>
        <v>16632000</v>
      </c>
      <c r="E9" s="238">
        <f>'Sumář příjmů kapitol'!F10</f>
        <v>18500000</v>
      </c>
      <c r="F9" s="238">
        <v>18500000</v>
      </c>
      <c r="G9" s="238">
        <v>19000000</v>
      </c>
      <c r="H9" s="238">
        <f>'Sumář příjmů kapitol'!I10</f>
        <v>20300000</v>
      </c>
      <c r="I9" s="238">
        <v>20300000</v>
      </c>
      <c r="J9" s="238">
        <f>'Sumář příjmů kapitol'!K10</f>
        <v>20300000</v>
      </c>
      <c r="K9" s="238">
        <f t="shared" si="0"/>
        <v>0</v>
      </c>
      <c r="L9" s="1840"/>
    </row>
    <row r="10" spans="1:12" s="1711" customFormat="1" ht="18" customHeight="1" outlineLevel="1" x14ac:dyDescent="0.25">
      <c r="A10" s="249"/>
      <c r="B10" s="250" t="s">
        <v>809</v>
      </c>
      <c r="C10" s="251">
        <v>1113</v>
      </c>
      <c r="D10" s="238">
        <f>'Sumář příjmů kapitol'!E11</f>
        <v>1000000</v>
      </c>
      <c r="E10" s="238">
        <f>'Sumář příjmů kapitol'!F11</f>
        <v>600000</v>
      </c>
      <c r="F10" s="238">
        <v>600000</v>
      </c>
      <c r="G10" s="238">
        <v>600000</v>
      </c>
      <c r="H10" s="238">
        <f>'Sumář příjmů kapitol'!I11</f>
        <v>600000</v>
      </c>
      <c r="I10" s="238">
        <v>600000</v>
      </c>
      <c r="J10" s="238">
        <f>'Sumář příjmů kapitol'!K11</f>
        <v>600000</v>
      </c>
      <c r="K10" s="238">
        <f t="shared" si="0"/>
        <v>0</v>
      </c>
      <c r="L10" s="1840"/>
    </row>
    <row r="11" spans="1:12" s="1711" customFormat="1" ht="18" customHeight="1" outlineLevel="1" x14ac:dyDescent="0.25">
      <c r="A11" s="249"/>
      <c r="B11" s="250" t="s">
        <v>23</v>
      </c>
      <c r="C11" s="251">
        <v>1211</v>
      </c>
      <c r="D11" s="238">
        <f>'Sumář příjmů kapitol'!E12</f>
        <v>31500000</v>
      </c>
      <c r="E11" s="238">
        <f>'Sumář příjmů kapitol'!F12</f>
        <v>35000000</v>
      </c>
      <c r="F11" s="238">
        <v>35000000</v>
      </c>
      <c r="G11" s="238">
        <v>36000000</v>
      </c>
      <c r="H11" s="238">
        <f>'Sumář příjmů kapitol'!I12</f>
        <v>45000000</v>
      </c>
      <c r="I11" s="238">
        <v>45000000</v>
      </c>
      <c r="J11" s="238">
        <f>'Sumář příjmů kapitol'!K12</f>
        <v>45000000</v>
      </c>
      <c r="K11" s="238">
        <f t="shared" si="0"/>
        <v>0</v>
      </c>
      <c r="L11" s="1840"/>
    </row>
    <row r="12" spans="1:12" ht="18" hidden="1" customHeight="1" outlineLevel="1" x14ac:dyDescent="0.25">
      <c r="A12" s="129"/>
      <c r="B12" s="246" t="s">
        <v>25</v>
      </c>
      <c r="C12" s="236" t="s">
        <v>24</v>
      </c>
      <c r="D12" s="237">
        <f>'Sumář příjmů kapitol'!E13</f>
        <v>140000</v>
      </c>
      <c r="E12" s="237">
        <f>'Sumář příjmů kapitol'!F13</f>
        <v>0</v>
      </c>
      <c r="F12" s="237">
        <v>0</v>
      </c>
      <c r="G12" s="237">
        <v>34000</v>
      </c>
      <c r="H12" s="237">
        <f>'Sumář příjmů kapitol'!I13</f>
        <v>0</v>
      </c>
      <c r="I12" s="237">
        <v>0</v>
      </c>
      <c r="J12" s="238">
        <f>'Sumář příjmů kapitol'!K13</f>
        <v>0</v>
      </c>
      <c r="K12" s="238">
        <f t="shared" si="0"/>
        <v>0</v>
      </c>
      <c r="L12" s="1241"/>
    </row>
    <row r="13" spans="1:12" ht="18" customHeight="1" outlineLevel="1" x14ac:dyDescent="0.25">
      <c r="A13" s="129"/>
      <c r="B13" s="246" t="s">
        <v>27</v>
      </c>
      <c r="C13" s="236" t="s">
        <v>26</v>
      </c>
      <c r="D13" s="237">
        <f>'Sumář příjmů kapitol'!E15</f>
        <v>4100000</v>
      </c>
      <c r="E13" s="237">
        <f>'Sumář příjmů kapitol'!F15</f>
        <v>4000000</v>
      </c>
      <c r="F13" s="237">
        <v>4000000</v>
      </c>
      <c r="G13" s="237">
        <v>4000000</v>
      </c>
      <c r="H13" s="237">
        <f>'Sumář příjmů kapitol'!I15</f>
        <v>4000000</v>
      </c>
      <c r="I13" s="237">
        <v>4200000</v>
      </c>
      <c r="J13" s="238">
        <f>'Sumář příjmů kapitol'!K15</f>
        <v>4200000</v>
      </c>
      <c r="K13" s="238">
        <f t="shared" si="0"/>
        <v>0</v>
      </c>
      <c r="L13" s="1241"/>
    </row>
    <row r="14" spans="1:12" ht="18" customHeight="1" outlineLevel="1" x14ac:dyDescent="0.25">
      <c r="A14" s="129"/>
      <c r="B14" s="246" t="s">
        <v>28</v>
      </c>
      <c r="C14" s="236">
        <v>1341</v>
      </c>
      <c r="D14" s="237">
        <f>'Sumář příjmů kapitol'!E16</f>
        <v>260000</v>
      </c>
      <c r="E14" s="237">
        <f>'Sumář příjmů kapitol'!F16</f>
        <v>260000</v>
      </c>
      <c r="F14" s="237">
        <v>260000</v>
      </c>
      <c r="G14" s="237">
        <v>260000</v>
      </c>
      <c r="H14" s="237">
        <f>'Sumář příjmů kapitol'!I16</f>
        <v>260000</v>
      </c>
      <c r="I14" s="237">
        <v>260000</v>
      </c>
      <c r="J14" s="238">
        <f>'Sumář příjmů kapitol'!K16</f>
        <v>260000</v>
      </c>
      <c r="K14" s="238">
        <f t="shared" si="0"/>
        <v>0</v>
      </c>
      <c r="L14" s="1241"/>
    </row>
    <row r="15" spans="1:12" ht="18" customHeight="1" outlineLevel="1" x14ac:dyDescent="0.25">
      <c r="A15" s="129"/>
      <c r="B15" s="246" t="s">
        <v>29</v>
      </c>
      <c r="C15" s="236">
        <v>1343</v>
      </c>
      <c r="D15" s="237">
        <f>'Sumář příjmů kapitol'!E17</f>
        <v>98000</v>
      </c>
      <c r="E15" s="237">
        <f>'Sumář příjmů kapitol'!F17</f>
        <v>75000</v>
      </c>
      <c r="F15" s="237">
        <v>75000</v>
      </c>
      <c r="G15" s="237">
        <v>75000</v>
      </c>
      <c r="H15" s="237">
        <f>'Sumář příjmů kapitol'!I17</f>
        <v>75000</v>
      </c>
      <c r="I15" s="237">
        <v>75000</v>
      </c>
      <c r="J15" s="238">
        <f>'Sumář příjmů kapitol'!K17</f>
        <v>75000</v>
      </c>
      <c r="K15" s="238">
        <f t="shared" si="0"/>
        <v>0</v>
      </c>
      <c r="L15" s="1241"/>
    </row>
    <row r="16" spans="1:12" ht="18" customHeight="1" outlineLevel="1" x14ac:dyDescent="0.25">
      <c r="A16" s="129"/>
      <c r="B16" s="246" t="s">
        <v>30</v>
      </c>
      <c r="C16" s="236">
        <v>1344</v>
      </c>
      <c r="D16" s="237">
        <f>'Sumář příjmů kapitol'!E18</f>
        <v>3000</v>
      </c>
      <c r="E16" s="237">
        <f>'Sumář příjmů kapitol'!F18</f>
        <v>3000</v>
      </c>
      <c r="F16" s="237">
        <v>3000</v>
      </c>
      <c r="G16" s="237">
        <v>3000</v>
      </c>
      <c r="H16" s="237">
        <f>'Sumář příjmů kapitol'!I18</f>
        <v>3000</v>
      </c>
      <c r="I16" s="237">
        <v>3000</v>
      </c>
      <c r="J16" s="238">
        <f>'Sumář příjmů kapitol'!K18</f>
        <v>3000</v>
      </c>
      <c r="K16" s="238">
        <f t="shared" si="0"/>
        <v>0</v>
      </c>
      <c r="L16" s="1241"/>
    </row>
    <row r="17" spans="1:12" ht="18" customHeight="1" outlineLevel="1" x14ac:dyDescent="0.25">
      <c r="A17" s="129"/>
      <c r="B17" s="246" t="s">
        <v>31</v>
      </c>
      <c r="C17" s="236">
        <v>1345</v>
      </c>
      <c r="D17" s="237">
        <f>'Sumář příjmů kapitol'!E19</f>
        <v>25000</v>
      </c>
      <c r="E17" s="237">
        <f>'Sumář příjmů kapitol'!F19</f>
        <v>10000</v>
      </c>
      <c r="F17" s="237">
        <v>10000</v>
      </c>
      <c r="G17" s="237">
        <v>10000</v>
      </c>
      <c r="H17" s="237">
        <f>'Sumář příjmů kapitol'!I19</f>
        <v>10000</v>
      </c>
      <c r="I17" s="237">
        <v>10000</v>
      </c>
      <c r="J17" s="238">
        <f>'Sumář příjmů kapitol'!K19</f>
        <v>10000</v>
      </c>
      <c r="K17" s="238">
        <f t="shared" si="0"/>
        <v>0</v>
      </c>
      <c r="L17" s="1241"/>
    </row>
    <row r="18" spans="1:12" ht="18" hidden="1" customHeight="1" outlineLevel="1" x14ac:dyDescent="0.25">
      <c r="A18" s="129"/>
      <c r="B18" s="246" t="s">
        <v>32</v>
      </c>
      <c r="C18" s="236">
        <v>1347</v>
      </c>
      <c r="D18" s="237">
        <f>'Sumář příjmů kapitol'!E20</f>
        <v>0</v>
      </c>
      <c r="E18" s="237">
        <f>'Sumář příjmů kapitol'!F20</f>
        <v>0</v>
      </c>
      <c r="F18" s="237">
        <v>0</v>
      </c>
      <c r="G18" s="237">
        <v>0</v>
      </c>
      <c r="H18" s="237">
        <f>'Sumář příjmů kapitol'!I20</f>
        <v>0</v>
      </c>
      <c r="I18" s="237">
        <v>0</v>
      </c>
      <c r="J18" s="238">
        <f>'Sumář příjmů kapitol'!K20</f>
        <v>0</v>
      </c>
      <c r="K18" s="238">
        <f t="shared" si="0"/>
        <v>0</v>
      </c>
      <c r="L18" s="1241"/>
    </row>
    <row r="19" spans="1:12" ht="18" customHeight="1" outlineLevel="1" x14ac:dyDescent="0.25">
      <c r="A19" s="129"/>
      <c r="B19" s="246" t="s">
        <v>34</v>
      </c>
      <c r="C19" s="236" t="s">
        <v>33</v>
      </c>
      <c r="D19" s="237">
        <f>'Sumář příjmů kapitol'!E21</f>
        <v>0</v>
      </c>
      <c r="E19" s="237">
        <f>'Sumář příjmů kapitol'!F21</f>
        <v>100000</v>
      </c>
      <c r="F19" s="237">
        <v>100000</v>
      </c>
      <c r="G19" s="237">
        <v>960000</v>
      </c>
      <c r="H19" s="237">
        <f>'Sumář příjmů kapitol'!I21</f>
        <v>100000</v>
      </c>
      <c r="I19" s="237">
        <v>100000</v>
      </c>
      <c r="J19" s="238">
        <f>'Sumář příjmů kapitol'!K21</f>
        <v>100000</v>
      </c>
      <c r="K19" s="238">
        <f t="shared" si="0"/>
        <v>0</v>
      </c>
      <c r="L19" s="1241"/>
    </row>
    <row r="20" spans="1:12" ht="18" customHeight="1" outlineLevel="1" x14ac:dyDescent="0.25">
      <c r="A20" s="129"/>
      <c r="B20" s="246" t="s">
        <v>808</v>
      </c>
      <c r="C20" s="236" t="s">
        <v>33</v>
      </c>
      <c r="D20" s="237">
        <f>'Sumář příjmů kapitol'!E22</f>
        <v>4500000</v>
      </c>
      <c r="E20" s="237">
        <f>'Sumář příjmů kapitol'!F22</f>
        <v>11995846</v>
      </c>
      <c r="F20" s="237">
        <v>11995846</v>
      </c>
      <c r="G20" s="237">
        <v>11995846</v>
      </c>
      <c r="H20" s="237">
        <f>'Sumář příjmů kapitol'!I22</f>
        <v>4000000</v>
      </c>
      <c r="I20" s="237">
        <v>4000000</v>
      </c>
      <c r="J20" s="238">
        <f>'Sumář příjmů kapitol'!K22</f>
        <v>9000000</v>
      </c>
      <c r="K20" s="238">
        <f t="shared" si="0"/>
        <v>5000000</v>
      </c>
      <c r="L20" s="1241" t="s">
        <v>1650</v>
      </c>
    </row>
    <row r="21" spans="1:12" ht="18" customHeight="1" outlineLevel="1" x14ac:dyDescent="0.25">
      <c r="A21" s="129"/>
      <c r="B21" s="246" t="s">
        <v>810</v>
      </c>
      <c r="C21" s="236">
        <v>1355</v>
      </c>
      <c r="D21" s="237">
        <v>1000000</v>
      </c>
      <c r="E21" s="237">
        <f>'Sumář příjmů kapitol'!F23</f>
        <v>1000000</v>
      </c>
      <c r="F21" s="237">
        <v>1000000</v>
      </c>
      <c r="G21" s="237">
        <v>2200000</v>
      </c>
      <c r="H21" s="237">
        <f>'Sumář příjmů kapitol'!I23</f>
        <v>2000000</v>
      </c>
      <c r="I21" s="237">
        <v>2260000</v>
      </c>
      <c r="J21" s="238">
        <f>'Sumář příjmů kapitol'!K23</f>
        <v>2260000</v>
      </c>
      <c r="K21" s="238">
        <f t="shared" si="0"/>
        <v>0</v>
      </c>
      <c r="L21" s="1241"/>
    </row>
    <row r="22" spans="1:12" ht="18" hidden="1" customHeight="1" outlineLevel="1" x14ac:dyDescent="0.25">
      <c r="A22" s="129"/>
      <c r="B22" s="246" t="s">
        <v>36</v>
      </c>
      <c r="C22" s="236" t="s">
        <v>35</v>
      </c>
      <c r="D22" s="237">
        <f>'Sumář příjmů kapitol'!E24</f>
        <v>415000</v>
      </c>
      <c r="E22" s="237">
        <f>'Sumář příjmů kapitol'!F24</f>
        <v>500000</v>
      </c>
      <c r="F22" s="237">
        <v>500000</v>
      </c>
      <c r="G22" s="237">
        <v>0</v>
      </c>
      <c r="H22" s="237">
        <f>'Sumář příjmů kapitol'!I24</f>
        <v>0</v>
      </c>
      <c r="I22" s="237">
        <v>0</v>
      </c>
      <c r="J22" s="238">
        <f>'Sumář příjmů kapitol'!K24</f>
        <v>0</v>
      </c>
      <c r="K22" s="238">
        <f t="shared" si="0"/>
        <v>0</v>
      </c>
      <c r="L22" s="1241"/>
    </row>
    <row r="23" spans="1:12" ht="18" customHeight="1" outlineLevel="1" x14ac:dyDescent="0.25">
      <c r="A23" s="129"/>
      <c r="B23" s="246" t="s">
        <v>38</v>
      </c>
      <c r="C23" s="236" t="s">
        <v>37</v>
      </c>
      <c r="D23" s="237">
        <f>'Sumář příjmů kapitol'!E25</f>
        <v>1600000</v>
      </c>
      <c r="E23" s="237">
        <f>'Sumář příjmů kapitol'!F25</f>
        <v>1400000</v>
      </c>
      <c r="F23" s="237">
        <v>1400000</v>
      </c>
      <c r="G23" s="237">
        <v>1600000</v>
      </c>
      <c r="H23" s="237">
        <f>'Sumář příjmů kapitol'!I25</f>
        <v>1400000</v>
      </c>
      <c r="I23" s="237">
        <v>1850000</v>
      </c>
      <c r="J23" s="238">
        <f>'Sumář příjmů kapitol'!K25</f>
        <v>1850000</v>
      </c>
      <c r="K23" s="238">
        <f t="shared" si="0"/>
        <v>0</v>
      </c>
      <c r="L23" s="1241"/>
    </row>
    <row r="24" spans="1:12" ht="18" customHeight="1" outlineLevel="1" x14ac:dyDescent="0.25">
      <c r="A24" s="129"/>
      <c r="B24" s="246" t="s">
        <v>39</v>
      </c>
      <c r="C24" s="236">
        <v>1511</v>
      </c>
      <c r="D24" s="237">
        <f>'Sumář příjmů kapitol'!E26</f>
        <v>7400000</v>
      </c>
      <c r="E24" s="237">
        <f>'Sumář příjmů kapitol'!F26</f>
        <v>7400000</v>
      </c>
      <c r="F24" s="237">
        <v>7400000</v>
      </c>
      <c r="G24" s="237">
        <v>7400000</v>
      </c>
      <c r="H24" s="237">
        <f>'Sumář příjmů kapitol'!I26</f>
        <v>7400000</v>
      </c>
      <c r="I24" s="237">
        <v>7400000</v>
      </c>
      <c r="J24" s="238">
        <f>'Sumář příjmů kapitol'!K26</f>
        <v>7400000</v>
      </c>
      <c r="K24" s="238">
        <f t="shared" si="0"/>
        <v>0</v>
      </c>
      <c r="L24" s="1241"/>
    </row>
    <row r="25" spans="1:12" ht="10.5" customHeight="1" x14ac:dyDescent="0.25">
      <c r="A25" s="129"/>
      <c r="B25" s="129"/>
      <c r="C25" s="236"/>
      <c r="D25" s="237"/>
      <c r="E25" s="237"/>
      <c r="F25" s="237"/>
      <c r="G25" s="237"/>
      <c r="H25" s="237"/>
      <c r="I25" s="237"/>
      <c r="J25" s="237"/>
      <c r="K25" s="238">
        <f t="shared" si="0"/>
        <v>0</v>
      </c>
      <c r="L25" s="1241"/>
    </row>
    <row r="26" spans="1:12" s="1689" customFormat="1" ht="16.5" thickBot="1" x14ac:dyDescent="0.3">
      <c r="A26" s="243" t="s">
        <v>347</v>
      </c>
      <c r="B26" s="243" t="s">
        <v>348</v>
      </c>
      <c r="C26" s="244"/>
      <c r="D26" s="245">
        <f>SUM(D27:D92)</f>
        <v>16768700</v>
      </c>
      <c r="E26" s="245">
        <f>SUM(E27:E92)</f>
        <v>18418700</v>
      </c>
      <c r="F26" s="245">
        <f>SUM(F29:F92)</f>
        <v>18523900</v>
      </c>
      <c r="G26" s="245">
        <f>SUM(G27:G92)</f>
        <v>20101048</v>
      </c>
      <c r="H26" s="245">
        <f>SUM(H27:H92)</f>
        <v>19045200</v>
      </c>
      <c r="I26" s="245">
        <v>19408200</v>
      </c>
      <c r="J26" s="245">
        <f>SUM(J27:J92)</f>
        <v>19681300</v>
      </c>
      <c r="K26" s="1289">
        <f t="shared" si="0"/>
        <v>273100</v>
      </c>
      <c r="L26" s="1243"/>
    </row>
    <row r="27" spans="1:12" ht="16.5" hidden="1" customHeight="1" outlineLevel="1" x14ac:dyDescent="0.25">
      <c r="A27" s="129"/>
      <c r="B27" s="246" t="s">
        <v>41</v>
      </c>
      <c r="C27" s="236" t="s">
        <v>40</v>
      </c>
      <c r="D27" s="237">
        <f>'Sumář příjmů kapitol'!E28</f>
        <v>0</v>
      </c>
      <c r="E27" s="237">
        <f>'Sumář příjmů kapitol'!F28</f>
        <v>0</v>
      </c>
      <c r="F27" s="237">
        <v>0</v>
      </c>
      <c r="G27" s="237">
        <v>0</v>
      </c>
      <c r="H27" s="237">
        <f>'Sumář příjmů kapitol'!I28</f>
        <v>0</v>
      </c>
      <c r="I27" s="237">
        <v>0</v>
      </c>
      <c r="J27" s="237">
        <f>'Sumář příjmů kapitol'!K28</f>
        <v>0</v>
      </c>
      <c r="K27" s="238">
        <f t="shared" si="0"/>
        <v>0</v>
      </c>
      <c r="L27" s="1241"/>
    </row>
    <row r="28" spans="1:12" ht="17.25" hidden="1" customHeight="1" outlineLevel="1" x14ac:dyDescent="0.25">
      <c r="A28" s="129"/>
      <c r="B28" s="246" t="s">
        <v>1349</v>
      </c>
      <c r="C28" s="236" t="s">
        <v>42</v>
      </c>
      <c r="D28" s="237">
        <f>'Sumář příjmů kapitol'!E29</f>
        <v>0</v>
      </c>
      <c r="E28" s="237">
        <f>'Sumář příjmů kapitol'!F29</f>
        <v>0</v>
      </c>
      <c r="F28" s="237">
        <v>0</v>
      </c>
      <c r="G28" s="237">
        <v>98000</v>
      </c>
      <c r="H28" s="237">
        <f>'Sumář příjmů kapitol'!I29</f>
        <v>0</v>
      </c>
      <c r="I28" s="237">
        <v>0</v>
      </c>
      <c r="J28" s="237">
        <f>'Sumář příjmů kapitol'!K29</f>
        <v>0</v>
      </c>
      <c r="K28" s="238">
        <f t="shared" si="0"/>
        <v>0</v>
      </c>
      <c r="L28" s="1241"/>
    </row>
    <row r="29" spans="1:12" ht="17.25" hidden="1" customHeight="1" outlineLevel="1" x14ac:dyDescent="0.25">
      <c r="A29" s="129"/>
      <c r="B29" s="246" t="s">
        <v>45</v>
      </c>
      <c r="C29" s="236" t="s">
        <v>44</v>
      </c>
      <c r="D29" s="237">
        <f>'Sumář příjmů kapitol'!E30</f>
        <v>100000</v>
      </c>
      <c r="E29" s="237">
        <f>'Sumář příjmů kapitol'!F30</f>
        <v>100000</v>
      </c>
      <c r="F29" s="237">
        <v>100000</v>
      </c>
      <c r="G29" s="237">
        <v>0</v>
      </c>
      <c r="H29" s="237">
        <f>'Sumář příjmů kapitol'!I30</f>
        <v>0</v>
      </c>
      <c r="I29" s="237">
        <v>0</v>
      </c>
      <c r="J29" s="237">
        <f>'Sumář příjmů kapitol'!K30</f>
        <v>0</v>
      </c>
      <c r="K29" s="238">
        <f t="shared" si="0"/>
        <v>0</v>
      </c>
      <c r="L29" s="1241"/>
    </row>
    <row r="30" spans="1:12" ht="17.25" hidden="1" customHeight="1" outlineLevel="1" x14ac:dyDescent="0.25">
      <c r="A30" s="129"/>
      <c r="B30" s="246" t="s">
        <v>288</v>
      </c>
      <c r="C30" s="236">
        <v>2460</v>
      </c>
      <c r="D30" s="237">
        <f>'Sumář příjmů kapitol'!E31</f>
        <v>0</v>
      </c>
      <c r="E30" s="237">
        <f>'Sumář příjmů kapitol'!F31</f>
        <v>0</v>
      </c>
      <c r="F30" s="237">
        <v>0</v>
      </c>
      <c r="G30" s="237">
        <v>0</v>
      </c>
      <c r="H30" s="237">
        <f>'Sumář příjmů kapitol'!I31</f>
        <v>0</v>
      </c>
      <c r="I30" s="237">
        <v>0</v>
      </c>
      <c r="J30" s="237">
        <f>'Sumář příjmů kapitol'!K31</f>
        <v>0</v>
      </c>
      <c r="K30" s="238">
        <f t="shared" si="0"/>
        <v>0</v>
      </c>
      <c r="L30" s="1241"/>
    </row>
    <row r="31" spans="1:12" ht="17.25" hidden="1" customHeight="1" outlineLevel="1" x14ac:dyDescent="0.25">
      <c r="A31" s="129"/>
      <c r="B31" s="246" t="s">
        <v>289</v>
      </c>
      <c r="C31" s="236">
        <v>2481</v>
      </c>
      <c r="D31" s="237">
        <f>'Sumář příjmů kapitol'!E32</f>
        <v>0</v>
      </c>
      <c r="E31" s="237">
        <f>'Sumář příjmů kapitol'!F32</f>
        <v>0</v>
      </c>
      <c r="F31" s="237">
        <v>0</v>
      </c>
      <c r="G31" s="237">
        <v>0</v>
      </c>
      <c r="H31" s="237">
        <f>'Sumář příjmů kapitol'!I32</f>
        <v>0</v>
      </c>
      <c r="I31" s="237">
        <v>0</v>
      </c>
      <c r="J31" s="237">
        <f>'Sumář příjmů kapitol'!K32</f>
        <v>0</v>
      </c>
      <c r="K31" s="238">
        <f t="shared" si="0"/>
        <v>0</v>
      </c>
      <c r="L31" s="1241"/>
    </row>
    <row r="32" spans="1:12" ht="17.25" hidden="1" customHeight="1" outlineLevel="1" x14ac:dyDescent="0.25">
      <c r="A32" s="129"/>
      <c r="B32" s="246" t="s">
        <v>73</v>
      </c>
      <c r="C32" s="236" t="s">
        <v>72</v>
      </c>
      <c r="D32" s="237">
        <f>'Sumář příjmů kapitol'!E69</f>
        <v>0</v>
      </c>
      <c r="E32" s="237">
        <f>'Sumář příjmů kapitol'!F69</f>
        <v>0</v>
      </c>
      <c r="F32" s="237">
        <v>0</v>
      </c>
      <c r="G32" s="237">
        <v>10000</v>
      </c>
      <c r="H32" s="237">
        <f>'Sumář příjmů kapitol'!I69</f>
        <v>0</v>
      </c>
      <c r="I32" s="237">
        <v>0</v>
      </c>
      <c r="J32" s="237">
        <f>'Sumář příjmů kapitol'!K69</f>
        <v>0</v>
      </c>
      <c r="K32" s="238">
        <f t="shared" si="0"/>
        <v>0</v>
      </c>
      <c r="L32" s="1241"/>
    </row>
    <row r="33" spans="1:12" ht="17.25" hidden="1" customHeight="1" outlineLevel="1" x14ac:dyDescent="0.25">
      <c r="A33" s="129"/>
      <c r="B33" s="246" t="s">
        <v>349</v>
      </c>
      <c r="C33" s="236" t="s">
        <v>72</v>
      </c>
      <c r="D33" s="237"/>
      <c r="E33" s="237"/>
      <c r="F33" s="237"/>
      <c r="G33" s="237">
        <v>0</v>
      </c>
      <c r="H33" s="237"/>
      <c r="I33" s="237"/>
      <c r="J33" s="237"/>
      <c r="K33" s="238">
        <f t="shared" si="0"/>
        <v>0</v>
      </c>
      <c r="L33" s="1241"/>
    </row>
    <row r="34" spans="1:12" ht="17.25" hidden="1" customHeight="1" outlineLevel="1" x14ac:dyDescent="0.25">
      <c r="A34" s="129"/>
      <c r="B34" s="246" t="s">
        <v>75</v>
      </c>
      <c r="C34" s="236" t="s">
        <v>72</v>
      </c>
      <c r="D34" s="237">
        <f>'Sumář příjmů kapitol'!E70</f>
        <v>50000</v>
      </c>
      <c r="E34" s="237">
        <f>'Sumář příjmů kapitol'!F70</f>
        <v>0</v>
      </c>
      <c r="F34" s="237">
        <v>0</v>
      </c>
      <c r="G34" s="237">
        <v>0</v>
      </c>
      <c r="H34" s="237">
        <f>'Sumář příjmů kapitol'!I70</f>
        <v>0</v>
      </c>
      <c r="I34" s="237">
        <v>0</v>
      </c>
      <c r="J34" s="237">
        <f>'Sumář příjmů kapitol'!K70</f>
        <v>0</v>
      </c>
      <c r="K34" s="238">
        <f t="shared" si="0"/>
        <v>0</v>
      </c>
      <c r="L34" s="1241"/>
    </row>
    <row r="35" spans="1:12" ht="17.25" hidden="1" customHeight="1" outlineLevel="1" x14ac:dyDescent="0.25">
      <c r="A35" s="129"/>
      <c r="B35" s="246" t="s">
        <v>349</v>
      </c>
      <c r="C35" s="236" t="s">
        <v>72</v>
      </c>
      <c r="D35" s="237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8">
        <f t="shared" si="0"/>
        <v>0</v>
      </c>
      <c r="L35" s="1241"/>
    </row>
    <row r="36" spans="1:12" ht="17.25" hidden="1" customHeight="1" outlineLevel="1" x14ac:dyDescent="0.25">
      <c r="A36" s="129"/>
      <c r="B36" s="246" t="s">
        <v>629</v>
      </c>
      <c r="C36" s="236">
        <v>2132</v>
      </c>
      <c r="D36" s="237">
        <v>1700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8">
        <f t="shared" si="0"/>
        <v>0</v>
      </c>
      <c r="L36" s="1241"/>
    </row>
    <row r="37" spans="1:12" ht="17.25" customHeight="1" outlineLevel="1" x14ac:dyDescent="0.25">
      <c r="A37" s="129"/>
      <c r="B37" s="246" t="s">
        <v>77</v>
      </c>
      <c r="C37" s="236" t="s">
        <v>76</v>
      </c>
      <c r="D37" s="237">
        <f>'Sumář příjmů kapitol'!E71</f>
        <v>2267000</v>
      </c>
      <c r="E37" s="238">
        <f>'Sumář příjmů kapitol'!F71</f>
        <v>2660000</v>
      </c>
      <c r="F37" s="238">
        <v>2660000</v>
      </c>
      <c r="G37" s="238">
        <v>2660000</v>
      </c>
      <c r="H37" s="238">
        <f>'Sumář příjmů kapitol'!I71</f>
        <v>3075000</v>
      </c>
      <c r="I37" s="238">
        <v>3075000</v>
      </c>
      <c r="J37" s="238">
        <f>'Sumář příjmů kapitol'!K71</f>
        <v>3075000</v>
      </c>
      <c r="K37" s="238">
        <f t="shared" si="0"/>
        <v>0</v>
      </c>
      <c r="L37" s="1241"/>
    </row>
    <row r="38" spans="1:12" ht="17.25" customHeight="1" outlineLevel="1" x14ac:dyDescent="0.25">
      <c r="A38" s="129"/>
      <c r="B38" s="246" t="s">
        <v>79</v>
      </c>
      <c r="C38" s="236" t="s">
        <v>76</v>
      </c>
      <c r="D38" s="237">
        <f>'Sumář příjmů kapitol'!E72</f>
        <v>4989000</v>
      </c>
      <c r="E38" s="238">
        <f>'Sumář příjmů kapitol'!F72</f>
        <v>5490000</v>
      </c>
      <c r="F38" s="238">
        <v>5490000</v>
      </c>
      <c r="G38" s="238">
        <v>5490000</v>
      </c>
      <c r="H38" s="238">
        <f>'Sumář příjmů kapitol'!I72</f>
        <v>6016000</v>
      </c>
      <c r="I38" s="238">
        <v>6016000</v>
      </c>
      <c r="J38" s="238">
        <f>'Sumář příjmů kapitol'!K72</f>
        <v>6016000</v>
      </c>
      <c r="K38" s="238">
        <f t="shared" si="0"/>
        <v>0</v>
      </c>
      <c r="L38" s="1241"/>
    </row>
    <row r="39" spans="1:12" ht="17.25" customHeight="1" outlineLevel="1" x14ac:dyDescent="0.25">
      <c r="A39" s="129"/>
      <c r="B39" s="246" t="s">
        <v>233</v>
      </c>
      <c r="C39" s="236">
        <v>2111</v>
      </c>
      <c r="D39" s="237"/>
      <c r="E39" s="238"/>
      <c r="F39" s="238"/>
      <c r="G39" s="238"/>
      <c r="H39" s="238"/>
      <c r="I39" s="238"/>
      <c r="J39" s="238">
        <f>'Sumář příjmů kapitol'!K74</f>
        <v>2500</v>
      </c>
      <c r="K39" s="238">
        <f t="shared" si="0"/>
        <v>2500</v>
      </c>
      <c r="L39" s="1241" t="s">
        <v>1558</v>
      </c>
    </row>
    <row r="40" spans="1:12" ht="17.25" customHeight="1" outlineLevel="1" x14ac:dyDescent="0.25">
      <c r="A40" s="129"/>
      <c r="B40" s="246" t="s">
        <v>81</v>
      </c>
      <c r="C40" s="236" t="s">
        <v>80</v>
      </c>
      <c r="D40" s="237">
        <f>'Sumář příjmů kapitol'!E75</f>
        <v>50000</v>
      </c>
      <c r="E40" s="237">
        <f>'Sumář příjmů kapitol'!F75</f>
        <v>50000</v>
      </c>
      <c r="F40" s="237">
        <v>50000</v>
      </c>
      <c r="G40" s="237">
        <v>50000</v>
      </c>
      <c r="H40" s="237">
        <f>'Sumář příjmů kapitol'!I75</f>
        <v>50000</v>
      </c>
      <c r="I40" s="237">
        <v>50000</v>
      </c>
      <c r="J40" s="237">
        <f>'Sumář příjmů kapitol'!K75</f>
        <v>50000</v>
      </c>
      <c r="K40" s="238">
        <f t="shared" si="0"/>
        <v>0</v>
      </c>
      <c r="L40" s="1241"/>
    </row>
    <row r="41" spans="1:12" ht="17.25" customHeight="1" outlineLevel="1" x14ac:dyDescent="0.25">
      <c r="A41" s="129"/>
      <c r="B41" s="246" t="s">
        <v>82</v>
      </c>
      <c r="C41" s="236" t="s">
        <v>76</v>
      </c>
      <c r="D41" s="237">
        <f>'Sumář příjmů kapitol'!E76</f>
        <v>154000</v>
      </c>
      <c r="E41" s="237">
        <f>'Sumář příjmů kapitol'!F76</f>
        <v>154000</v>
      </c>
      <c r="F41" s="237">
        <v>154000</v>
      </c>
      <c r="G41" s="237">
        <v>154000</v>
      </c>
      <c r="H41" s="237">
        <f>'Sumář příjmů kapitol'!I76</f>
        <v>154000</v>
      </c>
      <c r="I41" s="237">
        <v>154000</v>
      </c>
      <c r="J41" s="237">
        <f>'Sumář příjmů kapitol'!K76</f>
        <v>154000</v>
      </c>
      <c r="K41" s="238">
        <f t="shared" si="0"/>
        <v>0</v>
      </c>
      <c r="L41" s="1241"/>
    </row>
    <row r="42" spans="1:12" ht="17.25" hidden="1" customHeight="1" outlineLevel="1" x14ac:dyDescent="0.25">
      <c r="A42" s="129"/>
      <c r="B42" s="246" t="s">
        <v>83</v>
      </c>
      <c r="C42" s="236">
        <v>2111</v>
      </c>
      <c r="D42" s="237">
        <f>'Sumář příjmů kapitol'!E78</f>
        <v>0</v>
      </c>
      <c r="E42" s="237">
        <f>'Sumář příjmů kapitol'!F78</f>
        <v>0</v>
      </c>
      <c r="F42" s="237">
        <v>0</v>
      </c>
      <c r="G42" s="237">
        <v>0</v>
      </c>
      <c r="H42" s="237">
        <f>'Sumář příjmů kapitol'!I78</f>
        <v>0</v>
      </c>
      <c r="I42" s="237">
        <v>0</v>
      </c>
      <c r="J42" s="237">
        <f>'Sumář příjmů kapitol'!K78</f>
        <v>0</v>
      </c>
      <c r="K42" s="238">
        <f t="shared" si="0"/>
        <v>0</v>
      </c>
      <c r="L42" s="1241"/>
    </row>
    <row r="43" spans="1:12" ht="17.25" hidden="1" customHeight="1" outlineLevel="1" x14ac:dyDescent="0.25">
      <c r="A43" s="129"/>
      <c r="B43" s="246" t="s">
        <v>84</v>
      </c>
      <c r="C43" s="236">
        <v>2132</v>
      </c>
      <c r="D43" s="237">
        <f>'Sumář příjmů kapitol'!E79</f>
        <v>0</v>
      </c>
      <c r="E43" s="237">
        <f>'Sumář příjmů kapitol'!F79</f>
        <v>0</v>
      </c>
      <c r="F43" s="237">
        <v>0</v>
      </c>
      <c r="G43" s="237">
        <v>0</v>
      </c>
      <c r="H43" s="237">
        <f>'Sumář příjmů kapitol'!I79</f>
        <v>0</v>
      </c>
      <c r="I43" s="237">
        <v>0</v>
      </c>
      <c r="J43" s="237">
        <f>'Sumář příjmů kapitol'!K79</f>
        <v>0</v>
      </c>
      <c r="K43" s="238">
        <f t="shared" si="0"/>
        <v>0</v>
      </c>
      <c r="L43" s="1241"/>
    </row>
    <row r="44" spans="1:12" ht="17.25" hidden="1" customHeight="1" outlineLevel="1" x14ac:dyDescent="0.25">
      <c r="A44" s="129"/>
      <c r="B44" s="246" t="s">
        <v>615</v>
      </c>
      <c r="C44" s="236">
        <v>2322</v>
      </c>
      <c r="D44" s="237"/>
      <c r="E44" s="237"/>
      <c r="F44" s="237"/>
      <c r="G44" s="237">
        <v>0</v>
      </c>
      <c r="H44" s="237"/>
      <c r="I44" s="237"/>
      <c r="J44" s="237"/>
      <c r="K44" s="238">
        <f t="shared" si="0"/>
        <v>0</v>
      </c>
      <c r="L44" s="1241"/>
    </row>
    <row r="45" spans="1:12" ht="17.25" customHeight="1" outlineLevel="1" x14ac:dyDescent="0.25">
      <c r="A45" s="129"/>
      <c r="B45" s="246" t="s">
        <v>85</v>
      </c>
      <c r="C45" s="236">
        <v>2111</v>
      </c>
      <c r="D45" s="237">
        <f>'Sumář příjmů kapitol'!E80</f>
        <v>50000</v>
      </c>
      <c r="E45" s="237">
        <f>'Sumář příjmů kapitol'!F80</f>
        <v>50000</v>
      </c>
      <c r="F45" s="237">
        <v>50000</v>
      </c>
      <c r="G45" s="237">
        <v>50000</v>
      </c>
      <c r="H45" s="237">
        <f>'Sumář příjmů kapitol'!I80</f>
        <v>50000</v>
      </c>
      <c r="I45" s="237">
        <v>50000</v>
      </c>
      <c r="J45" s="237">
        <f>'Sumář příjmů kapitol'!K80</f>
        <v>50000</v>
      </c>
      <c r="K45" s="238">
        <f t="shared" si="0"/>
        <v>0</v>
      </c>
      <c r="L45" s="1241"/>
    </row>
    <row r="46" spans="1:12" ht="17.25" customHeight="1" outlineLevel="1" x14ac:dyDescent="0.25">
      <c r="A46" s="129"/>
      <c r="B46" s="246" t="s">
        <v>86</v>
      </c>
      <c r="C46" s="236">
        <v>2111</v>
      </c>
      <c r="D46" s="237">
        <f>'Sumář příjmů kapitol'!E81</f>
        <v>340000</v>
      </c>
      <c r="E46" s="237">
        <f>'Sumář příjmů kapitol'!F81</f>
        <v>200000</v>
      </c>
      <c r="F46" s="237">
        <v>200000</v>
      </c>
      <c r="G46" s="237">
        <v>280000</v>
      </c>
      <c r="H46" s="237">
        <f>'Sumář příjmů kapitol'!I81</f>
        <v>250000</v>
      </c>
      <c r="I46" s="237">
        <v>300000</v>
      </c>
      <c r="J46" s="237">
        <f>'Sumář příjmů kapitol'!K81</f>
        <v>300000</v>
      </c>
      <c r="K46" s="238">
        <f t="shared" si="0"/>
        <v>0</v>
      </c>
      <c r="L46" s="1241"/>
    </row>
    <row r="47" spans="1:12" ht="17.25" customHeight="1" outlineLevel="1" x14ac:dyDescent="0.25">
      <c r="A47" s="129"/>
      <c r="B47" s="246" t="s">
        <v>87</v>
      </c>
      <c r="C47" s="236" t="s">
        <v>80</v>
      </c>
      <c r="D47" s="237">
        <f>'Sumář příjmů kapitol'!E82</f>
        <v>70000</v>
      </c>
      <c r="E47" s="237">
        <f>'Sumář příjmů kapitol'!F82</f>
        <v>70000</v>
      </c>
      <c r="F47" s="237">
        <v>70000</v>
      </c>
      <c r="G47" s="237">
        <v>70000</v>
      </c>
      <c r="H47" s="237">
        <f>'Sumář příjmů kapitol'!I82</f>
        <v>70000</v>
      </c>
      <c r="I47" s="237">
        <v>70000</v>
      </c>
      <c r="J47" s="237">
        <f>'Sumář příjmů kapitol'!K82</f>
        <v>70000</v>
      </c>
      <c r="K47" s="238">
        <f t="shared" si="0"/>
        <v>0</v>
      </c>
      <c r="L47" s="1241"/>
    </row>
    <row r="48" spans="1:12" ht="17.25" customHeight="1" outlineLevel="1" x14ac:dyDescent="0.25">
      <c r="A48" s="129"/>
      <c r="B48" s="246" t="s">
        <v>1642</v>
      </c>
      <c r="C48" s="236">
        <v>3121</v>
      </c>
      <c r="D48" s="237"/>
      <c r="E48" s="237"/>
      <c r="F48" s="237"/>
      <c r="G48" s="237"/>
      <c r="H48" s="237"/>
      <c r="I48" s="237"/>
      <c r="J48" s="237">
        <f>'Sumář příjmů kapitol'!K83</f>
        <v>50000</v>
      </c>
      <c r="K48" s="238">
        <f t="shared" si="0"/>
        <v>50000</v>
      </c>
      <c r="L48" s="1241" t="s">
        <v>1558</v>
      </c>
    </row>
    <row r="49" spans="1:12" ht="17.25" hidden="1" customHeight="1" outlineLevel="1" x14ac:dyDescent="0.25">
      <c r="A49" s="129"/>
      <c r="B49" s="246" t="s">
        <v>88</v>
      </c>
      <c r="C49" s="236" t="s">
        <v>78</v>
      </c>
      <c r="D49" s="237"/>
      <c r="E49" s="237"/>
      <c r="F49" s="237"/>
      <c r="G49" s="237">
        <v>0</v>
      </c>
      <c r="H49" s="237"/>
      <c r="I49" s="237"/>
      <c r="J49" s="237"/>
      <c r="K49" s="238">
        <f t="shared" si="0"/>
        <v>0</v>
      </c>
      <c r="L49" s="1241"/>
    </row>
    <row r="50" spans="1:12" ht="17.25" hidden="1" customHeight="1" outlineLevel="1" x14ac:dyDescent="0.25">
      <c r="A50" s="129"/>
      <c r="B50" s="246" t="s">
        <v>89</v>
      </c>
      <c r="C50" s="236">
        <v>2132</v>
      </c>
      <c r="D50" s="237">
        <f>'Sumář příjmů kapitol'!E85</f>
        <v>0</v>
      </c>
      <c r="E50" s="237">
        <f>'Sumář příjmů kapitol'!F85</f>
        <v>0</v>
      </c>
      <c r="F50" s="237">
        <v>0</v>
      </c>
      <c r="G50" s="237">
        <v>0</v>
      </c>
      <c r="H50" s="237">
        <f>'Sumář příjmů kapitol'!I85</f>
        <v>0</v>
      </c>
      <c r="I50" s="237">
        <v>0</v>
      </c>
      <c r="J50" s="237">
        <f>'Sumář příjmů kapitol'!K85</f>
        <v>0</v>
      </c>
      <c r="K50" s="238">
        <f t="shared" si="0"/>
        <v>0</v>
      </c>
      <c r="L50" s="1241"/>
    </row>
    <row r="51" spans="1:12" ht="17.25" hidden="1" customHeight="1" outlineLevel="1" x14ac:dyDescent="0.25">
      <c r="A51" s="129"/>
      <c r="B51" s="597" t="s">
        <v>90</v>
      </c>
      <c r="C51" s="598" t="s">
        <v>80</v>
      </c>
      <c r="D51" s="594">
        <f>'Sumář příjmů kapitol'!E86</f>
        <v>15000</v>
      </c>
      <c r="E51" s="237">
        <f>'Sumář příjmů kapitol'!F86</f>
        <v>15000</v>
      </c>
      <c r="F51" s="237">
        <v>15000</v>
      </c>
      <c r="G51" s="237">
        <v>15000</v>
      </c>
      <c r="H51" s="237">
        <f>'Sumář příjmů kapitol'!I86</f>
        <v>0</v>
      </c>
      <c r="I51" s="237">
        <v>0</v>
      </c>
      <c r="J51" s="237">
        <f>'Sumář příjmů kapitol'!K86</f>
        <v>0</v>
      </c>
      <c r="K51" s="238">
        <f t="shared" si="0"/>
        <v>0</v>
      </c>
      <c r="L51" s="1241"/>
    </row>
    <row r="52" spans="1:12" ht="17.25" hidden="1" customHeight="1" outlineLevel="1" x14ac:dyDescent="0.25">
      <c r="A52" s="129"/>
      <c r="B52" s="597" t="s">
        <v>91</v>
      </c>
      <c r="C52" s="598" t="s">
        <v>76</v>
      </c>
      <c r="D52" s="594">
        <f>'Sumář příjmů kapitol'!E87</f>
        <v>6000</v>
      </c>
      <c r="E52" s="237">
        <f>'Sumář příjmů kapitol'!F87</f>
        <v>6000</v>
      </c>
      <c r="F52" s="237">
        <v>6000</v>
      </c>
      <c r="G52" s="237">
        <v>6000</v>
      </c>
      <c r="H52" s="237">
        <f>'Sumář příjmů kapitol'!I87</f>
        <v>0</v>
      </c>
      <c r="I52" s="237">
        <v>0</v>
      </c>
      <c r="J52" s="237">
        <f>'Sumář příjmů kapitol'!K87</f>
        <v>0</v>
      </c>
      <c r="K52" s="238">
        <f t="shared" si="0"/>
        <v>0</v>
      </c>
      <c r="L52" s="1241"/>
    </row>
    <row r="53" spans="1:12" ht="17.25" hidden="1" customHeight="1" outlineLevel="1" x14ac:dyDescent="0.25">
      <c r="A53" s="129"/>
      <c r="B53" s="246" t="s">
        <v>93</v>
      </c>
      <c r="C53" s="236" t="s">
        <v>92</v>
      </c>
      <c r="D53" s="237">
        <f>'Sumář příjmů kapitol'!E88</f>
        <v>0</v>
      </c>
      <c r="E53" s="237">
        <f>'Sumář příjmů kapitol'!F88</f>
        <v>0</v>
      </c>
      <c r="F53" s="237">
        <v>0</v>
      </c>
      <c r="G53" s="237">
        <v>0</v>
      </c>
      <c r="H53" s="237">
        <f>'Sumář příjmů kapitol'!I88</f>
        <v>0</v>
      </c>
      <c r="I53" s="237">
        <v>0</v>
      </c>
      <c r="J53" s="237">
        <f>'Sumář příjmů kapitol'!K88</f>
        <v>0</v>
      </c>
      <c r="K53" s="238">
        <f t="shared" si="0"/>
        <v>0</v>
      </c>
      <c r="L53" s="1241"/>
    </row>
    <row r="54" spans="1:12" ht="17.25" hidden="1" customHeight="1" outlineLevel="1" x14ac:dyDescent="0.25">
      <c r="A54" s="129"/>
      <c r="B54" s="246" t="s">
        <v>94</v>
      </c>
      <c r="C54" s="236">
        <v>2111</v>
      </c>
      <c r="D54" s="237">
        <f>'Sumář příjmů kapitol'!E89</f>
        <v>0</v>
      </c>
      <c r="E54" s="237">
        <f>'Sumář příjmů kapitol'!F89</f>
        <v>0</v>
      </c>
      <c r="F54" s="237">
        <v>0</v>
      </c>
      <c r="G54" s="237">
        <v>0</v>
      </c>
      <c r="H54" s="237">
        <f>'Sumář příjmů kapitol'!I89</f>
        <v>0</v>
      </c>
      <c r="I54" s="237">
        <v>0</v>
      </c>
      <c r="J54" s="237">
        <f>'Sumář příjmů kapitol'!K89</f>
        <v>0</v>
      </c>
      <c r="K54" s="238">
        <f t="shared" si="0"/>
        <v>0</v>
      </c>
      <c r="L54" s="1241"/>
    </row>
    <row r="55" spans="1:12" ht="17.25" customHeight="1" outlineLevel="1" x14ac:dyDescent="0.25">
      <c r="A55" s="129"/>
      <c r="B55" s="246" t="s">
        <v>95</v>
      </c>
      <c r="C55" s="236">
        <v>2132</v>
      </c>
      <c r="D55" s="237">
        <f>'Sumář příjmů kapitol'!E90</f>
        <v>775800</v>
      </c>
      <c r="E55" s="237">
        <f>'Sumář příjmů kapitol'!F90</f>
        <v>775800</v>
      </c>
      <c r="F55" s="237">
        <v>775800</v>
      </c>
      <c r="G55" s="237">
        <v>775800</v>
      </c>
      <c r="H55" s="237">
        <f>'Sumář příjmů kapitol'!I90</f>
        <v>775800</v>
      </c>
      <c r="I55" s="237">
        <v>775800</v>
      </c>
      <c r="J55" s="237">
        <f>'Sumář příjmů kapitol'!K90</f>
        <v>775800</v>
      </c>
      <c r="K55" s="238">
        <f t="shared" si="0"/>
        <v>0</v>
      </c>
      <c r="L55" s="1241"/>
    </row>
    <row r="56" spans="1:12" ht="17.25" hidden="1" customHeight="1" outlineLevel="1" x14ac:dyDescent="0.25">
      <c r="A56" s="129"/>
      <c r="B56" s="246" t="s">
        <v>96</v>
      </c>
      <c r="C56" s="236" t="s">
        <v>92</v>
      </c>
      <c r="D56" s="237"/>
      <c r="E56" s="237">
        <f>'Sumář příjmů kapitol'!F91</f>
        <v>0</v>
      </c>
      <c r="F56" s="237">
        <v>0</v>
      </c>
      <c r="G56" s="237">
        <v>0</v>
      </c>
      <c r="H56" s="237">
        <f>'Sumář příjmů kapitol'!I91</f>
        <v>0</v>
      </c>
      <c r="I56" s="237">
        <v>0</v>
      </c>
      <c r="J56" s="237">
        <f>'Sumář příjmů kapitol'!K91</f>
        <v>0</v>
      </c>
      <c r="K56" s="238">
        <f t="shared" si="0"/>
        <v>0</v>
      </c>
      <c r="L56" s="1241"/>
    </row>
    <row r="57" spans="1:12" ht="17.25" customHeight="1" outlineLevel="1" x14ac:dyDescent="0.25">
      <c r="A57" s="129"/>
      <c r="B57" s="246" t="s">
        <v>97</v>
      </c>
      <c r="C57" s="236">
        <v>2111</v>
      </c>
      <c r="D57" s="237">
        <f>'Sumář příjmů kapitol'!E92</f>
        <v>1600000</v>
      </c>
      <c r="E57" s="237">
        <f>'Sumář příjmů kapitol'!F92</f>
        <v>1600000</v>
      </c>
      <c r="F57" s="237">
        <v>1600000</v>
      </c>
      <c r="G57" s="237">
        <v>1600000</v>
      </c>
      <c r="H57" s="237">
        <f>'Sumář příjmů kapitol'!I92</f>
        <v>1600000</v>
      </c>
      <c r="I57" s="237">
        <v>1600000</v>
      </c>
      <c r="J57" s="237">
        <f>'Sumář příjmů kapitol'!K92</f>
        <v>1600000</v>
      </c>
      <c r="K57" s="238">
        <f t="shared" si="0"/>
        <v>0</v>
      </c>
      <c r="L57" s="1241"/>
    </row>
    <row r="58" spans="1:12" ht="17.25" customHeight="1" outlineLevel="1" x14ac:dyDescent="0.25">
      <c r="A58" s="129"/>
      <c r="B58" s="246" t="s">
        <v>98</v>
      </c>
      <c r="C58" s="236">
        <v>2132</v>
      </c>
      <c r="D58" s="237">
        <f>'Sumář příjmů kapitol'!E93</f>
        <v>3010000</v>
      </c>
      <c r="E58" s="237">
        <f>'Sumář příjmů kapitol'!F93</f>
        <v>3010000</v>
      </c>
      <c r="F58" s="237">
        <v>3010000</v>
      </c>
      <c r="G58" s="237">
        <v>3010000</v>
      </c>
      <c r="H58" s="237">
        <f>'Sumář příjmů kapitol'!I93</f>
        <v>3031000</v>
      </c>
      <c r="I58" s="237">
        <v>3031000</v>
      </c>
      <c r="J58" s="237">
        <f>'Sumář příjmů kapitol'!K93</f>
        <v>3031000</v>
      </c>
      <c r="K58" s="238">
        <f t="shared" si="0"/>
        <v>0</v>
      </c>
      <c r="L58" s="1241"/>
    </row>
    <row r="59" spans="1:12" ht="17.25" hidden="1" customHeight="1" outlineLevel="1" x14ac:dyDescent="0.25">
      <c r="A59" s="129"/>
      <c r="B59" s="246" t="s">
        <v>100</v>
      </c>
      <c r="C59" s="236" t="s">
        <v>99</v>
      </c>
      <c r="D59" s="237"/>
      <c r="E59" s="237">
        <f>'Sumář příjmů kapitol'!F94</f>
        <v>0</v>
      </c>
      <c r="F59" s="237">
        <v>0</v>
      </c>
      <c r="G59" s="237">
        <v>0</v>
      </c>
      <c r="H59" s="237">
        <f>'Sumář příjmů kapitol'!I94</f>
        <v>0</v>
      </c>
      <c r="I59" s="237">
        <v>0</v>
      </c>
      <c r="J59" s="237">
        <f>'Sumář příjmů kapitol'!K94</f>
        <v>0</v>
      </c>
      <c r="K59" s="238">
        <f t="shared" si="0"/>
        <v>0</v>
      </c>
      <c r="L59" s="1241"/>
    </row>
    <row r="60" spans="1:12" ht="17.25" hidden="1" customHeight="1" outlineLevel="1" x14ac:dyDescent="0.25">
      <c r="A60" s="129"/>
      <c r="B60" s="246" t="s">
        <v>101</v>
      </c>
      <c r="C60" s="236" t="s">
        <v>78</v>
      </c>
      <c r="D60" s="237"/>
      <c r="E60" s="237">
        <f>'Sumář příjmů kapitol'!F95</f>
        <v>0</v>
      </c>
      <c r="F60" s="237">
        <v>0</v>
      </c>
      <c r="G60" s="237">
        <v>0</v>
      </c>
      <c r="H60" s="237">
        <f>'Sumář příjmů kapitol'!I95</f>
        <v>0</v>
      </c>
      <c r="I60" s="237">
        <v>0</v>
      </c>
      <c r="J60" s="237">
        <f>'Sumář příjmů kapitol'!K95</f>
        <v>0</v>
      </c>
      <c r="K60" s="238">
        <f t="shared" si="0"/>
        <v>0</v>
      </c>
      <c r="L60" s="1241"/>
    </row>
    <row r="61" spans="1:12" ht="17.25" customHeight="1" outlineLevel="1" x14ac:dyDescent="0.25">
      <c r="A61" s="129"/>
      <c r="B61" s="246" t="s">
        <v>102</v>
      </c>
      <c r="C61" s="236" t="s">
        <v>80</v>
      </c>
      <c r="D61" s="237">
        <f>'Sumář příjmů kapitol'!E96</f>
        <v>81000</v>
      </c>
      <c r="E61" s="237">
        <f>'Sumář příjmů kapitol'!F96</f>
        <v>81000</v>
      </c>
      <c r="F61" s="237">
        <v>81000</v>
      </c>
      <c r="G61" s="237">
        <v>81000</v>
      </c>
      <c r="H61" s="237">
        <f>'Sumář příjmů kapitol'!I96</f>
        <v>81000</v>
      </c>
      <c r="I61" s="237">
        <v>81000</v>
      </c>
      <c r="J61" s="237">
        <f>'Sumář příjmů kapitol'!K96</f>
        <v>81000</v>
      </c>
      <c r="K61" s="238">
        <f t="shared" si="0"/>
        <v>0</v>
      </c>
      <c r="L61" s="1241"/>
    </row>
    <row r="62" spans="1:12" ht="17.25" customHeight="1" outlineLevel="1" x14ac:dyDescent="0.25">
      <c r="A62" s="129"/>
      <c r="B62" s="246" t="s">
        <v>804</v>
      </c>
      <c r="C62" s="236">
        <v>2322</v>
      </c>
      <c r="D62" s="237"/>
      <c r="E62" s="237">
        <f>'Sumář příjmů kapitol'!F97</f>
        <v>0</v>
      </c>
      <c r="F62" s="237">
        <v>0</v>
      </c>
      <c r="G62" s="237">
        <v>0</v>
      </c>
      <c r="H62" s="237">
        <f>'Sumář příjmů kapitol'!I97</f>
        <v>0</v>
      </c>
      <c r="I62" s="237">
        <v>0</v>
      </c>
      <c r="J62" s="237">
        <f>'Sumář příjmů kapitol'!K97</f>
        <v>14600</v>
      </c>
      <c r="K62" s="238">
        <f t="shared" si="0"/>
        <v>14600</v>
      </c>
      <c r="L62" s="1241" t="s">
        <v>1558</v>
      </c>
    </row>
    <row r="63" spans="1:12" ht="17.25" customHeight="1" outlineLevel="1" x14ac:dyDescent="0.25">
      <c r="A63" s="129"/>
      <c r="B63" s="246" t="s">
        <v>965</v>
      </c>
      <c r="C63" s="236">
        <v>2132</v>
      </c>
      <c r="D63" s="237">
        <f>'Sumář příjmů kapitol'!E98</f>
        <v>80000</v>
      </c>
      <c r="E63" s="237">
        <f>'Sumář příjmů kapitol'!F98</f>
        <v>240000</v>
      </c>
      <c r="F63" s="237">
        <v>240000</v>
      </c>
      <c r="G63" s="237">
        <v>240000</v>
      </c>
      <c r="H63" s="237">
        <f>'Sumář příjmů kapitol'!I98</f>
        <v>240000</v>
      </c>
      <c r="I63" s="237">
        <v>240000</v>
      </c>
      <c r="J63" s="237">
        <f>'Sumář příjmů kapitol'!K98</f>
        <v>240000</v>
      </c>
      <c r="K63" s="238">
        <f t="shared" si="0"/>
        <v>0</v>
      </c>
      <c r="L63" s="1241"/>
    </row>
    <row r="64" spans="1:12" ht="17.25" customHeight="1" outlineLevel="1" x14ac:dyDescent="0.25">
      <c r="A64" s="129"/>
      <c r="B64" s="246" t="s">
        <v>966</v>
      </c>
      <c r="C64" s="236">
        <v>2111</v>
      </c>
      <c r="D64" s="237">
        <f>'Sumář příjmů kapitol'!E99</f>
        <v>26000</v>
      </c>
      <c r="E64" s="237">
        <f>'Sumář příjmů kapitol'!F99</f>
        <v>78000</v>
      </c>
      <c r="F64" s="237">
        <v>78000</v>
      </c>
      <c r="G64" s="237">
        <v>78000</v>
      </c>
      <c r="H64" s="237">
        <f>'Sumář příjmů kapitol'!I99</f>
        <v>78000</v>
      </c>
      <c r="I64" s="237">
        <v>78000</v>
      </c>
      <c r="J64" s="237">
        <f>'Sumář příjmů kapitol'!K99</f>
        <v>78000</v>
      </c>
      <c r="K64" s="238">
        <f t="shared" si="0"/>
        <v>0</v>
      </c>
      <c r="L64" s="1241"/>
    </row>
    <row r="65" spans="1:12" ht="17.25" customHeight="1" outlineLevel="1" x14ac:dyDescent="0.25">
      <c r="A65" s="129"/>
      <c r="B65" s="246" t="s">
        <v>103</v>
      </c>
      <c r="C65" s="236">
        <v>2132</v>
      </c>
      <c r="D65" s="237">
        <f>'Sumář příjmů kapitol'!E100</f>
        <v>400000</v>
      </c>
      <c r="E65" s="237">
        <f>'Sumář příjmů kapitol'!F100</f>
        <v>400000</v>
      </c>
      <c r="F65" s="237">
        <v>400000</v>
      </c>
      <c r="G65" s="237">
        <v>400000</v>
      </c>
      <c r="H65" s="237">
        <f>'Sumář příjmů kapitol'!I100</f>
        <v>400000</v>
      </c>
      <c r="I65" s="237">
        <v>400000</v>
      </c>
      <c r="J65" s="237">
        <f>'Sumář příjmů kapitol'!K100</f>
        <v>400000</v>
      </c>
      <c r="K65" s="238">
        <f t="shared" si="0"/>
        <v>0</v>
      </c>
      <c r="L65" s="1241"/>
    </row>
    <row r="66" spans="1:12" ht="17.25" customHeight="1" outlineLevel="1" x14ac:dyDescent="0.25">
      <c r="A66" s="129"/>
      <c r="B66" s="246" t="s">
        <v>824</v>
      </c>
      <c r="C66" s="236">
        <v>2132</v>
      </c>
      <c r="D66" s="237"/>
      <c r="E66" s="238">
        <f>'Sumář příjmů kapitol'!F101</f>
        <v>1063000</v>
      </c>
      <c r="F66" s="238">
        <v>1063000</v>
      </c>
      <c r="G66" s="238">
        <v>1063000</v>
      </c>
      <c r="H66" s="238">
        <f>'Sumář příjmů kapitol'!I101</f>
        <v>1063000</v>
      </c>
      <c r="I66" s="238">
        <v>1063000</v>
      </c>
      <c r="J66" s="238">
        <f>'Sumář příjmů kapitol'!K101</f>
        <v>1063000</v>
      </c>
      <c r="K66" s="238">
        <f t="shared" si="0"/>
        <v>0</v>
      </c>
      <c r="L66" s="1241"/>
    </row>
    <row r="67" spans="1:12" ht="17.25" customHeight="1" outlineLevel="1" x14ac:dyDescent="0.25">
      <c r="A67" s="129"/>
      <c r="B67" s="246" t="s">
        <v>104</v>
      </c>
      <c r="C67" s="236">
        <v>2111</v>
      </c>
      <c r="D67" s="237">
        <f>'Sumář příjmů kapitol'!E102</f>
        <v>450000</v>
      </c>
      <c r="E67" s="237">
        <f>'Sumář příjmů kapitol'!F102</f>
        <v>450000</v>
      </c>
      <c r="F67" s="237">
        <v>450000</v>
      </c>
      <c r="G67" s="237">
        <v>150000</v>
      </c>
      <c r="H67" s="237">
        <f>'Sumář příjmů kapitol'!I102</f>
        <v>250000</v>
      </c>
      <c r="I67" s="237">
        <v>250000</v>
      </c>
      <c r="J67" s="237">
        <f>'Sumář příjmů kapitol'!K102</f>
        <v>250000</v>
      </c>
      <c r="K67" s="238">
        <f t="shared" si="0"/>
        <v>0</v>
      </c>
      <c r="L67" s="1241"/>
    </row>
    <row r="68" spans="1:12" ht="17.25" hidden="1" customHeight="1" outlineLevel="1" x14ac:dyDescent="0.25">
      <c r="A68" s="129"/>
      <c r="B68" s="246" t="s">
        <v>106</v>
      </c>
      <c r="C68" s="236" t="s">
        <v>80</v>
      </c>
      <c r="D68" s="237"/>
      <c r="E68" s="237">
        <f>'Sumář příjmů kapitol'!F104</f>
        <v>0</v>
      </c>
      <c r="F68" s="237">
        <v>0</v>
      </c>
      <c r="G68" s="237">
        <v>10000</v>
      </c>
      <c r="H68" s="237">
        <f>'Sumář příjmů kapitol'!I104</f>
        <v>0</v>
      </c>
      <c r="I68" s="237">
        <v>0</v>
      </c>
      <c r="J68" s="237">
        <f>'Sumář příjmů kapitol'!K104</f>
        <v>0</v>
      </c>
      <c r="K68" s="238">
        <f t="shared" si="0"/>
        <v>0</v>
      </c>
      <c r="L68" s="1241"/>
    </row>
    <row r="69" spans="1:12" ht="17.25" hidden="1" customHeight="1" outlineLevel="1" x14ac:dyDescent="0.25">
      <c r="A69" s="129"/>
      <c r="B69" s="246" t="s">
        <v>105</v>
      </c>
      <c r="C69" s="236" t="s">
        <v>76</v>
      </c>
      <c r="D69" s="237"/>
      <c r="E69" s="594">
        <f>'Sumář příjmů kapitol'!F103</f>
        <v>0</v>
      </c>
      <c r="F69" s="594">
        <v>0</v>
      </c>
      <c r="G69" s="594">
        <v>0</v>
      </c>
      <c r="H69" s="594">
        <f>'Sumář příjmů kapitol'!I103</f>
        <v>0</v>
      </c>
      <c r="I69" s="594">
        <v>0</v>
      </c>
      <c r="J69" s="594">
        <f>'Sumář příjmů kapitol'!K103</f>
        <v>0</v>
      </c>
      <c r="K69" s="238">
        <f t="shared" si="0"/>
        <v>0</v>
      </c>
      <c r="L69" s="1241"/>
    </row>
    <row r="70" spans="1:12" ht="17.25" customHeight="1" outlineLevel="1" x14ac:dyDescent="0.25">
      <c r="A70" s="129"/>
      <c r="B70" s="246" t="s">
        <v>107</v>
      </c>
      <c r="C70" s="236" t="s">
        <v>80</v>
      </c>
      <c r="D70" s="237">
        <f>'Sumář příjmů kapitol'!E105</f>
        <v>800000</v>
      </c>
      <c r="E70" s="237">
        <f>'Sumář příjmů kapitol'!F105</f>
        <v>800000</v>
      </c>
      <c r="F70" s="237">
        <v>800000</v>
      </c>
      <c r="G70" s="237">
        <v>800000</v>
      </c>
      <c r="H70" s="237">
        <f>'Sumář příjmů kapitol'!I105</f>
        <v>800000</v>
      </c>
      <c r="I70" s="237">
        <v>1000000</v>
      </c>
      <c r="J70" s="237">
        <f>'Sumář příjmů kapitol'!K105</f>
        <v>1000000</v>
      </c>
      <c r="K70" s="238">
        <f t="shared" si="0"/>
        <v>0</v>
      </c>
      <c r="L70" s="1241"/>
    </row>
    <row r="71" spans="1:12" ht="17.25" customHeight="1" outlineLevel="1" x14ac:dyDescent="0.25">
      <c r="A71" s="129"/>
      <c r="B71" s="246" t="s">
        <v>108</v>
      </c>
      <c r="C71" s="236" t="s">
        <v>80</v>
      </c>
      <c r="D71" s="237">
        <f>'Sumář příjmů kapitol'!E106</f>
        <v>450000</v>
      </c>
      <c r="E71" s="237">
        <f>'Sumář příjmů kapitol'!F106</f>
        <v>350000</v>
      </c>
      <c r="F71" s="237">
        <v>350000</v>
      </c>
      <c r="G71" s="237">
        <v>350000</v>
      </c>
      <c r="H71" s="237">
        <f>'Sumář příjmů kapitol'!I106</f>
        <v>350000</v>
      </c>
      <c r="I71" s="237">
        <v>350000</v>
      </c>
      <c r="J71" s="237">
        <f>'Sumář příjmů kapitol'!K106</f>
        <v>350000</v>
      </c>
      <c r="K71" s="238">
        <f t="shared" si="0"/>
        <v>0</v>
      </c>
      <c r="L71" s="1241"/>
    </row>
    <row r="72" spans="1:12" ht="17.25" hidden="1" customHeight="1" outlineLevel="1" x14ac:dyDescent="0.25">
      <c r="A72" s="129"/>
      <c r="B72" s="246" t="s">
        <v>630</v>
      </c>
      <c r="C72" s="236">
        <v>2321</v>
      </c>
      <c r="D72" s="237"/>
      <c r="E72" s="237"/>
      <c r="F72" s="237"/>
      <c r="G72" s="237">
        <v>0</v>
      </c>
      <c r="H72" s="237"/>
      <c r="I72" s="237"/>
      <c r="J72" s="237"/>
      <c r="K72" s="238">
        <f t="shared" ref="K72:K135" si="1">+J72-I72</f>
        <v>0</v>
      </c>
      <c r="L72" s="1241"/>
    </row>
    <row r="73" spans="1:12" ht="17.25" customHeight="1" outlineLevel="1" x14ac:dyDescent="0.25">
      <c r="A73" s="129"/>
      <c r="B73" s="246" t="s">
        <v>109</v>
      </c>
      <c r="C73" s="236">
        <v>2111</v>
      </c>
      <c r="D73" s="237">
        <v>20000</v>
      </c>
      <c r="E73" s="237">
        <v>20000</v>
      </c>
      <c r="F73" s="237">
        <v>20000</v>
      </c>
      <c r="G73" s="237">
        <v>20000</v>
      </c>
      <c r="H73" s="237">
        <v>20000</v>
      </c>
      <c r="I73" s="237">
        <v>20000</v>
      </c>
      <c r="J73" s="237">
        <f>'Sumář příjmů kapitol'!K108</f>
        <v>20000</v>
      </c>
      <c r="K73" s="238">
        <f t="shared" si="1"/>
        <v>0</v>
      </c>
      <c r="L73" s="1241"/>
    </row>
    <row r="74" spans="1:12" ht="17.25" customHeight="1" outlineLevel="1" x14ac:dyDescent="0.25">
      <c r="A74" s="129"/>
      <c r="B74" s="246" t="s">
        <v>350</v>
      </c>
      <c r="C74" s="236" t="s">
        <v>92</v>
      </c>
      <c r="D74" s="237">
        <v>264500</v>
      </c>
      <c r="E74" s="237"/>
      <c r="F74" s="237"/>
      <c r="G74" s="237">
        <v>0</v>
      </c>
      <c r="H74" s="237"/>
      <c r="I74" s="237"/>
      <c r="J74" s="237">
        <f>'Sumář příjmů kapitol'!K120</f>
        <v>24000</v>
      </c>
      <c r="K74" s="238">
        <f t="shared" si="1"/>
        <v>24000</v>
      </c>
      <c r="L74" s="1241" t="s">
        <v>1558</v>
      </c>
    </row>
    <row r="75" spans="1:12" ht="17.25" customHeight="1" outlineLevel="1" x14ac:dyDescent="0.25">
      <c r="A75" s="129"/>
      <c r="B75" s="246" t="s">
        <v>110</v>
      </c>
      <c r="C75" s="236">
        <v>2132</v>
      </c>
      <c r="D75" s="237">
        <f>'Sumář příjmů kapitol'!E109</f>
        <v>24000</v>
      </c>
      <c r="E75" s="237">
        <f>'Sumář příjmů kapitol'!F109</f>
        <v>24000</v>
      </c>
      <c r="F75" s="237">
        <v>24000</v>
      </c>
      <c r="G75" s="237">
        <v>24000</v>
      </c>
      <c r="H75" s="237">
        <f>'Sumář příjmů kapitol'!I109</f>
        <v>24000</v>
      </c>
      <c r="I75" s="237">
        <v>24000</v>
      </c>
      <c r="J75" s="237">
        <f>'Sumář příjmů kapitol'!K109</f>
        <v>24000</v>
      </c>
      <c r="K75" s="238">
        <f t="shared" si="1"/>
        <v>0</v>
      </c>
      <c r="L75" s="1241"/>
    </row>
    <row r="76" spans="1:12" ht="17.25" hidden="1" customHeight="1" outlineLevel="1" x14ac:dyDescent="0.25">
      <c r="A76" s="129"/>
      <c r="B76" s="246" t="s">
        <v>111</v>
      </c>
      <c r="C76" s="236" t="s">
        <v>99</v>
      </c>
      <c r="D76" s="237"/>
      <c r="E76" s="237"/>
      <c r="F76" s="237"/>
      <c r="G76" s="237">
        <v>127000</v>
      </c>
      <c r="H76" s="237"/>
      <c r="I76" s="237"/>
      <c r="J76" s="237"/>
      <c r="K76" s="238">
        <f t="shared" si="1"/>
        <v>0</v>
      </c>
      <c r="L76" s="1241"/>
    </row>
    <row r="77" spans="1:12" ht="17.25" hidden="1" customHeight="1" outlineLevel="1" x14ac:dyDescent="0.25">
      <c r="A77" s="129"/>
      <c r="B77" s="246" t="s">
        <v>112</v>
      </c>
      <c r="C77" s="236" t="s">
        <v>78</v>
      </c>
      <c r="D77" s="237"/>
      <c r="E77" s="237"/>
      <c r="F77" s="237"/>
      <c r="G77" s="237">
        <v>83500</v>
      </c>
      <c r="H77" s="237"/>
      <c r="I77" s="237"/>
      <c r="J77" s="237"/>
      <c r="K77" s="238">
        <f t="shared" si="1"/>
        <v>0</v>
      </c>
      <c r="L77" s="1241"/>
    </row>
    <row r="78" spans="1:12" ht="17.25" hidden="1" customHeight="1" outlineLevel="1" x14ac:dyDescent="0.25">
      <c r="A78" s="129"/>
      <c r="B78" s="246" t="s">
        <v>350</v>
      </c>
      <c r="C78" s="236" t="s">
        <v>80</v>
      </c>
      <c r="D78" s="237"/>
      <c r="E78" s="237"/>
      <c r="F78" s="237"/>
      <c r="G78" s="237">
        <v>129675</v>
      </c>
      <c r="H78" s="237"/>
      <c r="I78" s="237"/>
      <c r="J78" s="237"/>
      <c r="K78" s="238">
        <f t="shared" si="1"/>
        <v>0</v>
      </c>
      <c r="L78" s="1241"/>
    </row>
    <row r="79" spans="1:12" ht="17.25" hidden="1" customHeight="1" outlineLevel="1" x14ac:dyDescent="0.25">
      <c r="A79" s="129"/>
      <c r="B79" s="246" t="s">
        <v>112</v>
      </c>
      <c r="C79" s="236" t="s">
        <v>78</v>
      </c>
      <c r="D79" s="237"/>
      <c r="E79" s="237"/>
      <c r="F79" s="237"/>
      <c r="G79" s="237">
        <v>0</v>
      </c>
      <c r="H79" s="237"/>
      <c r="I79" s="237"/>
      <c r="J79" s="237"/>
      <c r="K79" s="238">
        <f t="shared" si="1"/>
        <v>0</v>
      </c>
      <c r="L79" s="1241"/>
    </row>
    <row r="80" spans="1:12" ht="17.25" hidden="1" customHeight="1" outlineLevel="1" x14ac:dyDescent="0.25">
      <c r="A80" s="129"/>
      <c r="B80" s="246" t="s">
        <v>113</v>
      </c>
      <c r="C80" s="236" t="s">
        <v>80</v>
      </c>
      <c r="D80" s="237"/>
      <c r="E80" s="237"/>
      <c r="F80" s="237"/>
      <c r="G80" s="237">
        <v>0</v>
      </c>
      <c r="H80" s="237"/>
      <c r="I80" s="237"/>
      <c r="J80" s="237"/>
      <c r="K80" s="238">
        <f t="shared" si="1"/>
        <v>0</v>
      </c>
      <c r="L80" s="1241"/>
    </row>
    <row r="81" spans="1:12" ht="17.25" customHeight="1" outlineLevel="1" x14ac:dyDescent="0.25">
      <c r="A81" s="129"/>
      <c r="B81" s="246" t="s">
        <v>114</v>
      </c>
      <c r="C81" s="236">
        <v>2111</v>
      </c>
      <c r="D81" s="237">
        <f>'Sumář příjmů kapitol'!E115</f>
        <v>7000</v>
      </c>
      <c r="E81" s="237">
        <f>'Sumář příjmů kapitol'!F115</f>
        <v>3000</v>
      </c>
      <c r="F81" s="237">
        <v>3000</v>
      </c>
      <c r="G81" s="237">
        <v>38000</v>
      </c>
      <c r="H81" s="237">
        <f>'Sumář příjmů kapitol'!I115</f>
        <v>3000</v>
      </c>
      <c r="I81" s="237">
        <v>3000</v>
      </c>
      <c r="J81" s="237">
        <f>'Sumář příjmů kapitol'!K115</f>
        <v>18000</v>
      </c>
      <c r="K81" s="238">
        <f t="shared" si="1"/>
        <v>15000</v>
      </c>
      <c r="L81" s="1241" t="s">
        <v>1558</v>
      </c>
    </row>
    <row r="82" spans="1:12" ht="17.25" customHeight="1" outlineLevel="1" x14ac:dyDescent="0.25">
      <c r="A82" s="129"/>
      <c r="B82" s="246" t="s">
        <v>115</v>
      </c>
      <c r="C82" s="236">
        <v>2141</v>
      </c>
      <c r="D82" s="237">
        <f>'Sumář příjmů kapitol'!E116</f>
        <v>10000</v>
      </c>
      <c r="E82" s="237">
        <f>'Sumář příjmů kapitol'!F116</f>
        <v>10000</v>
      </c>
      <c r="F82" s="237">
        <v>10000</v>
      </c>
      <c r="G82" s="237">
        <v>10000</v>
      </c>
      <c r="H82" s="237">
        <f>'Sumář příjmů kapitol'!I116</f>
        <v>10000</v>
      </c>
      <c r="I82" s="237">
        <v>10000</v>
      </c>
      <c r="J82" s="237">
        <f>'Sumář příjmů kapitol'!K116</f>
        <v>10000</v>
      </c>
      <c r="K82" s="238">
        <f t="shared" si="1"/>
        <v>0</v>
      </c>
      <c r="L82" s="1241"/>
    </row>
    <row r="83" spans="1:12" ht="17.25" customHeight="1" outlineLevel="1" x14ac:dyDescent="0.25">
      <c r="A83" s="129"/>
      <c r="B83" s="246" t="s">
        <v>814</v>
      </c>
      <c r="C83" s="236">
        <v>2212</v>
      </c>
      <c r="D83" s="237">
        <f>'Sumář příjmů kapitol'!E118</f>
        <v>96000</v>
      </c>
      <c r="E83" s="237">
        <f>'Sumář příjmů kapitol'!F118</f>
        <v>0</v>
      </c>
      <c r="F83" s="237">
        <v>2000</v>
      </c>
      <c r="G83" s="237">
        <v>367000</v>
      </c>
      <c r="H83" s="237">
        <f>'Sumář příjmů kapitol'!I118</f>
        <v>0</v>
      </c>
      <c r="I83" s="237">
        <v>113000</v>
      </c>
      <c r="J83" s="237">
        <f>'Sumář příjmů kapitol'!K118</f>
        <v>173000</v>
      </c>
      <c r="K83" s="238">
        <f t="shared" si="1"/>
        <v>60000</v>
      </c>
      <c r="L83" s="1241" t="s">
        <v>1558</v>
      </c>
    </row>
    <row r="84" spans="1:12" ht="17.25" customHeight="1" outlineLevel="1" x14ac:dyDescent="0.25">
      <c r="A84" s="129"/>
      <c r="B84" s="246" t="s">
        <v>813</v>
      </c>
      <c r="C84" s="236">
        <v>2212</v>
      </c>
      <c r="D84" s="237">
        <f>'Sumář příjmů kapitol'!E119</f>
        <v>17300</v>
      </c>
      <c r="E84" s="237">
        <f>'Sumář příjmů kapitol'!F119</f>
        <v>4500</v>
      </c>
      <c r="F84" s="237">
        <v>7700</v>
      </c>
      <c r="G84" s="237">
        <v>28700</v>
      </c>
      <c r="H84" s="237">
        <f>'Sumář příjmů kapitol'!I119</f>
        <v>0</v>
      </c>
      <c r="I84" s="237">
        <v>0</v>
      </c>
      <c r="J84" s="237">
        <f>'Sumář příjmů kapitol'!K119</f>
        <v>107000</v>
      </c>
      <c r="K84" s="238">
        <f t="shared" si="1"/>
        <v>107000</v>
      </c>
      <c r="L84" s="1241" t="s">
        <v>1558</v>
      </c>
    </row>
    <row r="85" spans="1:12" ht="17.25" customHeight="1" outlineLevel="1" x14ac:dyDescent="0.25">
      <c r="A85" s="129"/>
      <c r="B85" s="246" t="s">
        <v>617</v>
      </c>
      <c r="C85" s="236">
        <v>2132</v>
      </c>
      <c r="D85" s="237">
        <f>'Sumář příjmů kapitol'!E125</f>
        <v>4400</v>
      </c>
      <c r="E85" s="237">
        <f>'Sumář příjmů kapitol'!F125</f>
        <v>4400</v>
      </c>
      <c r="F85" s="237">
        <v>4400</v>
      </c>
      <c r="G85" s="237">
        <v>4400</v>
      </c>
      <c r="H85" s="237">
        <f>'Sumář příjmů kapitol'!I125</f>
        <v>4400</v>
      </c>
      <c r="I85" s="237">
        <v>4400</v>
      </c>
      <c r="J85" s="237">
        <f>'Sumář příjmů kapitol'!K125</f>
        <v>4400</v>
      </c>
      <c r="K85" s="238">
        <f t="shared" si="1"/>
        <v>0</v>
      </c>
      <c r="L85" s="1241"/>
    </row>
    <row r="86" spans="1:12" ht="17.25" customHeight="1" outlineLevel="1" x14ac:dyDescent="0.25">
      <c r="A86" s="129"/>
      <c r="B86" s="246" t="s">
        <v>803</v>
      </c>
      <c r="C86" s="236">
        <v>3122</v>
      </c>
      <c r="D86" s="237">
        <f>'Sumář příjmů kapitol'!E121</f>
        <v>200000</v>
      </c>
      <c r="E86" s="237">
        <f>'Sumář příjmů kapitol'!F121</f>
        <v>200000</v>
      </c>
      <c r="F86" s="237">
        <v>200000</v>
      </c>
      <c r="G86" s="237">
        <v>200000</v>
      </c>
      <c r="H86" s="237">
        <f>'Sumář příjmů kapitol'!I121</f>
        <v>200000</v>
      </c>
      <c r="I86" s="237">
        <v>200000</v>
      </c>
      <c r="J86" s="237">
        <f>'Sumář příjmů kapitol'!K121</f>
        <v>200000</v>
      </c>
      <c r="K86" s="238">
        <f t="shared" si="1"/>
        <v>0</v>
      </c>
      <c r="L86" s="1241"/>
    </row>
    <row r="87" spans="1:12" ht="17.25" customHeight="1" outlineLevel="1" x14ac:dyDescent="0.25">
      <c r="A87" s="129"/>
      <c r="B87" s="246" t="s">
        <v>640</v>
      </c>
      <c r="C87" s="236">
        <v>3122</v>
      </c>
      <c r="D87" s="237">
        <f>'Sumář příjmů kapitol'!E122</f>
        <v>50000</v>
      </c>
      <c r="E87" s="237">
        <f>'Sumář příjmů kapitol'!F122</f>
        <v>50000</v>
      </c>
      <c r="F87" s="237">
        <v>50000</v>
      </c>
      <c r="G87" s="237">
        <v>50000</v>
      </c>
      <c r="H87" s="237">
        <f>'Sumář příjmů kapitol'!I122</f>
        <v>50000</v>
      </c>
      <c r="I87" s="237">
        <v>50000</v>
      </c>
      <c r="J87" s="237">
        <f>'Sumář příjmů kapitol'!K122</f>
        <v>50000</v>
      </c>
      <c r="K87" s="238">
        <f t="shared" si="1"/>
        <v>0</v>
      </c>
      <c r="L87" s="1241"/>
    </row>
    <row r="88" spans="1:12" ht="17.25" hidden="1" customHeight="1" outlineLevel="1" x14ac:dyDescent="0.25">
      <c r="A88" s="129"/>
      <c r="B88" s="246" t="s">
        <v>641</v>
      </c>
      <c r="C88" s="236">
        <v>3122</v>
      </c>
      <c r="D88" s="237">
        <f>'Sumář příjmů kapitol'!E123</f>
        <v>30000</v>
      </c>
      <c r="E88" s="237">
        <f>'Sumář příjmů kapitol'!F123</f>
        <v>0</v>
      </c>
      <c r="F88" s="237">
        <v>0</v>
      </c>
      <c r="G88" s="237">
        <v>0</v>
      </c>
      <c r="H88" s="237">
        <f>'Sumář příjmů kapitol'!I123</f>
        <v>0</v>
      </c>
      <c r="I88" s="237">
        <v>0</v>
      </c>
      <c r="J88" s="237">
        <f>'Sumář příjmů kapitol'!K123</f>
        <v>0</v>
      </c>
      <c r="K88" s="238">
        <f t="shared" si="1"/>
        <v>0</v>
      </c>
      <c r="L88" s="1241"/>
    </row>
    <row r="89" spans="1:12" ht="17.25" hidden="1" customHeight="1" outlineLevel="1" x14ac:dyDescent="0.25">
      <c r="A89" s="129"/>
      <c r="B89" s="246" t="s">
        <v>118</v>
      </c>
      <c r="C89" s="236" t="s">
        <v>117</v>
      </c>
      <c r="D89" s="237"/>
      <c r="E89" s="237"/>
      <c r="F89" s="237"/>
      <c r="G89" s="237">
        <v>0</v>
      </c>
      <c r="H89" s="237"/>
      <c r="I89" s="237"/>
      <c r="J89" s="237"/>
      <c r="K89" s="238">
        <f t="shared" si="1"/>
        <v>0</v>
      </c>
      <c r="L89" s="1241"/>
    </row>
    <row r="90" spans="1:12" ht="17.25" hidden="1" customHeight="1" outlineLevel="1" x14ac:dyDescent="0.25">
      <c r="A90" s="129"/>
      <c r="B90" s="246" t="s">
        <v>618</v>
      </c>
      <c r="C90" s="236">
        <v>2229</v>
      </c>
      <c r="D90" s="237"/>
      <c r="E90" s="237"/>
      <c r="F90" s="237"/>
      <c r="G90" s="237">
        <v>0</v>
      </c>
      <c r="H90" s="237"/>
      <c r="I90" s="237"/>
      <c r="J90" s="237"/>
      <c r="K90" s="238">
        <f t="shared" si="1"/>
        <v>0</v>
      </c>
      <c r="L90" s="1241"/>
    </row>
    <row r="91" spans="1:12" ht="17.25" hidden="1" customHeight="1" outlineLevel="1" x14ac:dyDescent="0.25">
      <c r="A91" s="129"/>
      <c r="B91" s="246" t="s">
        <v>1524</v>
      </c>
      <c r="C91" s="236">
        <v>2222</v>
      </c>
      <c r="D91" s="237"/>
      <c r="E91" s="237"/>
      <c r="F91" s="237"/>
      <c r="G91" s="237">
        <v>17973</v>
      </c>
      <c r="H91" s="237"/>
      <c r="I91" s="237"/>
      <c r="J91" s="237"/>
      <c r="K91" s="238">
        <f t="shared" si="1"/>
        <v>0</v>
      </c>
      <c r="L91" s="1241"/>
    </row>
    <row r="92" spans="1:12" outlineLevel="1" x14ac:dyDescent="0.25">
      <c r="A92" s="129"/>
      <c r="B92" s="246" t="s">
        <v>354</v>
      </c>
      <c r="C92" s="236">
        <v>2119</v>
      </c>
      <c r="D92" s="237">
        <f>'Sumář příjmů kapitol'!E129</f>
        <v>280000</v>
      </c>
      <c r="E92" s="237">
        <f>'Sumář příjmů kapitol'!F129</f>
        <v>460000</v>
      </c>
      <c r="F92" s="237">
        <v>560000</v>
      </c>
      <c r="G92" s="237">
        <v>1560000</v>
      </c>
      <c r="H92" s="237">
        <f>'Sumář příjmů kapitol'!I129</f>
        <v>400000</v>
      </c>
      <c r="I92" s="237">
        <v>400000</v>
      </c>
      <c r="J92" s="237">
        <f>'Sumář příjmů kapitol'!K129</f>
        <v>400000</v>
      </c>
      <c r="K92" s="238">
        <f t="shared" si="1"/>
        <v>0</v>
      </c>
      <c r="L92" s="1241"/>
    </row>
    <row r="93" spans="1:12" ht="18" customHeight="1" x14ac:dyDescent="0.25">
      <c r="A93" s="129"/>
      <c r="B93" s="129"/>
      <c r="C93" s="236"/>
      <c r="D93" s="237"/>
      <c r="E93" s="237"/>
      <c r="F93" s="237"/>
      <c r="G93" s="237"/>
      <c r="H93" s="237"/>
      <c r="I93" s="237"/>
      <c r="J93" s="237"/>
      <c r="K93" s="238">
        <f t="shared" si="1"/>
        <v>0</v>
      </c>
      <c r="L93" s="1241"/>
    </row>
    <row r="94" spans="1:12" s="1689" customFormat="1" ht="16.5" thickBot="1" x14ac:dyDescent="0.3">
      <c r="A94" s="243" t="s">
        <v>351</v>
      </c>
      <c r="B94" s="243" t="s">
        <v>352</v>
      </c>
      <c r="C94" s="244"/>
      <c r="D94" s="245">
        <f>SUM(D95:D98)</f>
        <v>70018</v>
      </c>
      <c r="E94" s="245">
        <f>SUM(E95:E98)</f>
        <v>60000</v>
      </c>
      <c r="F94" s="245">
        <v>60000</v>
      </c>
      <c r="G94" s="245">
        <f>SUM(G95:G98)</f>
        <v>60000</v>
      </c>
      <c r="H94" s="245">
        <f>SUM(H95:H98)</f>
        <v>60000</v>
      </c>
      <c r="I94" s="245">
        <v>60000</v>
      </c>
      <c r="J94" s="245">
        <f>SUM(J95:J98)</f>
        <v>69000</v>
      </c>
      <c r="K94" s="1289">
        <f t="shared" si="1"/>
        <v>9000</v>
      </c>
      <c r="L94" s="1243"/>
    </row>
    <row r="95" spans="1:12" ht="16.5" customHeight="1" outlineLevel="1" x14ac:dyDescent="0.25">
      <c r="A95" s="129"/>
      <c r="B95" s="246" t="s">
        <v>353</v>
      </c>
      <c r="C95" s="236">
        <v>3111</v>
      </c>
      <c r="D95" s="237">
        <f>'Sumář příjmů kapitol'!E124</f>
        <v>36108</v>
      </c>
      <c r="E95" s="237">
        <f>'Sumář příjmů kapitol'!F124</f>
        <v>26000</v>
      </c>
      <c r="F95" s="237">
        <v>26000</v>
      </c>
      <c r="G95" s="237">
        <v>26000</v>
      </c>
      <c r="H95" s="237">
        <f>'Sumář příjmů kapitol'!I124</f>
        <v>26000</v>
      </c>
      <c r="I95" s="237">
        <v>26000</v>
      </c>
      <c r="J95" s="237">
        <f>'Sumář příjmů kapitol'!K124</f>
        <v>35000</v>
      </c>
      <c r="K95" s="238">
        <f t="shared" si="1"/>
        <v>9000</v>
      </c>
      <c r="L95" s="1241" t="s">
        <v>1558</v>
      </c>
    </row>
    <row r="96" spans="1:12" ht="16.5" hidden="1" customHeight="1" outlineLevel="1" x14ac:dyDescent="0.25">
      <c r="A96" s="129"/>
      <c r="B96" s="246" t="s">
        <v>354</v>
      </c>
      <c r="C96" s="236" t="s">
        <v>290</v>
      </c>
      <c r="D96" s="237">
        <f>'Sumář příjmů kapitol'!E104</f>
        <v>0</v>
      </c>
      <c r="E96" s="237">
        <f>'Sumář příjmů kapitol'!F104</f>
        <v>0</v>
      </c>
      <c r="F96" s="237">
        <v>0</v>
      </c>
      <c r="G96" s="237">
        <v>0</v>
      </c>
      <c r="H96" s="237">
        <f>'Sumář příjmů kapitol'!I104</f>
        <v>0</v>
      </c>
      <c r="I96" s="237">
        <v>0</v>
      </c>
      <c r="J96" s="237">
        <f>'Sumář příjmů kapitol'!K104</f>
        <v>0</v>
      </c>
      <c r="K96" s="238">
        <f t="shared" si="1"/>
        <v>0</v>
      </c>
      <c r="L96" s="1241"/>
    </row>
    <row r="97" spans="1:12" ht="16.5" customHeight="1" outlineLevel="1" x14ac:dyDescent="0.25">
      <c r="A97" s="129"/>
      <c r="B97" s="246" t="s">
        <v>120</v>
      </c>
      <c r="C97" s="236" t="s">
        <v>119</v>
      </c>
      <c r="D97" s="237">
        <f>'Sumář příjmů kapitol'!E127</f>
        <v>33910</v>
      </c>
      <c r="E97" s="237">
        <f>'Sumář příjmů kapitol'!F127</f>
        <v>34000</v>
      </c>
      <c r="F97" s="237">
        <v>34000</v>
      </c>
      <c r="G97" s="237">
        <v>34000</v>
      </c>
      <c r="H97" s="237">
        <f>'Sumář příjmů kapitol'!I127</f>
        <v>34000</v>
      </c>
      <c r="I97" s="237">
        <v>34000</v>
      </c>
      <c r="J97" s="237">
        <f>'Sumář příjmů kapitol'!K127</f>
        <v>34000</v>
      </c>
      <c r="K97" s="238">
        <f t="shared" si="1"/>
        <v>0</v>
      </c>
      <c r="L97" s="1241"/>
    </row>
    <row r="98" spans="1:12" ht="16.5" hidden="1" customHeight="1" outlineLevel="1" x14ac:dyDescent="0.25">
      <c r="A98" s="129"/>
      <c r="B98" s="246" t="s">
        <v>355</v>
      </c>
      <c r="C98" s="236">
        <v>2132</v>
      </c>
      <c r="D98" s="237"/>
      <c r="E98" s="237"/>
      <c r="F98" s="237"/>
      <c r="G98" s="237"/>
      <c r="H98" s="237"/>
      <c r="I98" s="237"/>
      <c r="J98" s="237"/>
      <c r="K98" s="238">
        <f t="shared" si="1"/>
        <v>0</v>
      </c>
      <c r="L98" s="1241"/>
    </row>
    <row r="99" spans="1:12" ht="13.5" customHeight="1" outlineLevel="1" x14ac:dyDescent="0.25">
      <c r="A99" s="129"/>
      <c r="B99" s="246"/>
      <c r="C99" s="236"/>
      <c r="D99" s="237"/>
      <c r="E99" s="237"/>
      <c r="F99" s="237"/>
      <c r="G99" s="237"/>
      <c r="H99" s="237"/>
      <c r="I99" s="237"/>
      <c r="J99" s="237"/>
      <c r="K99" s="238">
        <f t="shared" si="1"/>
        <v>0</v>
      </c>
      <c r="L99" s="1241"/>
    </row>
    <row r="100" spans="1:12" s="1689" customFormat="1" ht="16.5" thickBot="1" x14ac:dyDescent="0.3">
      <c r="A100" s="243" t="s">
        <v>356</v>
      </c>
      <c r="B100" s="243" t="s">
        <v>357</v>
      </c>
      <c r="C100" s="244"/>
      <c r="D100" s="245">
        <f>SUM(D101:D143)</f>
        <v>15660201</v>
      </c>
      <c r="E100" s="245">
        <f>SUM(E101:E143)</f>
        <v>9670100</v>
      </c>
      <c r="F100" s="245">
        <v>9645873</v>
      </c>
      <c r="G100" s="245">
        <f>SUM(G101:G143)</f>
        <v>34811428</v>
      </c>
      <c r="H100" s="245">
        <f>SUM(H101:H143)</f>
        <v>20393067</v>
      </c>
      <c r="I100" s="245">
        <v>23205667</v>
      </c>
      <c r="J100" s="245">
        <f>SUM(J101:J143)</f>
        <v>23205667</v>
      </c>
      <c r="K100" s="1289">
        <f t="shared" si="1"/>
        <v>0</v>
      </c>
      <c r="L100" s="1243"/>
    </row>
    <row r="101" spans="1:12" ht="19.5" hidden="1" customHeight="1" outlineLevel="1" x14ac:dyDescent="0.25">
      <c r="A101" s="129"/>
      <c r="B101" s="246" t="s">
        <v>47</v>
      </c>
      <c r="C101" s="236" t="s">
        <v>46</v>
      </c>
      <c r="D101" s="237">
        <f>'Sumář příjmů kapitol'!E33</f>
        <v>0</v>
      </c>
      <c r="E101" s="237">
        <f>'Sumář příjmů kapitol'!F33</f>
        <v>0</v>
      </c>
      <c r="F101" s="237">
        <v>0</v>
      </c>
      <c r="G101" s="237">
        <v>0</v>
      </c>
      <c r="H101" s="237">
        <f>'Sumář příjmů kapitol'!I33</f>
        <v>0</v>
      </c>
      <c r="I101" s="237">
        <v>0</v>
      </c>
      <c r="J101" s="237">
        <f>'Sumář příjmů kapitol'!K33</f>
        <v>0</v>
      </c>
      <c r="K101" s="238">
        <f t="shared" si="1"/>
        <v>0</v>
      </c>
      <c r="L101" s="1241"/>
    </row>
    <row r="102" spans="1:12" ht="19.5" hidden="1" customHeight="1" outlineLevel="1" x14ac:dyDescent="0.25">
      <c r="A102" s="129"/>
      <c r="B102" s="246" t="s">
        <v>48</v>
      </c>
      <c r="C102" s="236" t="s">
        <v>46</v>
      </c>
      <c r="D102" s="237">
        <f>'Sumář příjmů kapitol'!E34</f>
        <v>0</v>
      </c>
      <c r="E102" s="237">
        <f>'Sumář příjmů kapitol'!F34</f>
        <v>0</v>
      </c>
      <c r="F102" s="237">
        <v>17973</v>
      </c>
      <c r="G102" s="237">
        <v>17973</v>
      </c>
      <c r="H102" s="237">
        <f>'Sumář příjmů kapitol'!I34</f>
        <v>0</v>
      </c>
      <c r="I102" s="237">
        <v>0</v>
      </c>
      <c r="J102" s="237">
        <f>'Sumář příjmů kapitol'!K34</f>
        <v>0</v>
      </c>
      <c r="K102" s="238">
        <f t="shared" si="1"/>
        <v>0</v>
      </c>
      <c r="L102" s="1241"/>
    </row>
    <row r="103" spans="1:12" ht="19.5" customHeight="1" outlineLevel="1" x14ac:dyDescent="0.25">
      <c r="A103" s="129"/>
      <c r="B103" s="246" t="s">
        <v>49</v>
      </c>
      <c r="C103" s="236">
        <v>4112</v>
      </c>
      <c r="D103" s="237">
        <f>'Sumář příjmů kapitol'!E35</f>
        <v>7194500</v>
      </c>
      <c r="E103" s="237">
        <f>'Sumář příjmů kapitol'!F35</f>
        <v>7480000</v>
      </c>
      <c r="F103" s="237">
        <v>7437800</v>
      </c>
      <c r="G103" s="237">
        <v>7701600</v>
      </c>
      <c r="H103" s="237">
        <f>'Sumář příjmů kapitol'!I35</f>
        <v>7701600</v>
      </c>
      <c r="I103" s="237">
        <v>8275000</v>
      </c>
      <c r="J103" s="237">
        <f>'Sumář příjmů kapitol'!K35</f>
        <v>8275000</v>
      </c>
      <c r="K103" s="238">
        <f t="shared" si="1"/>
        <v>0</v>
      </c>
      <c r="L103" s="1241"/>
    </row>
    <row r="104" spans="1:12" ht="19.5" customHeight="1" outlineLevel="1" x14ac:dyDescent="0.25">
      <c r="A104" s="129"/>
      <c r="B104" s="246" t="s">
        <v>50</v>
      </c>
      <c r="C104" s="236">
        <v>4121</v>
      </c>
      <c r="D104" s="237">
        <f>'Sumář příjmů kapitol'!E36</f>
        <v>400000</v>
      </c>
      <c r="E104" s="237">
        <f>'Sumář příjmů kapitol'!F36</f>
        <v>400000</v>
      </c>
      <c r="F104" s="237">
        <v>400000</v>
      </c>
      <c r="G104" s="237">
        <v>400000</v>
      </c>
      <c r="H104" s="237">
        <f>'Sumář příjmů kapitol'!I36</f>
        <v>400000</v>
      </c>
      <c r="I104" s="237">
        <v>400000</v>
      </c>
      <c r="J104" s="237">
        <f>'Sumář příjmů kapitol'!K36</f>
        <v>400000</v>
      </c>
      <c r="K104" s="238">
        <f t="shared" si="1"/>
        <v>0</v>
      </c>
      <c r="L104" s="1241"/>
    </row>
    <row r="105" spans="1:12" ht="19.5" customHeight="1" outlineLevel="1" x14ac:dyDescent="0.25">
      <c r="A105" s="129"/>
      <c r="B105" s="246" t="s">
        <v>358</v>
      </c>
      <c r="C105" s="236">
        <v>4121</v>
      </c>
      <c r="D105" s="237">
        <f>'Sumář příjmů kapitol'!E38</f>
        <v>790100</v>
      </c>
      <c r="E105" s="237">
        <f>'Sumář příjmů kapitol'!F38</f>
        <v>790100</v>
      </c>
      <c r="F105" s="237">
        <v>790100</v>
      </c>
      <c r="G105" s="237">
        <v>790100</v>
      </c>
      <c r="H105" s="237">
        <f>'Sumář příjmů kapitol'!I38</f>
        <v>800000</v>
      </c>
      <c r="I105" s="237">
        <v>800000</v>
      </c>
      <c r="J105" s="237">
        <f>'Sumář příjmů kapitol'!K38</f>
        <v>800000</v>
      </c>
      <c r="K105" s="238">
        <f t="shared" si="1"/>
        <v>0</v>
      </c>
      <c r="L105" s="1241"/>
    </row>
    <row r="106" spans="1:12" ht="19.5" hidden="1" customHeight="1" outlineLevel="1" x14ac:dyDescent="0.25">
      <c r="A106" s="129"/>
      <c r="B106" s="246" t="s">
        <v>359</v>
      </c>
      <c r="C106" s="236">
        <v>4213</v>
      </c>
      <c r="D106" s="237"/>
      <c r="E106" s="237"/>
      <c r="F106" s="237"/>
      <c r="G106" s="237"/>
      <c r="H106" s="237"/>
      <c r="I106" s="237"/>
      <c r="J106" s="237"/>
      <c r="K106" s="238">
        <f t="shared" si="1"/>
        <v>0</v>
      </c>
      <c r="L106" s="1241"/>
    </row>
    <row r="107" spans="1:12" ht="19.5" hidden="1" customHeight="1" outlineLevel="1" x14ac:dyDescent="0.25">
      <c r="A107" s="129"/>
      <c r="B107" s="246" t="s">
        <v>360</v>
      </c>
      <c r="C107" s="236">
        <v>4213</v>
      </c>
      <c r="D107" s="237"/>
      <c r="E107" s="237"/>
      <c r="F107" s="237"/>
      <c r="G107" s="237"/>
      <c r="H107" s="237"/>
      <c r="I107" s="237"/>
      <c r="J107" s="237"/>
      <c r="K107" s="238">
        <f t="shared" si="1"/>
        <v>0</v>
      </c>
      <c r="L107" s="1241"/>
    </row>
    <row r="108" spans="1:12" ht="19.5" hidden="1" customHeight="1" outlineLevel="1" x14ac:dyDescent="0.25">
      <c r="A108" s="129"/>
      <c r="B108" s="246" t="s">
        <v>1086</v>
      </c>
      <c r="C108" s="236">
        <v>4213</v>
      </c>
      <c r="D108" s="237">
        <f>'Sumář příjmů kapitol'!E41</f>
        <v>1627750</v>
      </c>
      <c r="E108" s="237"/>
      <c r="F108" s="237"/>
      <c r="G108" s="237"/>
      <c r="H108" s="237"/>
      <c r="I108" s="237"/>
      <c r="J108" s="237"/>
      <c r="K108" s="238">
        <f t="shared" si="1"/>
        <v>0</v>
      </c>
      <c r="L108" s="1241"/>
    </row>
    <row r="109" spans="1:12" ht="19.5" hidden="1" customHeight="1" outlineLevel="1" x14ac:dyDescent="0.25">
      <c r="A109" s="129"/>
      <c r="B109" s="246" t="s">
        <v>361</v>
      </c>
      <c r="C109" s="236">
        <v>4213</v>
      </c>
      <c r="D109" s="237">
        <f>'Sumář příjmů kapitol'!E42</f>
        <v>51456</v>
      </c>
      <c r="E109" s="237"/>
      <c r="F109" s="237"/>
      <c r="G109" s="237"/>
      <c r="H109" s="237"/>
      <c r="I109" s="237"/>
      <c r="J109" s="237"/>
      <c r="K109" s="238">
        <f t="shared" si="1"/>
        <v>0</v>
      </c>
      <c r="L109" s="1241"/>
    </row>
    <row r="110" spans="1:12" ht="19.5" hidden="1" customHeight="1" outlineLevel="1" x14ac:dyDescent="0.25">
      <c r="A110" s="129"/>
      <c r="B110" s="246" t="s">
        <v>359</v>
      </c>
      <c r="C110" s="236">
        <v>4213</v>
      </c>
      <c r="D110" s="237"/>
      <c r="E110" s="237"/>
      <c r="F110" s="237"/>
      <c r="G110" s="237"/>
      <c r="H110" s="237"/>
      <c r="I110" s="237"/>
      <c r="J110" s="237"/>
      <c r="K110" s="238">
        <f t="shared" si="1"/>
        <v>0</v>
      </c>
      <c r="L110" s="1241"/>
    </row>
    <row r="111" spans="1:12" ht="19.5" hidden="1" customHeight="1" outlineLevel="1" x14ac:dyDescent="0.25">
      <c r="A111" s="129"/>
      <c r="B111" s="246" t="s">
        <v>360</v>
      </c>
      <c r="C111" s="236">
        <v>4213</v>
      </c>
      <c r="D111" s="237"/>
      <c r="E111" s="237"/>
      <c r="F111" s="237"/>
      <c r="G111" s="237"/>
      <c r="H111" s="237"/>
      <c r="I111" s="237"/>
      <c r="J111" s="237"/>
      <c r="K111" s="238">
        <f t="shared" si="1"/>
        <v>0</v>
      </c>
      <c r="L111" s="1241"/>
    </row>
    <row r="112" spans="1:12" ht="19.5" customHeight="1" outlineLevel="1" x14ac:dyDescent="0.25">
      <c r="A112" s="129"/>
      <c r="B112" s="246" t="s">
        <v>1509</v>
      </c>
      <c r="C112" s="236">
        <v>4213</v>
      </c>
      <c r="D112" s="237"/>
      <c r="E112" s="237"/>
      <c r="F112" s="237"/>
      <c r="G112" s="237"/>
      <c r="H112" s="237">
        <f>'Sumář příjmů kapitol'!I42</f>
        <v>368467</v>
      </c>
      <c r="I112" s="237">
        <v>368467</v>
      </c>
      <c r="J112" s="237">
        <f>'Sumář příjmů kapitol'!K42</f>
        <v>368467</v>
      </c>
      <c r="K112" s="238">
        <f t="shared" si="1"/>
        <v>0</v>
      </c>
      <c r="L112" s="1241"/>
    </row>
    <row r="113" spans="1:12" hidden="1" outlineLevel="1" x14ac:dyDescent="0.25">
      <c r="A113" s="129"/>
      <c r="B113" s="246" t="s">
        <v>361</v>
      </c>
      <c r="C113" s="236">
        <v>4213</v>
      </c>
      <c r="D113" s="237"/>
      <c r="E113" s="237"/>
      <c r="F113" s="237"/>
      <c r="G113" s="237"/>
      <c r="H113" s="237"/>
      <c r="I113" s="237"/>
      <c r="J113" s="237"/>
      <c r="K113" s="238">
        <f t="shared" si="1"/>
        <v>0</v>
      </c>
      <c r="L113" s="1241"/>
    </row>
    <row r="114" spans="1:12" ht="19.5" customHeight="1" outlineLevel="1" x14ac:dyDescent="0.25">
      <c r="A114" s="129"/>
      <c r="B114" s="246" t="s">
        <v>65</v>
      </c>
      <c r="C114" s="236" t="s">
        <v>42</v>
      </c>
      <c r="D114" s="237">
        <f>'Sumář příjmů kapitol'!E67</f>
        <v>1042000</v>
      </c>
      <c r="E114" s="237">
        <f>'Sumář příjmů kapitol'!F67</f>
        <v>1000000</v>
      </c>
      <c r="F114" s="237">
        <v>1000000</v>
      </c>
      <c r="G114" s="237">
        <v>1153700</v>
      </c>
      <c r="H114" s="237">
        <f>'Sumář příjmů kapitol'!I67</f>
        <v>1000000</v>
      </c>
      <c r="I114" s="237">
        <v>1279200</v>
      </c>
      <c r="J114" s="237">
        <f>'Sumář příjmů kapitol'!K67</f>
        <v>1279200</v>
      </c>
      <c r="K114" s="238">
        <f t="shared" si="1"/>
        <v>0</v>
      </c>
      <c r="L114" s="1241"/>
    </row>
    <row r="115" spans="1:12" ht="19.5" hidden="1" customHeight="1" outlineLevel="1" x14ac:dyDescent="0.25">
      <c r="A115" s="129"/>
      <c r="B115" s="246" t="s">
        <v>812</v>
      </c>
      <c r="C115" s="236">
        <v>4122</v>
      </c>
      <c r="D115" s="237">
        <f>'Sumář příjmů kapitol'!E46</f>
        <v>189857</v>
      </c>
      <c r="E115" s="237">
        <f>'Sumář příjmů kapitol'!F46</f>
        <v>0</v>
      </c>
      <c r="F115" s="237">
        <v>0</v>
      </c>
      <c r="G115" s="237">
        <v>0</v>
      </c>
      <c r="H115" s="237">
        <f>'Sumář příjmů kapitol'!I46</f>
        <v>0</v>
      </c>
      <c r="I115" s="237">
        <v>0</v>
      </c>
      <c r="J115" s="237">
        <f>'Sumář příjmů kapitol'!K46</f>
        <v>0</v>
      </c>
      <c r="K115" s="238">
        <f t="shared" si="1"/>
        <v>0</v>
      </c>
      <c r="L115" s="1241"/>
    </row>
    <row r="116" spans="1:12" ht="19.5" hidden="1" customHeight="1" outlineLevel="1" x14ac:dyDescent="0.25">
      <c r="A116" s="129"/>
      <c r="B116" s="246" t="s">
        <v>1087</v>
      </c>
      <c r="C116" s="236" t="s">
        <v>52</v>
      </c>
      <c r="D116" s="237">
        <f>'Sumář příjmů kapitol'!E45</f>
        <v>150000</v>
      </c>
      <c r="E116" s="237">
        <f>'Sumář příjmů kapitol'!F45</f>
        <v>0</v>
      </c>
      <c r="F116" s="237">
        <v>0</v>
      </c>
      <c r="G116" s="237">
        <v>0</v>
      </c>
      <c r="H116" s="237">
        <f>'Sumář příjmů kapitol'!I45</f>
        <v>0</v>
      </c>
      <c r="I116" s="237">
        <v>0</v>
      </c>
      <c r="J116" s="237">
        <f>'Sumář příjmů kapitol'!K45</f>
        <v>0</v>
      </c>
      <c r="K116" s="238">
        <f t="shared" si="1"/>
        <v>0</v>
      </c>
      <c r="L116" s="1241"/>
    </row>
    <row r="117" spans="1:12" ht="19.5" hidden="1" customHeight="1" outlineLevel="1" x14ac:dyDescent="0.25">
      <c r="A117" s="129"/>
      <c r="B117" s="246" t="s">
        <v>1525</v>
      </c>
      <c r="C117" s="236" t="s">
        <v>42</v>
      </c>
      <c r="D117" s="237"/>
      <c r="E117" s="237"/>
      <c r="F117" s="237"/>
      <c r="G117" s="237">
        <v>1075055</v>
      </c>
      <c r="H117" s="237"/>
      <c r="I117" s="237"/>
      <c r="J117" s="237"/>
      <c r="K117" s="238">
        <f t="shared" si="1"/>
        <v>0</v>
      </c>
      <c r="L117" s="1241"/>
    </row>
    <row r="118" spans="1:12" ht="19.5" hidden="1" customHeight="1" outlineLevel="1" x14ac:dyDescent="0.25">
      <c r="A118" s="129"/>
      <c r="B118" s="246" t="s">
        <v>53</v>
      </c>
      <c r="C118" s="236" t="s">
        <v>52</v>
      </c>
      <c r="D118" s="237">
        <f>'Sumář příjmů kapitol'!E47</f>
        <v>0</v>
      </c>
      <c r="E118" s="237">
        <f>'Sumář příjmů kapitol'!F47</f>
        <v>0</v>
      </c>
      <c r="F118" s="237">
        <v>0</v>
      </c>
      <c r="G118" s="237">
        <v>0</v>
      </c>
      <c r="H118" s="237">
        <f>'Sumář příjmů kapitol'!I47</f>
        <v>0</v>
      </c>
      <c r="I118" s="237">
        <v>0</v>
      </c>
      <c r="J118" s="237">
        <f>'Sumář příjmů kapitol'!K47</f>
        <v>0</v>
      </c>
      <c r="K118" s="238">
        <f t="shared" si="1"/>
        <v>0</v>
      </c>
      <c r="L118" s="1241"/>
    </row>
    <row r="119" spans="1:12" ht="19.5" customHeight="1" outlineLevel="1" x14ac:dyDescent="0.25">
      <c r="A119" s="129"/>
      <c r="B119" s="246" t="s">
        <v>1550</v>
      </c>
      <c r="C119" s="236">
        <v>4122</v>
      </c>
      <c r="D119" s="237"/>
      <c r="E119" s="237"/>
      <c r="F119" s="237"/>
      <c r="G119" s="237"/>
      <c r="H119" s="237">
        <f>'Sumář příjmů kapitol'!I48</f>
        <v>10123000</v>
      </c>
      <c r="I119" s="237">
        <v>10123000</v>
      </c>
      <c r="J119" s="237">
        <f>'Sumář příjmů kapitol'!K48</f>
        <v>10123000</v>
      </c>
      <c r="K119" s="238">
        <f t="shared" si="1"/>
        <v>0</v>
      </c>
      <c r="L119" s="1241"/>
    </row>
    <row r="120" spans="1:12" ht="19.5" hidden="1" customHeight="1" outlineLevel="1" x14ac:dyDescent="0.25">
      <c r="A120" s="129"/>
      <c r="B120" s="246" t="s">
        <v>1432</v>
      </c>
      <c r="C120" s="236">
        <v>4216</v>
      </c>
      <c r="D120" s="237"/>
      <c r="E120" s="237"/>
      <c r="F120" s="237"/>
      <c r="G120" s="237"/>
      <c r="H120" s="237">
        <f>'Sumář příjmů kapitol'!I50</f>
        <v>0</v>
      </c>
      <c r="I120" s="237">
        <v>0</v>
      </c>
      <c r="J120" s="237">
        <f>'Sumář příjmů kapitol'!K50</f>
        <v>0</v>
      </c>
      <c r="K120" s="238">
        <f t="shared" si="1"/>
        <v>0</v>
      </c>
      <c r="L120" s="1241"/>
    </row>
    <row r="121" spans="1:12" ht="19.5" hidden="1" customHeight="1" outlineLevel="1" x14ac:dyDescent="0.25">
      <c r="A121" s="129"/>
      <c r="B121" s="246" t="s">
        <v>1430</v>
      </c>
      <c r="C121" s="236" t="s">
        <v>54</v>
      </c>
      <c r="D121" s="237"/>
      <c r="E121" s="237"/>
      <c r="F121" s="237"/>
      <c r="G121" s="237">
        <v>8983000</v>
      </c>
      <c r="H121" s="237">
        <f>'Sumář příjmů kapitol'!I49</f>
        <v>0</v>
      </c>
      <c r="I121" s="237">
        <v>0</v>
      </c>
      <c r="J121" s="237">
        <f>'Sumář příjmů kapitol'!K49</f>
        <v>0</v>
      </c>
      <c r="K121" s="238">
        <f t="shared" si="1"/>
        <v>0</v>
      </c>
      <c r="L121" s="1241"/>
    </row>
    <row r="122" spans="1:12" ht="19.5" hidden="1" customHeight="1" outlineLevel="1" x14ac:dyDescent="0.25">
      <c r="A122" s="129"/>
      <c r="B122" s="246" t="s">
        <v>1526</v>
      </c>
      <c r="C122" s="236">
        <v>4213</v>
      </c>
      <c r="D122" s="237"/>
      <c r="E122" s="237">
        <f>'Sumář příjmů kapitol'!F48</f>
        <v>0</v>
      </c>
      <c r="F122" s="237">
        <v>0</v>
      </c>
      <c r="G122" s="237">
        <v>3433000</v>
      </c>
      <c r="H122" s="237"/>
      <c r="I122" s="237"/>
      <c r="J122" s="237"/>
      <c r="K122" s="238">
        <f t="shared" si="1"/>
        <v>0</v>
      </c>
      <c r="L122" s="1241"/>
    </row>
    <row r="123" spans="1:12" hidden="1" outlineLevel="1" x14ac:dyDescent="0.25">
      <c r="A123" s="129"/>
      <c r="B123" s="246" t="s">
        <v>56</v>
      </c>
      <c r="C123" s="236" t="s">
        <v>54</v>
      </c>
      <c r="D123" s="237">
        <f>'Sumář příjmů kapitol'!E49</f>
        <v>0</v>
      </c>
      <c r="E123" s="237">
        <f>'Sumář příjmů kapitol'!F49</f>
        <v>0</v>
      </c>
      <c r="F123" s="237">
        <v>0</v>
      </c>
      <c r="G123" s="237">
        <v>0</v>
      </c>
      <c r="H123" s="237"/>
      <c r="I123" s="237"/>
      <c r="J123" s="237"/>
      <c r="K123" s="238">
        <f t="shared" si="1"/>
        <v>0</v>
      </c>
      <c r="L123" s="1241"/>
    </row>
    <row r="124" spans="1:12" ht="19.5" hidden="1" customHeight="1" outlineLevel="1" x14ac:dyDescent="0.25">
      <c r="A124" s="129"/>
      <c r="B124" s="246" t="s">
        <v>57</v>
      </c>
      <c r="C124" s="236" t="s">
        <v>54</v>
      </c>
      <c r="D124" s="237">
        <f>'Sumář příjmů kapitol'!E51</f>
        <v>693164</v>
      </c>
      <c r="E124" s="237">
        <f>'Sumář příjmů kapitol'!F51</f>
        <v>0</v>
      </c>
      <c r="F124" s="237">
        <v>0</v>
      </c>
      <c r="G124" s="237">
        <v>0</v>
      </c>
      <c r="H124" s="237">
        <f>'Sumář příjmů kapitol'!I51</f>
        <v>0</v>
      </c>
      <c r="I124" s="237">
        <v>0</v>
      </c>
      <c r="J124" s="237">
        <f>'Sumář příjmů kapitol'!K51</f>
        <v>0</v>
      </c>
      <c r="K124" s="238">
        <f t="shared" si="1"/>
        <v>0</v>
      </c>
      <c r="L124" s="1241"/>
    </row>
    <row r="125" spans="1:12" ht="19.5" hidden="1" customHeight="1" outlineLevel="1" x14ac:dyDescent="0.25">
      <c r="A125" s="129"/>
      <c r="B125" s="246" t="s">
        <v>58</v>
      </c>
      <c r="C125" s="236" t="s">
        <v>54</v>
      </c>
      <c r="D125" s="237">
        <f>'Sumář příjmů kapitol'!E52</f>
        <v>0</v>
      </c>
      <c r="E125" s="237">
        <f>'Sumář příjmů kapitol'!F52</f>
        <v>0</v>
      </c>
      <c r="F125" s="237">
        <v>0</v>
      </c>
      <c r="G125" s="237">
        <v>0</v>
      </c>
      <c r="H125" s="237">
        <f>'Sumář příjmů kapitol'!I52</f>
        <v>0</v>
      </c>
      <c r="I125" s="237">
        <v>0</v>
      </c>
      <c r="J125" s="237">
        <f>'Sumář příjmů kapitol'!K52</f>
        <v>0</v>
      </c>
      <c r="K125" s="238">
        <f t="shared" si="1"/>
        <v>0</v>
      </c>
      <c r="L125" s="1241"/>
    </row>
    <row r="126" spans="1:12" ht="19.5" hidden="1" customHeight="1" outlineLevel="1" x14ac:dyDescent="0.25">
      <c r="A126" s="129"/>
      <c r="B126" s="250" t="s">
        <v>363</v>
      </c>
      <c r="C126" s="251">
        <v>4213</v>
      </c>
      <c r="D126" s="237">
        <f>'Sumář příjmů kapitol'!E54</f>
        <v>3247111</v>
      </c>
      <c r="E126" s="237">
        <f>'Sumář příjmů kapitol'!F53</f>
        <v>0</v>
      </c>
      <c r="F126" s="237">
        <v>0</v>
      </c>
      <c r="G126" s="237">
        <v>0</v>
      </c>
      <c r="H126" s="237">
        <f>'Sumář příjmů kapitol'!I53</f>
        <v>0</v>
      </c>
      <c r="I126" s="237">
        <v>0</v>
      </c>
      <c r="J126" s="237">
        <f>'Sumář příjmů kapitol'!K53</f>
        <v>0</v>
      </c>
      <c r="K126" s="238">
        <f t="shared" si="1"/>
        <v>0</v>
      </c>
      <c r="L126" s="1241"/>
    </row>
    <row r="127" spans="1:12" ht="19.5" hidden="1" customHeight="1" outlineLevel="1" x14ac:dyDescent="0.25">
      <c r="A127" s="129"/>
      <c r="B127" s="250" t="s">
        <v>364</v>
      </c>
      <c r="C127" s="251">
        <v>4213</v>
      </c>
      <c r="D127" s="237">
        <f>'Sumář příjmů kapitol'!E55</f>
        <v>225</v>
      </c>
      <c r="E127" s="237"/>
      <c r="F127" s="237"/>
      <c r="G127" s="237"/>
      <c r="H127" s="237"/>
      <c r="I127" s="237"/>
      <c r="J127" s="237"/>
      <c r="K127" s="238">
        <f t="shared" si="1"/>
        <v>0</v>
      </c>
      <c r="L127" s="1241"/>
    </row>
    <row r="128" spans="1:12" ht="19.5" hidden="1" customHeight="1" outlineLevel="1" x14ac:dyDescent="0.25">
      <c r="A128" s="129"/>
      <c r="B128" s="246" t="s">
        <v>59</v>
      </c>
      <c r="C128" s="236" t="s">
        <v>54</v>
      </c>
      <c r="D128" s="237"/>
      <c r="E128" s="237"/>
      <c r="F128" s="237"/>
      <c r="G128" s="237"/>
      <c r="H128" s="237"/>
      <c r="I128" s="237"/>
      <c r="J128" s="237"/>
      <c r="K128" s="238">
        <f t="shared" si="1"/>
        <v>0</v>
      </c>
      <c r="L128" s="1241"/>
    </row>
    <row r="129" spans="1:12" ht="19.5" hidden="1" customHeight="1" outlineLevel="1" x14ac:dyDescent="0.25">
      <c r="A129" s="129"/>
      <c r="B129" s="246" t="s">
        <v>1527</v>
      </c>
      <c r="C129" s="236" t="s">
        <v>54</v>
      </c>
      <c r="D129" s="237"/>
      <c r="E129" s="237"/>
      <c r="F129" s="237"/>
      <c r="G129" s="237">
        <v>11257000</v>
      </c>
      <c r="H129" s="237"/>
      <c r="I129" s="237"/>
      <c r="J129" s="237"/>
      <c r="K129" s="238">
        <f t="shared" si="1"/>
        <v>0</v>
      </c>
      <c r="L129" s="1241"/>
    </row>
    <row r="130" spans="1:12" ht="19.5" hidden="1" customHeight="1" outlineLevel="1" x14ac:dyDescent="0.25">
      <c r="A130" s="129"/>
      <c r="B130" s="246" t="s">
        <v>61</v>
      </c>
      <c r="C130" s="236" t="s">
        <v>54</v>
      </c>
      <c r="D130" s="237"/>
      <c r="E130" s="237"/>
      <c r="F130" s="237"/>
      <c r="G130" s="237"/>
      <c r="H130" s="237"/>
      <c r="I130" s="237"/>
      <c r="J130" s="237"/>
      <c r="K130" s="238">
        <f t="shared" si="1"/>
        <v>0</v>
      </c>
      <c r="L130" s="1241"/>
    </row>
    <row r="131" spans="1:12" ht="19.5" hidden="1" customHeight="1" outlineLevel="1" x14ac:dyDescent="0.25">
      <c r="A131" s="129"/>
      <c r="B131" s="246" t="s">
        <v>63</v>
      </c>
      <c r="C131" s="236" t="s">
        <v>62</v>
      </c>
      <c r="D131" s="237">
        <f>'Sumář příjmů kapitol'!E60</f>
        <v>124465</v>
      </c>
      <c r="E131" s="237"/>
      <c r="F131" s="237"/>
      <c r="G131" s="237"/>
      <c r="H131" s="237"/>
      <c r="I131" s="237"/>
      <c r="J131" s="237"/>
      <c r="K131" s="238">
        <f t="shared" si="1"/>
        <v>0</v>
      </c>
      <c r="L131" s="1241"/>
    </row>
    <row r="132" spans="1:12" ht="19.5" hidden="1" customHeight="1" outlineLevel="1" x14ac:dyDescent="0.25">
      <c r="A132" s="129"/>
      <c r="B132" s="246" t="s">
        <v>64</v>
      </c>
      <c r="C132" s="236" t="s">
        <v>54</v>
      </c>
      <c r="D132" s="237"/>
      <c r="E132" s="237"/>
      <c r="F132" s="237"/>
      <c r="G132" s="237"/>
      <c r="H132" s="237"/>
      <c r="I132" s="237"/>
      <c r="J132" s="237"/>
      <c r="K132" s="238">
        <f t="shared" si="1"/>
        <v>0</v>
      </c>
      <c r="L132" s="1241"/>
    </row>
    <row r="133" spans="1:12" ht="19.5" hidden="1" customHeight="1" outlineLevel="1" x14ac:dyDescent="0.25">
      <c r="A133" s="129"/>
      <c r="B133" s="246" t="s">
        <v>612</v>
      </c>
      <c r="C133" s="236" t="s">
        <v>54</v>
      </c>
      <c r="D133" s="237"/>
      <c r="E133" s="237"/>
      <c r="F133" s="237"/>
      <c r="G133" s="237"/>
      <c r="H133" s="237"/>
      <c r="I133" s="237"/>
      <c r="J133" s="237"/>
      <c r="K133" s="238">
        <f t="shared" si="1"/>
        <v>0</v>
      </c>
      <c r="L133" s="1241"/>
    </row>
    <row r="134" spans="1:12" ht="19.5" hidden="1" customHeight="1" outlineLevel="1" x14ac:dyDescent="0.25">
      <c r="A134" s="129"/>
      <c r="B134" s="246" t="s">
        <v>614</v>
      </c>
      <c r="C134" s="236" t="s">
        <v>613</v>
      </c>
      <c r="D134" s="237">
        <f>'Sumář příjmů kapitol'!E62</f>
        <v>108573</v>
      </c>
      <c r="E134" s="237">
        <f>'Sumář příjmů kapitol'!F62</f>
        <v>0</v>
      </c>
      <c r="F134" s="237">
        <v>0</v>
      </c>
      <c r="G134" s="237">
        <v>0</v>
      </c>
      <c r="H134" s="237">
        <f>'Sumář příjmů kapitol'!I62</f>
        <v>0</v>
      </c>
      <c r="I134" s="237">
        <v>0</v>
      </c>
      <c r="J134" s="237">
        <f>'Sumář příjmů kapitol'!K62</f>
        <v>0</v>
      </c>
      <c r="K134" s="238">
        <f t="shared" si="1"/>
        <v>0</v>
      </c>
      <c r="L134" s="1241"/>
    </row>
    <row r="135" spans="1:12" ht="19.5" hidden="1" customHeight="1" outlineLevel="1" x14ac:dyDescent="0.25">
      <c r="A135" s="129"/>
      <c r="B135" s="246" t="s">
        <v>363</v>
      </c>
      <c r="C135" s="236">
        <v>4213</v>
      </c>
      <c r="D135" s="237"/>
      <c r="E135" s="237"/>
      <c r="F135" s="237"/>
      <c r="G135" s="237"/>
      <c r="H135" s="237"/>
      <c r="I135" s="237"/>
      <c r="J135" s="237"/>
      <c r="K135" s="238">
        <f t="shared" si="1"/>
        <v>0</v>
      </c>
      <c r="L135" s="1241"/>
    </row>
    <row r="136" spans="1:12" ht="19.5" hidden="1" customHeight="1" outlineLevel="1" x14ac:dyDescent="0.25">
      <c r="A136" s="129"/>
      <c r="B136" s="246" t="s">
        <v>364</v>
      </c>
      <c r="C136" s="236">
        <v>4213</v>
      </c>
      <c r="D136" s="237"/>
      <c r="E136" s="237"/>
      <c r="F136" s="237"/>
      <c r="G136" s="237"/>
      <c r="H136" s="237"/>
      <c r="I136" s="237"/>
      <c r="J136" s="237"/>
      <c r="K136" s="238">
        <f t="shared" ref="K136:K155" si="2">+J136-I136</f>
        <v>0</v>
      </c>
      <c r="L136" s="1241"/>
    </row>
    <row r="137" spans="1:12" ht="19.5" hidden="1" customHeight="1" outlineLevel="1" x14ac:dyDescent="0.25">
      <c r="A137" s="129"/>
      <c r="B137" s="246" t="s">
        <v>59</v>
      </c>
      <c r="C137" s="236" t="s">
        <v>54</v>
      </c>
      <c r="D137" s="237"/>
      <c r="E137" s="237"/>
      <c r="F137" s="237"/>
      <c r="G137" s="237"/>
      <c r="H137" s="237"/>
      <c r="I137" s="237"/>
      <c r="J137" s="237"/>
      <c r="K137" s="238">
        <f t="shared" si="2"/>
        <v>0</v>
      </c>
      <c r="L137" s="1241"/>
    </row>
    <row r="138" spans="1:12" ht="19.5" hidden="1" customHeight="1" outlineLevel="1" x14ac:dyDescent="0.25">
      <c r="A138" s="129"/>
      <c r="B138" s="246" t="s">
        <v>60</v>
      </c>
      <c r="C138" s="236" t="s">
        <v>54</v>
      </c>
      <c r="D138" s="237"/>
      <c r="E138" s="237"/>
      <c r="F138" s="237"/>
      <c r="G138" s="237"/>
      <c r="H138" s="237"/>
      <c r="I138" s="237"/>
      <c r="J138" s="237"/>
      <c r="K138" s="238">
        <f t="shared" si="2"/>
        <v>0</v>
      </c>
      <c r="L138" s="1241"/>
    </row>
    <row r="139" spans="1:12" ht="19.5" hidden="1" customHeight="1" outlineLevel="1" x14ac:dyDescent="0.25">
      <c r="A139" s="129"/>
      <c r="B139" s="246" t="s">
        <v>61</v>
      </c>
      <c r="C139" s="236" t="s">
        <v>54</v>
      </c>
      <c r="D139" s="237"/>
      <c r="E139" s="237"/>
      <c r="F139" s="237"/>
      <c r="G139" s="237"/>
      <c r="H139" s="237"/>
      <c r="I139" s="237"/>
      <c r="J139" s="237"/>
      <c r="K139" s="238">
        <f t="shared" si="2"/>
        <v>0</v>
      </c>
      <c r="L139" s="1241"/>
    </row>
    <row r="140" spans="1:12" ht="19.5" hidden="1" customHeight="1" outlineLevel="1" x14ac:dyDescent="0.25">
      <c r="A140" s="129"/>
      <c r="B140" s="246" t="s">
        <v>63</v>
      </c>
      <c r="C140" s="236" t="s">
        <v>62</v>
      </c>
      <c r="D140" s="882">
        <v>-83465</v>
      </c>
      <c r="E140" s="237"/>
      <c r="F140" s="237"/>
      <c r="G140" s="237"/>
      <c r="H140" s="237"/>
      <c r="I140" s="237"/>
      <c r="J140" s="237"/>
      <c r="K140" s="238">
        <f t="shared" si="2"/>
        <v>0</v>
      </c>
      <c r="L140" s="1241"/>
    </row>
    <row r="141" spans="1:12" ht="19.5" hidden="1" customHeight="1" outlineLevel="1" x14ac:dyDescent="0.25">
      <c r="A141" s="129"/>
      <c r="B141" s="246" t="s">
        <v>64</v>
      </c>
      <c r="C141" s="236" t="s">
        <v>54</v>
      </c>
      <c r="D141" s="237">
        <f>'Sumář příjmů kapitol'!E60</f>
        <v>124465</v>
      </c>
      <c r="E141" s="237">
        <f>'Sumář příjmů kapitol'!F60</f>
        <v>0</v>
      </c>
      <c r="F141" s="237">
        <v>0</v>
      </c>
      <c r="G141" s="237">
        <v>0</v>
      </c>
      <c r="H141" s="237">
        <f>'Sumář příjmů kapitol'!I60</f>
        <v>0</v>
      </c>
      <c r="I141" s="237">
        <v>0</v>
      </c>
      <c r="J141" s="237">
        <f>'Sumář příjmů kapitol'!K60</f>
        <v>0</v>
      </c>
      <c r="K141" s="238">
        <f t="shared" si="2"/>
        <v>0</v>
      </c>
      <c r="L141" s="1241"/>
    </row>
    <row r="142" spans="1:12" outlineLevel="1" x14ac:dyDescent="0.25">
      <c r="A142" s="129"/>
      <c r="B142" s="246" t="s">
        <v>506</v>
      </c>
      <c r="C142" s="236" t="s">
        <v>54</v>
      </c>
      <c r="D142" s="237">
        <f>'Sumář příjmů kapitol'!E63</f>
        <v>0</v>
      </c>
      <c r="E142" s="237">
        <f>'Sumář příjmů kapitol'!F63</f>
        <v>0</v>
      </c>
      <c r="F142" s="237">
        <v>0</v>
      </c>
      <c r="G142" s="237">
        <v>0</v>
      </c>
      <c r="H142" s="237">
        <f>'Sumář příjmů kapitol'!I63</f>
        <v>0</v>
      </c>
      <c r="I142" s="237">
        <v>1960000</v>
      </c>
      <c r="J142" s="237">
        <f>'Sumář příjmů kapitol'!K63</f>
        <v>1960000</v>
      </c>
      <c r="K142" s="238">
        <f t="shared" si="2"/>
        <v>0</v>
      </c>
      <c r="L142" s="1241"/>
    </row>
    <row r="143" spans="1:12" hidden="1" outlineLevel="1" x14ac:dyDescent="0.25">
      <c r="A143" s="129"/>
      <c r="B143" s="246" t="s">
        <v>500</v>
      </c>
      <c r="C143" s="236">
        <v>4222</v>
      </c>
      <c r="D143" s="237">
        <f>'Sumář příjmů kapitol'!E64</f>
        <v>0</v>
      </c>
      <c r="E143" s="237">
        <f>'Sumář příjmů kapitol'!F64</f>
        <v>0</v>
      </c>
      <c r="F143" s="237">
        <v>0</v>
      </c>
      <c r="G143" s="237">
        <v>0</v>
      </c>
      <c r="H143" s="237">
        <f>'Sumář příjmů kapitol'!I64</f>
        <v>0</v>
      </c>
      <c r="I143" s="237">
        <v>0</v>
      </c>
      <c r="J143" s="237">
        <f>'Sumář příjmů kapitol'!K64</f>
        <v>0</v>
      </c>
      <c r="K143" s="238">
        <f t="shared" si="2"/>
        <v>0</v>
      </c>
      <c r="L143" s="1241"/>
    </row>
    <row r="144" spans="1:12" ht="18.75" customHeight="1" collapsed="1" x14ac:dyDescent="0.25">
      <c r="A144" s="129"/>
      <c r="B144" s="129"/>
      <c r="C144" s="236"/>
      <c r="D144" s="237"/>
      <c r="E144" s="237"/>
      <c r="F144" s="237"/>
      <c r="G144" s="237"/>
      <c r="H144" s="237"/>
      <c r="I144" s="237"/>
      <c r="J144" s="237"/>
      <c r="K144" s="238">
        <f t="shared" si="2"/>
        <v>0</v>
      </c>
      <c r="L144" s="1241"/>
    </row>
    <row r="145" spans="1:12" s="1689" customFormat="1" ht="16.5" thickBot="1" x14ac:dyDescent="0.3">
      <c r="A145" s="243" t="s">
        <v>365</v>
      </c>
      <c r="B145" s="243" t="s">
        <v>366</v>
      </c>
      <c r="C145" s="244"/>
      <c r="D145" s="245">
        <f>SUM(D146:D152)</f>
        <v>24165154.809999999</v>
      </c>
      <c r="E145" s="245">
        <f>SUM(E146:E152)</f>
        <v>27000903</v>
      </c>
      <c r="F145" s="245">
        <v>133533884</v>
      </c>
      <c r="G145" s="245">
        <f>SUM(G146:G152)</f>
        <v>69675093.039999992</v>
      </c>
      <c r="H145" s="245">
        <f>SUM(H146:H152)</f>
        <v>90858791</v>
      </c>
      <c r="I145" s="245">
        <v>89088871</v>
      </c>
      <c r="J145" s="245">
        <f>SUM(J146:J152)</f>
        <v>89088871</v>
      </c>
      <c r="K145" s="1289">
        <f t="shared" si="2"/>
        <v>0</v>
      </c>
      <c r="L145" s="1243"/>
    </row>
    <row r="146" spans="1:12" ht="17.25" customHeight="1" outlineLevel="1" x14ac:dyDescent="0.25">
      <c r="A146" s="129"/>
      <c r="B146" s="246" t="s">
        <v>367</v>
      </c>
      <c r="C146" s="236" t="s">
        <v>66</v>
      </c>
      <c r="D146" s="237">
        <f>'Sumář příjmů kapitol'!E133</f>
        <v>18307655</v>
      </c>
      <c r="E146" s="237">
        <f>'Sumář příjmů kapitol'!F133</f>
        <v>25000000</v>
      </c>
      <c r="F146" s="237">
        <v>23257200</v>
      </c>
      <c r="G146" s="237">
        <v>23257200</v>
      </c>
      <c r="H146" s="237">
        <f>'Sumář příjmů kapitol'!I133</f>
        <v>27000000</v>
      </c>
      <c r="I146" s="237">
        <v>25459000</v>
      </c>
      <c r="J146" s="237">
        <f>'Sumář příjmů kapitol'!K133</f>
        <v>25459000</v>
      </c>
      <c r="K146" s="238">
        <f t="shared" si="2"/>
        <v>0</v>
      </c>
      <c r="L146" s="1241"/>
    </row>
    <row r="147" spans="1:12" ht="17.25" hidden="1" customHeight="1" outlineLevel="1" x14ac:dyDescent="0.25">
      <c r="A147" s="129"/>
      <c r="B147" s="246" t="s">
        <v>67</v>
      </c>
      <c r="C147" s="236" t="s">
        <v>66</v>
      </c>
      <c r="D147" s="237">
        <f>'Sumář příjmů kapitol'!E134</f>
        <v>5857499.8099999996</v>
      </c>
      <c r="E147" s="237">
        <f>'Sumář příjmů kapitol'!F134</f>
        <v>2000903</v>
      </c>
      <c r="F147" s="237">
        <v>276684</v>
      </c>
      <c r="G147" s="237">
        <v>276684</v>
      </c>
      <c r="H147" s="237">
        <f>'Sumář příjmů kapitol'!I134</f>
        <v>0</v>
      </c>
      <c r="I147" s="237">
        <v>0</v>
      </c>
      <c r="J147" s="237">
        <f>'Sumář příjmů kapitol'!S134</f>
        <v>0</v>
      </c>
      <c r="K147" s="238">
        <f t="shared" si="2"/>
        <v>0</v>
      </c>
      <c r="L147" s="1241"/>
    </row>
    <row r="148" spans="1:12" ht="17.25" hidden="1" customHeight="1" outlineLevel="1" x14ac:dyDescent="0.25">
      <c r="A148" s="129"/>
      <c r="B148" s="246" t="s">
        <v>368</v>
      </c>
      <c r="C148" s="236" t="s">
        <v>66</v>
      </c>
      <c r="D148" s="237"/>
      <c r="E148" s="237"/>
      <c r="F148" s="237"/>
      <c r="G148" s="237"/>
      <c r="H148" s="237"/>
      <c r="I148" s="237"/>
      <c r="J148" s="237"/>
      <c r="K148" s="238">
        <f t="shared" si="2"/>
        <v>0</v>
      </c>
      <c r="L148" s="1241"/>
    </row>
    <row r="149" spans="1:12" ht="17.25" hidden="1" customHeight="1" outlineLevel="1" x14ac:dyDescent="0.25">
      <c r="A149" s="129"/>
      <c r="B149" s="246" t="s">
        <v>369</v>
      </c>
      <c r="C149" s="236" t="s">
        <v>66</v>
      </c>
      <c r="D149" s="237"/>
      <c r="E149" s="237"/>
      <c r="F149" s="237"/>
      <c r="G149" s="237"/>
      <c r="H149" s="237"/>
      <c r="I149" s="237"/>
      <c r="J149" s="237"/>
      <c r="K149" s="238">
        <f t="shared" si="2"/>
        <v>0</v>
      </c>
      <c r="L149" s="1241"/>
    </row>
    <row r="150" spans="1:12" ht="17.25" hidden="1" customHeight="1" outlineLevel="1" x14ac:dyDescent="0.25">
      <c r="A150" s="129"/>
      <c r="B150" s="246" t="s">
        <v>69</v>
      </c>
      <c r="C150" s="236" t="s">
        <v>66</v>
      </c>
      <c r="D150" s="237"/>
      <c r="E150" s="237"/>
      <c r="F150" s="237"/>
      <c r="G150" s="237"/>
      <c r="H150" s="237"/>
      <c r="I150" s="237"/>
      <c r="J150" s="237"/>
      <c r="K150" s="238">
        <f t="shared" si="2"/>
        <v>0</v>
      </c>
      <c r="L150" s="1241"/>
    </row>
    <row r="151" spans="1:12" ht="17.25" hidden="1" customHeight="1" outlineLevel="1" x14ac:dyDescent="0.25">
      <c r="A151" s="129"/>
      <c r="B151" s="246" t="s">
        <v>70</v>
      </c>
      <c r="C151" s="236" t="s">
        <v>66</v>
      </c>
      <c r="D151" s="237"/>
      <c r="E151" s="237"/>
      <c r="F151" s="237"/>
      <c r="G151" s="237"/>
      <c r="H151" s="237"/>
      <c r="I151" s="237"/>
      <c r="J151" s="237"/>
      <c r="K151" s="238">
        <f t="shared" si="2"/>
        <v>0</v>
      </c>
      <c r="L151" s="1241"/>
    </row>
    <row r="152" spans="1:12" ht="17.25" customHeight="1" outlineLevel="1" x14ac:dyDescent="0.25">
      <c r="A152" s="129"/>
      <c r="B152" s="246" t="s">
        <v>122</v>
      </c>
      <c r="C152" s="236" t="s">
        <v>121</v>
      </c>
      <c r="D152" s="237"/>
      <c r="E152" s="237"/>
      <c r="F152" s="237">
        <v>110000000</v>
      </c>
      <c r="G152" s="237">
        <v>46141209.039999999</v>
      </c>
      <c r="H152" s="237">
        <f>'Sumář příjmů kapitol'!I138</f>
        <v>63858791</v>
      </c>
      <c r="I152" s="237">
        <v>63629871</v>
      </c>
      <c r="J152" s="237">
        <f>'Sumář příjmů kapitol'!K138</f>
        <v>63629871</v>
      </c>
      <c r="K152" s="238">
        <f t="shared" si="2"/>
        <v>0</v>
      </c>
      <c r="L152" s="1241"/>
    </row>
    <row r="153" spans="1:12" x14ac:dyDescent="0.25">
      <c r="A153" s="129"/>
      <c r="B153" s="129"/>
      <c r="C153" s="236"/>
      <c r="D153" s="237"/>
      <c r="E153" s="237"/>
      <c r="F153" s="237"/>
      <c r="G153" s="237"/>
      <c r="H153" s="237"/>
      <c r="I153" s="237"/>
      <c r="J153" s="237"/>
      <c r="K153" s="238">
        <f t="shared" si="2"/>
        <v>0</v>
      </c>
      <c r="L153" s="1241"/>
    </row>
    <row r="154" spans="1:12" s="1689" customFormat="1" ht="16.5" thickBot="1" x14ac:dyDescent="0.3">
      <c r="A154" s="247" t="s">
        <v>370</v>
      </c>
      <c r="B154" s="247"/>
      <c r="C154" s="248"/>
      <c r="D154" s="245">
        <f>+D145+D100+D94+D26+D6</f>
        <v>142887073.81</v>
      </c>
      <c r="E154" s="245">
        <f>+E145+E100+E94+E26+E6</f>
        <v>154493549</v>
      </c>
      <c r="F154" s="245">
        <v>263207503</v>
      </c>
      <c r="G154" s="245">
        <f>+G145+G100+G94+G26+G6</f>
        <v>229885415.03999999</v>
      </c>
      <c r="H154" s="245">
        <f>+H145+H100+H94+H26+H6</f>
        <v>239205058</v>
      </c>
      <c r="I154" s="245">
        <v>241520738</v>
      </c>
      <c r="J154" s="245">
        <f>+J145+J100+J94+J26+J6</f>
        <v>246802838</v>
      </c>
      <c r="K154" s="1289">
        <f t="shared" si="2"/>
        <v>5282100</v>
      </c>
      <c r="L154" s="1243"/>
    </row>
    <row r="155" spans="1:12" s="1711" customFormat="1" ht="12.75" customHeight="1" x14ac:dyDescent="0.25">
      <c r="A155" s="249"/>
      <c r="B155" s="250" t="s">
        <v>371</v>
      </c>
      <c r="C155" s="251"/>
      <c r="D155" s="238">
        <f>D154-'Sumář příjmů kapitol'!E139</f>
        <v>-290000</v>
      </c>
      <c r="E155" s="238">
        <f>E154-'Sumář příjmů kapitol'!F139</f>
        <v>0</v>
      </c>
      <c r="F155" s="238">
        <v>0</v>
      </c>
      <c r="G155" s="238">
        <v>0</v>
      </c>
      <c r="H155" s="238">
        <f>H154-'Sumář příjmů kapitol'!I139</f>
        <v>0</v>
      </c>
      <c r="I155" s="238">
        <v>0</v>
      </c>
      <c r="J155" s="238">
        <f>+J154-'Sumář příjmů kapitol'!K139</f>
        <v>0</v>
      </c>
      <c r="K155" s="238">
        <f t="shared" si="2"/>
        <v>0</v>
      </c>
      <c r="L155" s="1840"/>
    </row>
    <row r="156" spans="1:12" x14ac:dyDescent="0.25">
      <c r="A156" s="129"/>
      <c r="B156" s="129"/>
      <c r="C156" s="236"/>
      <c r="D156" s="237"/>
      <c r="E156" s="237"/>
      <c r="F156" s="237"/>
      <c r="G156" s="237"/>
      <c r="H156" s="237"/>
      <c r="I156" s="237"/>
      <c r="J156" s="237"/>
      <c r="K156" s="238"/>
      <c r="L156" s="1241"/>
    </row>
    <row r="157" spans="1:12" ht="33.75" customHeight="1" thickBot="1" x14ac:dyDescent="0.3">
      <c r="A157" s="239" t="s">
        <v>372</v>
      </c>
      <c r="B157" s="240"/>
      <c r="C157" s="241" t="s">
        <v>125</v>
      </c>
      <c r="D157" s="242" t="s">
        <v>389</v>
      </c>
      <c r="E157" s="267" t="s">
        <v>1255</v>
      </c>
      <c r="F157" s="267" t="s">
        <v>1322</v>
      </c>
      <c r="G157" s="267" t="s">
        <v>1403</v>
      </c>
      <c r="H157" s="267" t="s">
        <v>1369</v>
      </c>
      <c r="I157" s="267" t="s">
        <v>1552</v>
      </c>
      <c r="J157" s="267" t="s">
        <v>1627</v>
      </c>
      <c r="K157" s="238"/>
      <c r="L157" s="1241"/>
    </row>
    <row r="158" spans="1:12" x14ac:dyDescent="0.25">
      <c r="A158" s="129"/>
      <c r="B158" s="129"/>
      <c r="C158" s="236"/>
      <c r="D158" s="237"/>
      <c r="E158" s="237"/>
      <c r="F158" s="237"/>
      <c r="G158" s="237"/>
      <c r="H158" s="237"/>
      <c r="I158" s="237"/>
      <c r="J158" s="237"/>
      <c r="K158" s="238"/>
      <c r="L158" s="1241"/>
    </row>
    <row r="159" spans="1:12" s="1689" customFormat="1" ht="16.5" thickBot="1" x14ac:dyDescent="0.3">
      <c r="A159" s="243" t="s">
        <v>373</v>
      </c>
      <c r="B159" s="243" t="s">
        <v>374</v>
      </c>
      <c r="C159" s="244"/>
      <c r="D159" s="245">
        <f>+D160+D170</f>
        <v>93507575.017399997</v>
      </c>
      <c r="E159" s="245">
        <f>+E160+E170</f>
        <v>101928137.2</v>
      </c>
      <c r="F159" s="245">
        <v>104777934.2</v>
      </c>
      <c r="G159" s="245">
        <f>+G160+G170</f>
        <v>119251690.068</v>
      </c>
      <c r="H159" s="245">
        <f>+H160+H170</f>
        <v>112001565.3576</v>
      </c>
      <c r="I159" s="245">
        <v>114007746.3576</v>
      </c>
      <c r="J159" s="245">
        <f>+J160+J170</f>
        <v>117229174.77760001</v>
      </c>
      <c r="K159" s="1289">
        <f t="shared" ref="K159:K222" si="3">+J159-I159</f>
        <v>3221428.4200000018</v>
      </c>
      <c r="L159" s="1243"/>
    </row>
    <row r="160" spans="1:12" s="1689" customFormat="1" x14ac:dyDescent="0.25">
      <c r="A160" s="33"/>
      <c r="B160" s="252" t="s">
        <v>192</v>
      </c>
      <c r="C160" s="253"/>
      <c r="D160" s="254">
        <f>SUM(D161:D168)</f>
        <v>28603693.557400003</v>
      </c>
      <c r="E160" s="254">
        <f>SUM(E161:E168)</f>
        <v>29749904.200000003</v>
      </c>
      <c r="F160" s="254">
        <v>29747864.200000003</v>
      </c>
      <c r="G160" s="254">
        <f>SUM(G161:G168)</f>
        <v>30093647.068</v>
      </c>
      <c r="H160" s="254">
        <f>SUM(H161:H168)</f>
        <v>32378530.280000001</v>
      </c>
      <c r="I160" s="254">
        <v>32378530.280000001</v>
      </c>
      <c r="J160" s="254">
        <f>SUM(J161:J168)</f>
        <v>34335358.700000003</v>
      </c>
      <c r="K160" s="1289">
        <f t="shared" si="3"/>
        <v>1956828.4200000018</v>
      </c>
      <c r="L160" s="1243"/>
    </row>
    <row r="161" spans="1:12" s="1712" customFormat="1" outlineLevel="1" x14ac:dyDescent="0.2">
      <c r="A161" s="258"/>
      <c r="B161" s="259" t="s">
        <v>126</v>
      </c>
      <c r="C161" s="260">
        <v>5011</v>
      </c>
      <c r="D161" s="1263">
        <f>'Sumář  výdaje kapitol'!C8</f>
        <v>18196947</v>
      </c>
      <c r="E161" s="1263">
        <f>'Sumář  výdaje kapitol'!D8</f>
        <v>19091320</v>
      </c>
      <c r="F161" s="1263">
        <v>19025320</v>
      </c>
      <c r="G161" s="1263">
        <v>19223464</v>
      </c>
      <c r="H161" s="1263">
        <f>'Sumář  výdaje kapitol'!G8</f>
        <v>20374400</v>
      </c>
      <c r="I161" s="1263">
        <v>20374400</v>
      </c>
      <c r="J161" s="1263">
        <f>'Sumář  výdaje kapitol'!I8</f>
        <v>21368700</v>
      </c>
      <c r="K161" s="1264">
        <f t="shared" si="3"/>
        <v>994300</v>
      </c>
      <c r="L161" s="1841" t="s">
        <v>1637</v>
      </c>
    </row>
    <row r="162" spans="1:12" s="1712" customFormat="1" outlineLevel="1" x14ac:dyDescent="0.2">
      <c r="A162" s="258"/>
      <c r="B162" s="259" t="s">
        <v>127</v>
      </c>
      <c r="C162" s="260">
        <v>5021</v>
      </c>
      <c r="D162" s="1263">
        <f>'Sumář  výdaje kapitol'!C9</f>
        <v>1425000</v>
      </c>
      <c r="E162" s="1263">
        <f>'Sumář  výdaje kapitol'!D9</f>
        <v>1364000</v>
      </c>
      <c r="F162" s="1263">
        <v>1430000</v>
      </c>
      <c r="G162" s="1263">
        <v>1490740</v>
      </c>
      <c r="H162" s="1263">
        <f>'Sumář  výdaje kapitol'!G9</f>
        <v>1434000</v>
      </c>
      <c r="I162" s="1263">
        <v>1434000</v>
      </c>
      <c r="J162" s="1263">
        <f>'Sumář  výdaje kapitol'!I9</f>
        <v>1371200</v>
      </c>
      <c r="K162" s="1264">
        <f t="shared" si="3"/>
        <v>-62800</v>
      </c>
      <c r="L162" s="1841" t="s">
        <v>1635</v>
      </c>
    </row>
    <row r="163" spans="1:12" ht="18" customHeight="1" outlineLevel="1" x14ac:dyDescent="0.25">
      <c r="A163" s="129"/>
      <c r="B163" s="246" t="s">
        <v>128</v>
      </c>
      <c r="C163" s="236">
        <v>5023</v>
      </c>
      <c r="D163" s="237">
        <f>'Sumář  výdaje kapitol'!C10</f>
        <v>1674000</v>
      </c>
      <c r="E163" s="237">
        <f>'Sumář  výdaje kapitol'!D10</f>
        <v>1740960</v>
      </c>
      <c r="F163" s="237">
        <v>1740960</v>
      </c>
      <c r="G163" s="237">
        <v>1740960</v>
      </c>
      <c r="H163" s="237">
        <f>'Sumář  výdaje kapitol'!G10</f>
        <v>2347000</v>
      </c>
      <c r="I163" s="237">
        <v>2347000</v>
      </c>
      <c r="J163" s="1263">
        <f>'Sumář  výdaje kapitol'!I10</f>
        <v>2347000</v>
      </c>
      <c r="K163" s="238">
        <f t="shared" si="3"/>
        <v>0</v>
      </c>
      <c r="L163" s="1241"/>
    </row>
    <row r="164" spans="1:12" ht="18" customHeight="1" outlineLevel="1" x14ac:dyDescent="0.25">
      <c r="A164" s="129"/>
      <c r="B164" s="246" t="s">
        <v>129</v>
      </c>
      <c r="C164" s="236">
        <v>5024</v>
      </c>
      <c r="D164" s="237">
        <f>'Sumář  výdaje kapitol'!C11</f>
        <v>0</v>
      </c>
      <c r="E164" s="237">
        <f>'Sumář  výdaje kapitol'!D11</f>
        <v>0</v>
      </c>
      <c r="F164" s="237">
        <v>0</v>
      </c>
      <c r="G164" s="237">
        <v>0</v>
      </c>
      <c r="H164" s="237">
        <f>'Sumář  výdaje kapitol'!G11</f>
        <v>0</v>
      </c>
      <c r="I164" s="237">
        <v>0</v>
      </c>
      <c r="J164" s="1263">
        <f>'Sumář  výdaje kapitol'!I11</f>
        <v>657000</v>
      </c>
      <c r="K164" s="238">
        <f t="shared" si="3"/>
        <v>657000</v>
      </c>
      <c r="L164" s="1241" t="s">
        <v>1638</v>
      </c>
    </row>
    <row r="165" spans="1:12" ht="18" customHeight="1" outlineLevel="1" x14ac:dyDescent="0.25">
      <c r="A165" s="129"/>
      <c r="B165" s="246" t="s">
        <v>130</v>
      </c>
      <c r="C165" s="236">
        <v>5029</v>
      </c>
      <c r="D165" s="237">
        <f>'Sumář  výdaje kapitol'!C12</f>
        <v>30000</v>
      </c>
      <c r="E165" s="237">
        <f>'Sumář  výdaje kapitol'!D12</f>
        <v>30000</v>
      </c>
      <c r="F165" s="237">
        <v>30000</v>
      </c>
      <c r="G165" s="237">
        <v>30000</v>
      </c>
      <c r="H165" s="237">
        <f>'Sumář  výdaje kapitol'!G12</f>
        <v>30000</v>
      </c>
      <c r="I165" s="237">
        <v>30000</v>
      </c>
      <c r="J165" s="1263">
        <f>'Sumář  výdaje kapitol'!I12</f>
        <v>30000</v>
      </c>
      <c r="K165" s="238">
        <f t="shared" si="3"/>
        <v>0</v>
      </c>
      <c r="L165" s="1241"/>
    </row>
    <row r="166" spans="1:12" ht="18" customHeight="1" outlineLevel="1" x14ac:dyDescent="0.25">
      <c r="A166" s="129"/>
      <c r="B166" s="246" t="s">
        <v>131</v>
      </c>
      <c r="C166" s="236">
        <v>5031</v>
      </c>
      <c r="D166" s="237">
        <f>'Sumář  výdaje kapitol'!C13</f>
        <v>5285986.75</v>
      </c>
      <c r="E166" s="237">
        <f>'Sumář  výdaje kapitol'!D13</f>
        <v>5463570</v>
      </c>
      <c r="F166" s="237">
        <v>5462070</v>
      </c>
      <c r="G166" s="237">
        <v>5525791</v>
      </c>
      <c r="H166" s="237">
        <f>'Sumář  výdaje kapitol'!G13</f>
        <v>5950850</v>
      </c>
      <c r="I166" s="237">
        <v>5950850</v>
      </c>
      <c r="J166" s="1263">
        <f>'Sumář  výdaje kapitol'!I13</f>
        <v>6218375</v>
      </c>
      <c r="K166" s="238">
        <f t="shared" si="3"/>
        <v>267525</v>
      </c>
      <c r="L166" s="1241" t="s">
        <v>1633</v>
      </c>
    </row>
    <row r="167" spans="1:12" ht="18" customHeight="1" outlineLevel="1" x14ac:dyDescent="0.25">
      <c r="A167" s="129"/>
      <c r="B167" s="246" t="s">
        <v>132</v>
      </c>
      <c r="C167" s="236">
        <v>5032</v>
      </c>
      <c r="D167" s="237">
        <f>'Sumář  výdaje kapitol'!C14</f>
        <v>1902955.2300000023</v>
      </c>
      <c r="E167" s="237">
        <f>'Sumář  výdaje kapitol'!D14</f>
        <v>1966885.2000000027</v>
      </c>
      <c r="F167" s="237">
        <v>1966345.2000000027</v>
      </c>
      <c r="G167" s="237">
        <v>1989284.7600000021</v>
      </c>
      <c r="H167" s="237">
        <f>'Sumář  výdaje kapitol'!G14</f>
        <v>2142306.0000000009</v>
      </c>
      <c r="I167" s="237">
        <v>2142306.0000000009</v>
      </c>
      <c r="J167" s="1263">
        <f>'Sumář  výdaje kapitol'!I14</f>
        <v>2238615.0000000009</v>
      </c>
      <c r="K167" s="238">
        <f t="shared" si="3"/>
        <v>96309</v>
      </c>
      <c r="L167" s="1241" t="s">
        <v>1634</v>
      </c>
    </row>
    <row r="168" spans="1:12" ht="18" customHeight="1" outlineLevel="1" x14ac:dyDescent="0.25">
      <c r="A168" s="129"/>
      <c r="B168" s="246" t="s">
        <v>133</v>
      </c>
      <c r="C168" s="236">
        <v>5038</v>
      </c>
      <c r="D168" s="237">
        <f>'Sumář  výdaje kapitol'!C15</f>
        <v>88804.57739999998</v>
      </c>
      <c r="E168" s="237">
        <f>'Sumář  výdaje kapitol'!D15</f>
        <v>93169</v>
      </c>
      <c r="F168" s="237">
        <v>93169</v>
      </c>
      <c r="G168" s="237">
        <v>93407.308000000005</v>
      </c>
      <c r="H168" s="237">
        <f>'Sumář  výdaje kapitol'!G15</f>
        <v>99974.28</v>
      </c>
      <c r="I168" s="237">
        <v>99974.28</v>
      </c>
      <c r="J168" s="1263">
        <f>'Sumář  výdaje kapitol'!I15</f>
        <v>104468.7</v>
      </c>
      <c r="K168" s="238">
        <f t="shared" si="3"/>
        <v>4494.4199999999983</v>
      </c>
      <c r="L168" s="1241"/>
    </row>
    <row r="169" spans="1:12" hidden="1" x14ac:dyDescent="0.25">
      <c r="A169" s="129"/>
      <c r="B169" s="246"/>
      <c r="C169" s="236"/>
      <c r="D169" s="237"/>
      <c r="E169" s="237"/>
      <c r="F169" s="237"/>
      <c r="G169" s="237"/>
      <c r="H169" s="237"/>
      <c r="I169" s="237"/>
      <c r="J169" s="237"/>
      <c r="K169" s="238">
        <f t="shared" si="3"/>
        <v>0</v>
      </c>
      <c r="L169" s="1241"/>
    </row>
    <row r="170" spans="1:12" s="1689" customFormat="1" x14ac:dyDescent="0.25">
      <c r="A170" s="33"/>
      <c r="B170" s="255" t="s">
        <v>375</v>
      </c>
      <c r="C170" s="256"/>
      <c r="D170" s="257">
        <f>SUM(D171:D209)</f>
        <v>64903881.460000001</v>
      </c>
      <c r="E170" s="257">
        <f>SUM(E171:E209)</f>
        <v>72178233</v>
      </c>
      <c r="F170" s="257">
        <v>75030070</v>
      </c>
      <c r="G170" s="257">
        <f>SUM(G171:G210)</f>
        <v>89158043</v>
      </c>
      <c r="H170" s="257">
        <f>SUM(H171:H210)</f>
        <v>79623035.077600002</v>
      </c>
      <c r="I170" s="257">
        <v>81629216.077600002</v>
      </c>
      <c r="J170" s="257">
        <f>SUM(J171:J210)</f>
        <v>82893816.077600002</v>
      </c>
      <c r="K170" s="1289">
        <f t="shared" si="3"/>
        <v>1264600</v>
      </c>
      <c r="L170" s="1243"/>
    </row>
    <row r="171" spans="1:12" ht="18" hidden="1" customHeight="1" outlineLevel="1" x14ac:dyDescent="0.25">
      <c r="A171" s="129"/>
      <c r="B171" s="246" t="s">
        <v>135</v>
      </c>
      <c r="C171" s="236">
        <v>5178</v>
      </c>
      <c r="D171" s="237">
        <f>'Sumář  výdaje kapitol'!C17</f>
        <v>0</v>
      </c>
      <c r="E171" s="237">
        <f>'Sumář  výdaje kapitol'!K17</f>
        <v>0</v>
      </c>
      <c r="F171" s="237">
        <v>0</v>
      </c>
      <c r="G171" s="237">
        <v>0</v>
      </c>
      <c r="H171" s="237">
        <f>'Sumář  výdaje kapitol'!M17</f>
        <v>0</v>
      </c>
      <c r="I171" s="237">
        <v>0</v>
      </c>
      <c r="J171" s="237">
        <f>'Sumář  výdaje kapitol'!U17</f>
        <v>0</v>
      </c>
      <c r="K171" s="238">
        <f t="shared" si="3"/>
        <v>0</v>
      </c>
      <c r="L171" s="1241"/>
    </row>
    <row r="172" spans="1:12" ht="18" hidden="1" customHeight="1" outlineLevel="1" x14ac:dyDescent="0.25">
      <c r="A172" s="129"/>
      <c r="B172" s="246" t="s">
        <v>136</v>
      </c>
      <c r="C172" s="236">
        <v>5132</v>
      </c>
      <c r="D172" s="237">
        <f>'Sumář  výdaje kapitol'!C18</f>
        <v>0</v>
      </c>
      <c r="E172" s="237">
        <f>'Sumář  výdaje kapitol'!K18</f>
        <v>0</v>
      </c>
      <c r="F172" s="237">
        <v>0</v>
      </c>
      <c r="G172" s="237">
        <v>0</v>
      </c>
      <c r="H172" s="237">
        <f>'Sumář  výdaje kapitol'!M18</f>
        <v>0</v>
      </c>
      <c r="I172" s="237">
        <v>0</v>
      </c>
      <c r="J172" s="237">
        <f>'Sumář  výdaje kapitol'!U18</f>
        <v>0</v>
      </c>
      <c r="K172" s="238">
        <f t="shared" si="3"/>
        <v>0</v>
      </c>
      <c r="L172" s="1241"/>
    </row>
    <row r="173" spans="1:12" ht="18" customHeight="1" outlineLevel="1" x14ac:dyDescent="0.25">
      <c r="A173" s="129"/>
      <c r="B173" s="246" t="s">
        <v>137</v>
      </c>
      <c r="C173" s="236">
        <v>5134</v>
      </c>
      <c r="D173" s="237">
        <f>'Sumář  výdaje kapitol'!C19</f>
        <v>300000</v>
      </c>
      <c r="E173" s="237">
        <f>'Sumář  výdaje kapitol'!D19</f>
        <v>108000</v>
      </c>
      <c r="F173" s="237">
        <v>108000</v>
      </c>
      <c r="G173" s="237">
        <v>108000</v>
      </c>
      <c r="H173" s="237">
        <f>'Sumář  výdaje kapitol'!G19</f>
        <v>156000</v>
      </c>
      <c r="I173" s="237">
        <v>156000</v>
      </c>
      <c r="J173" s="237">
        <f>'Sumář  výdaje kapitol'!I19</f>
        <v>156000</v>
      </c>
      <c r="K173" s="238">
        <f t="shared" si="3"/>
        <v>0</v>
      </c>
      <c r="L173" s="1241"/>
    </row>
    <row r="174" spans="1:12" ht="18" customHeight="1" outlineLevel="1" x14ac:dyDescent="0.25">
      <c r="A174" s="129"/>
      <c r="B174" s="246" t="s">
        <v>138</v>
      </c>
      <c r="C174" s="236">
        <v>5136</v>
      </c>
      <c r="D174" s="237">
        <f>'Sumář  výdaje kapitol'!C20</f>
        <v>201000</v>
      </c>
      <c r="E174" s="237">
        <f>'Sumář  výdaje kapitol'!D20</f>
        <v>261000</v>
      </c>
      <c r="F174" s="237">
        <v>261000</v>
      </c>
      <c r="G174" s="237">
        <v>261000</v>
      </c>
      <c r="H174" s="237">
        <f>'Sumář  výdaje kapitol'!G20</f>
        <v>261000</v>
      </c>
      <c r="I174" s="237">
        <v>261000</v>
      </c>
      <c r="J174" s="237">
        <f>'Sumář  výdaje kapitol'!I20</f>
        <v>261000</v>
      </c>
      <c r="K174" s="238">
        <f t="shared" si="3"/>
        <v>0</v>
      </c>
      <c r="L174" s="1241"/>
    </row>
    <row r="175" spans="1:12" outlineLevel="1" x14ac:dyDescent="0.25">
      <c r="A175" s="258"/>
      <c r="B175" s="259" t="s">
        <v>139</v>
      </c>
      <c r="C175" s="260">
        <v>5137</v>
      </c>
      <c r="D175" s="1263">
        <f>'Sumář  výdaje kapitol'!C21</f>
        <v>946000</v>
      </c>
      <c r="E175" s="1263">
        <f>'Sumář  výdaje kapitol'!D21</f>
        <v>1525000</v>
      </c>
      <c r="F175" s="1263">
        <v>1550000</v>
      </c>
      <c r="G175" s="1263">
        <v>1191000</v>
      </c>
      <c r="H175" s="237">
        <f>'Sumář  výdaje kapitol'!G21</f>
        <v>2030000</v>
      </c>
      <c r="I175" s="237">
        <v>2030000</v>
      </c>
      <c r="J175" s="237">
        <f>'Sumář  výdaje kapitol'!I21</f>
        <v>2030000</v>
      </c>
      <c r="K175" s="238">
        <f t="shared" si="3"/>
        <v>0</v>
      </c>
      <c r="L175" s="1241"/>
    </row>
    <row r="176" spans="1:12" s="1712" customFormat="1" ht="31.5" outlineLevel="1" x14ac:dyDescent="0.2">
      <c r="A176" s="258"/>
      <c r="B176" s="259" t="s">
        <v>140</v>
      </c>
      <c r="C176" s="260">
        <v>5139</v>
      </c>
      <c r="D176" s="1263">
        <f>'Sumář  výdaje kapitol'!C22</f>
        <v>1581300</v>
      </c>
      <c r="E176" s="1263">
        <f>'Sumář  výdaje kapitol'!D22</f>
        <v>2472000</v>
      </c>
      <c r="F176" s="1263">
        <v>2522000</v>
      </c>
      <c r="G176" s="1263">
        <v>1656000</v>
      </c>
      <c r="H176" s="1263">
        <f>'Sumář  výdaje kapitol'!G22</f>
        <v>3817569</v>
      </c>
      <c r="I176" s="1263">
        <v>3317569</v>
      </c>
      <c r="J176" s="1263">
        <f>'Sumář  výdaje kapitol'!I22</f>
        <v>3597569</v>
      </c>
      <c r="K176" s="1264">
        <f t="shared" si="3"/>
        <v>280000</v>
      </c>
      <c r="L176" s="1911" t="s">
        <v>1651</v>
      </c>
    </row>
    <row r="177" spans="1:12" ht="18" customHeight="1" outlineLevel="1" x14ac:dyDescent="0.25">
      <c r="A177" s="129"/>
      <c r="B177" s="246" t="s">
        <v>141</v>
      </c>
      <c r="C177" s="236">
        <v>5151</v>
      </c>
      <c r="D177" s="237">
        <f>'Sumář  výdaje kapitol'!C23</f>
        <v>638000</v>
      </c>
      <c r="E177" s="237">
        <f>'Sumář  výdaje kapitol'!D23</f>
        <v>618000</v>
      </c>
      <c r="F177" s="237">
        <v>618000</v>
      </c>
      <c r="G177" s="237">
        <v>619000</v>
      </c>
      <c r="H177" s="237">
        <f>'Sumář  výdaje kapitol'!G23</f>
        <v>673000</v>
      </c>
      <c r="I177" s="237">
        <v>673000</v>
      </c>
      <c r="J177" s="237">
        <f>'Sumář  výdaje kapitol'!I23</f>
        <v>673000</v>
      </c>
      <c r="K177" s="238">
        <f t="shared" si="3"/>
        <v>0</v>
      </c>
      <c r="L177" s="1241"/>
    </row>
    <row r="178" spans="1:12" ht="18" customHeight="1" outlineLevel="1" x14ac:dyDescent="0.25">
      <c r="A178" s="129"/>
      <c r="B178" s="246" t="s">
        <v>142</v>
      </c>
      <c r="C178" s="236">
        <v>5153</v>
      </c>
      <c r="D178" s="237">
        <f>'Sumář  výdaje kapitol'!C24</f>
        <v>3081000</v>
      </c>
      <c r="E178" s="237">
        <f>'Sumář  výdaje kapitol'!D24</f>
        <v>1935000</v>
      </c>
      <c r="F178" s="237">
        <v>1935000</v>
      </c>
      <c r="G178" s="237">
        <v>2340000</v>
      </c>
      <c r="H178" s="237">
        <f>'Sumář  výdaje kapitol'!G24</f>
        <v>2955000</v>
      </c>
      <c r="I178" s="237">
        <v>2955000</v>
      </c>
      <c r="J178" s="237">
        <f>'Sumář  výdaje kapitol'!I24</f>
        <v>2955000</v>
      </c>
      <c r="K178" s="238">
        <f t="shared" si="3"/>
        <v>0</v>
      </c>
      <c r="L178" s="1241"/>
    </row>
    <row r="179" spans="1:12" ht="18" customHeight="1" outlineLevel="1" x14ac:dyDescent="0.25">
      <c r="A179" s="129"/>
      <c r="B179" s="246" t="s">
        <v>143</v>
      </c>
      <c r="C179" s="236">
        <v>5154</v>
      </c>
      <c r="D179" s="237">
        <f>'Sumář  výdaje kapitol'!C25</f>
        <v>1983000</v>
      </c>
      <c r="E179" s="237">
        <f>'Sumář  výdaje kapitol'!D25</f>
        <v>1948000</v>
      </c>
      <c r="F179" s="237">
        <v>2307500</v>
      </c>
      <c r="G179" s="237">
        <v>2395500</v>
      </c>
      <c r="H179" s="237">
        <f>'Sumář  výdaje kapitol'!G25</f>
        <v>2387000</v>
      </c>
      <c r="I179" s="237">
        <v>2462600</v>
      </c>
      <c r="J179" s="237">
        <f>'Sumář  výdaje kapitol'!I25</f>
        <v>2462600</v>
      </c>
      <c r="K179" s="238">
        <f t="shared" si="3"/>
        <v>0</v>
      </c>
      <c r="L179" s="1241"/>
    </row>
    <row r="180" spans="1:12" ht="18" customHeight="1" outlineLevel="1" x14ac:dyDescent="0.25">
      <c r="A180" s="129"/>
      <c r="B180" s="246" t="s">
        <v>144</v>
      </c>
      <c r="C180" s="236">
        <v>5156</v>
      </c>
      <c r="D180" s="237">
        <f>'Sumář  výdaje kapitol'!C26</f>
        <v>270000</v>
      </c>
      <c r="E180" s="237">
        <f>'Sumář  výdaje kapitol'!D26</f>
        <v>382000</v>
      </c>
      <c r="F180" s="237">
        <v>382000</v>
      </c>
      <c r="G180" s="237">
        <v>382000</v>
      </c>
      <c r="H180" s="237">
        <f>'Sumář  výdaje kapitol'!G26</f>
        <v>400000</v>
      </c>
      <c r="I180" s="237">
        <v>400000</v>
      </c>
      <c r="J180" s="237">
        <f>'Sumář  výdaje kapitol'!I26</f>
        <v>400000</v>
      </c>
      <c r="K180" s="238">
        <f t="shared" si="3"/>
        <v>0</v>
      </c>
      <c r="L180" s="1241"/>
    </row>
    <row r="181" spans="1:12" ht="18" customHeight="1" outlineLevel="1" x14ac:dyDescent="0.25">
      <c r="A181" s="129"/>
      <c r="B181" s="246" t="s">
        <v>145</v>
      </c>
      <c r="C181" s="236">
        <v>5161</v>
      </c>
      <c r="D181" s="237">
        <f>'Sumář  výdaje kapitol'!C27</f>
        <v>544000</v>
      </c>
      <c r="E181" s="237">
        <f>'Sumář  výdaje kapitol'!D27</f>
        <v>650000</v>
      </c>
      <c r="F181" s="237">
        <v>650000</v>
      </c>
      <c r="G181" s="237">
        <v>650000</v>
      </c>
      <c r="H181" s="237">
        <f>'Sumář  výdaje kapitol'!G27</f>
        <v>648000</v>
      </c>
      <c r="I181" s="237">
        <v>648000</v>
      </c>
      <c r="J181" s="237">
        <f>'Sumář  výdaje kapitol'!I27</f>
        <v>648000</v>
      </c>
      <c r="K181" s="238">
        <f t="shared" si="3"/>
        <v>0</v>
      </c>
      <c r="L181" s="1241"/>
    </row>
    <row r="182" spans="1:12" ht="18" customHeight="1" outlineLevel="1" x14ac:dyDescent="0.25">
      <c r="A182" s="129"/>
      <c r="B182" s="246" t="s">
        <v>146</v>
      </c>
      <c r="C182" s="236">
        <v>5162</v>
      </c>
      <c r="D182" s="237">
        <f>'Sumář  výdaje kapitol'!C28</f>
        <v>484000</v>
      </c>
      <c r="E182" s="237">
        <f>'Sumář  výdaje kapitol'!D28</f>
        <v>533000</v>
      </c>
      <c r="F182" s="237">
        <v>533000</v>
      </c>
      <c r="G182" s="237">
        <v>533000</v>
      </c>
      <c r="H182" s="237">
        <f>'Sumář  výdaje kapitol'!G28</f>
        <v>515000</v>
      </c>
      <c r="I182" s="237">
        <v>515000</v>
      </c>
      <c r="J182" s="237">
        <f>'Sumář  výdaje kapitol'!I28</f>
        <v>515000</v>
      </c>
      <c r="K182" s="238">
        <f t="shared" si="3"/>
        <v>0</v>
      </c>
      <c r="L182" s="1241"/>
    </row>
    <row r="183" spans="1:12" ht="18" customHeight="1" outlineLevel="1" x14ac:dyDescent="0.25">
      <c r="A183" s="129"/>
      <c r="B183" s="246" t="s">
        <v>147</v>
      </c>
      <c r="C183" s="236">
        <v>5163</v>
      </c>
      <c r="D183" s="237">
        <f>'Sumář  výdaje kapitol'!C29</f>
        <v>756000</v>
      </c>
      <c r="E183" s="237">
        <f>'Sumář  výdaje kapitol'!D29</f>
        <v>726000</v>
      </c>
      <c r="F183" s="237">
        <v>726000</v>
      </c>
      <c r="G183" s="237">
        <v>751000</v>
      </c>
      <c r="H183" s="237">
        <f>'Sumář  výdaje kapitol'!G29</f>
        <v>752000</v>
      </c>
      <c r="I183" s="237">
        <v>752000</v>
      </c>
      <c r="J183" s="237">
        <f>'Sumář  výdaje kapitol'!I29</f>
        <v>752000</v>
      </c>
      <c r="K183" s="238">
        <f t="shared" si="3"/>
        <v>0</v>
      </c>
      <c r="L183" s="1241"/>
    </row>
    <row r="184" spans="1:12" ht="18" customHeight="1" outlineLevel="1" x14ac:dyDescent="0.25">
      <c r="A184" s="129"/>
      <c r="B184" s="246" t="s">
        <v>148</v>
      </c>
      <c r="C184" s="236">
        <v>5164</v>
      </c>
      <c r="D184" s="237">
        <f>'Sumář  výdaje kapitol'!C30</f>
        <v>1803149</v>
      </c>
      <c r="E184" s="237">
        <f>'Sumář  výdaje kapitol'!D30</f>
        <v>1997219</v>
      </c>
      <c r="F184" s="237">
        <v>2018935</v>
      </c>
      <c r="G184" s="237">
        <v>6139080</v>
      </c>
      <c r="H184" s="237">
        <f>'Sumář  výdaje kapitol'!G30</f>
        <v>2096225</v>
      </c>
      <c r="I184" s="237">
        <v>3854806</v>
      </c>
      <c r="J184" s="237">
        <f>'Sumář  výdaje kapitol'!I30</f>
        <v>3730406</v>
      </c>
      <c r="K184" s="238">
        <f t="shared" si="3"/>
        <v>-124400</v>
      </c>
      <c r="L184" s="1241" t="s">
        <v>1652</v>
      </c>
    </row>
    <row r="185" spans="1:12" ht="18" customHeight="1" outlineLevel="1" x14ac:dyDescent="0.25">
      <c r="A185" s="129"/>
      <c r="B185" s="246" t="s">
        <v>149</v>
      </c>
      <c r="C185" s="236">
        <v>5166</v>
      </c>
      <c r="D185" s="237">
        <f>'Sumář  výdaje kapitol'!C31</f>
        <v>935000</v>
      </c>
      <c r="E185" s="237">
        <f>'Sumář  výdaje kapitol'!D31</f>
        <v>960000</v>
      </c>
      <c r="F185" s="237">
        <v>960000</v>
      </c>
      <c r="G185" s="237">
        <v>960000</v>
      </c>
      <c r="H185" s="237">
        <f>'Sumář  výdaje kapitol'!G31</f>
        <v>1000000</v>
      </c>
      <c r="I185" s="237">
        <v>650000</v>
      </c>
      <c r="J185" s="237">
        <f>'Sumář  výdaje kapitol'!I31</f>
        <v>650000</v>
      </c>
      <c r="K185" s="238">
        <f t="shared" si="3"/>
        <v>0</v>
      </c>
      <c r="L185" s="1241"/>
    </row>
    <row r="186" spans="1:12" ht="18" customHeight="1" outlineLevel="1" x14ac:dyDescent="0.25">
      <c r="A186" s="129"/>
      <c r="B186" s="246" t="s">
        <v>150</v>
      </c>
      <c r="C186" s="236">
        <v>5167</v>
      </c>
      <c r="D186" s="237">
        <f>'Sumář  výdaje kapitol'!C32</f>
        <v>197000</v>
      </c>
      <c r="E186" s="237">
        <f>'Sumář  výdaje kapitol'!D32</f>
        <v>282000</v>
      </c>
      <c r="F186" s="237">
        <v>304000</v>
      </c>
      <c r="G186" s="237">
        <v>349000</v>
      </c>
      <c r="H186" s="237">
        <f>'Sumář  výdaje kapitol'!G32</f>
        <v>353000</v>
      </c>
      <c r="I186" s="237">
        <v>353000</v>
      </c>
      <c r="J186" s="237">
        <f>'Sumář  výdaje kapitol'!I32</f>
        <v>353000</v>
      </c>
      <c r="K186" s="238">
        <f t="shared" si="3"/>
        <v>0</v>
      </c>
      <c r="L186" s="1241"/>
    </row>
    <row r="187" spans="1:12" ht="18" customHeight="1" outlineLevel="1" x14ac:dyDescent="0.25">
      <c r="A187" s="129"/>
      <c r="B187" s="246" t="s">
        <v>151</v>
      </c>
      <c r="C187" s="236">
        <v>5168</v>
      </c>
      <c r="D187" s="237">
        <f>'Sumář  výdaje kapitol'!C33</f>
        <v>405000</v>
      </c>
      <c r="E187" s="237">
        <f>'Sumář  výdaje kapitol'!D33</f>
        <v>275000</v>
      </c>
      <c r="F187" s="237">
        <v>490000</v>
      </c>
      <c r="G187" s="237">
        <v>389000</v>
      </c>
      <c r="H187" s="237">
        <f>'Sumář  výdaje kapitol'!G33</f>
        <v>165000</v>
      </c>
      <c r="I187" s="237">
        <v>515000</v>
      </c>
      <c r="J187" s="237">
        <f>'Sumář  výdaje kapitol'!I33</f>
        <v>515000</v>
      </c>
      <c r="K187" s="238">
        <f t="shared" si="3"/>
        <v>0</v>
      </c>
      <c r="L187" s="1241"/>
    </row>
    <row r="188" spans="1:12" outlineLevel="1" x14ac:dyDescent="0.25">
      <c r="A188" s="258"/>
      <c r="B188" s="259" t="s">
        <v>152</v>
      </c>
      <c r="C188" s="260">
        <v>5169</v>
      </c>
      <c r="D188" s="1263">
        <f>'Sumář  výdaje kapitol'!C34</f>
        <v>15482813</v>
      </c>
      <c r="E188" s="1263">
        <f>'Sumář  výdaje kapitol'!D34</f>
        <v>13901500</v>
      </c>
      <c r="F188" s="1263">
        <v>14838500</v>
      </c>
      <c r="G188" s="1263">
        <v>16463455</v>
      </c>
      <c r="H188" s="237">
        <f>'Sumář  výdaje kapitol'!G34</f>
        <v>16355600</v>
      </c>
      <c r="I188" s="237">
        <v>16827600</v>
      </c>
      <c r="J188" s="237">
        <f>'Sumář  výdaje kapitol'!I34</f>
        <v>17147600</v>
      </c>
      <c r="K188" s="238">
        <f t="shared" si="3"/>
        <v>320000</v>
      </c>
      <c r="L188" s="1241" t="s">
        <v>1647</v>
      </c>
    </row>
    <row r="189" spans="1:12" s="1712" customFormat="1" outlineLevel="1" x14ac:dyDescent="0.25">
      <c r="A189" s="258"/>
      <c r="B189" s="259" t="s">
        <v>153</v>
      </c>
      <c r="C189" s="260">
        <v>5171</v>
      </c>
      <c r="D189" s="1263">
        <f>'Sumář  výdaje kapitol'!C35</f>
        <v>8684188.4600000009</v>
      </c>
      <c r="E189" s="1263">
        <f>'Sumář  výdaje kapitol'!D35</f>
        <v>17695000</v>
      </c>
      <c r="F189" s="1263">
        <v>18331821</v>
      </c>
      <c r="G189" s="1263">
        <v>24454221</v>
      </c>
      <c r="H189" s="237">
        <f>'Sumář  výdaje kapitol'!G35</f>
        <v>12860000</v>
      </c>
      <c r="I189" s="237">
        <v>13460000</v>
      </c>
      <c r="J189" s="237">
        <f>'Sumář  výdaje kapitol'!I35</f>
        <v>13486000</v>
      </c>
      <c r="K189" s="1264">
        <f t="shared" si="3"/>
        <v>26000</v>
      </c>
      <c r="L189" s="1241" t="s">
        <v>1648</v>
      </c>
    </row>
    <row r="190" spans="1:12" ht="18" customHeight="1" outlineLevel="1" x14ac:dyDescent="0.25">
      <c r="A190" s="129"/>
      <c r="B190" s="246" t="s">
        <v>154</v>
      </c>
      <c r="C190" s="236">
        <v>5172</v>
      </c>
      <c r="D190" s="237">
        <f>'Sumář  výdaje kapitol'!C36</f>
        <v>1135000</v>
      </c>
      <c r="E190" s="237">
        <f>'Sumář  výdaje kapitol'!D36</f>
        <v>1440000</v>
      </c>
      <c r="F190" s="237">
        <v>1444800</v>
      </c>
      <c r="G190" s="237">
        <v>1134800</v>
      </c>
      <c r="H190" s="237">
        <f>'Sumář  výdaje kapitol'!G36</f>
        <v>1591000</v>
      </c>
      <c r="I190" s="237">
        <v>1591000</v>
      </c>
      <c r="J190" s="237">
        <f>'Sumář  výdaje kapitol'!I36</f>
        <v>1591000</v>
      </c>
      <c r="K190" s="238">
        <f t="shared" si="3"/>
        <v>0</v>
      </c>
      <c r="L190" s="1241"/>
    </row>
    <row r="191" spans="1:12" ht="18" customHeight="1" outlineLevel="1" x14ac:dyDescent="0.25">
      <c r="A191" s="129"/>
      <c r="B191" s="246" t="s">
        <v>155</v>
      </c>
      <c r="C191" s="236">
        <v>5173</v>
      </c>
      <c r="D191" s="237">
        <f>'Sumář  výdaje kapitol'!C37</f>
        <v>67000</v>
      </c>
      <c r="E191" s="237">
        <f>'Sumář  výdaje kapitol'!D37</f>
        <v>68000</v>
      </c>
      <c r="F191" s="237">
        <v>68000</v>
      </c>
      <c r="G191" s="237">
        <v>68000</v>
      </c>
      <c r="H191" s="237">
        <f>'Sumář  výdaje kapitol'!G37</f>
        <v>77000</v>
      </c>
      <c r="I191" s="237">
        <v>77000</v>
      </c>
      <c r="J191" s="237">
        <f>'Sumář  výdaje kapitol'!I37</f>
        <v>77000</v>
      </c>
      <c r="K191" s="238">
        <f t="shared" si="3"/>
        <v>0</v>
      </c>
      <c r="L191" s="1241"/>
    </row>
    <row r="192" spans="1:12" ht="18" customHeight="1" outlineLevel="1" x14ac:dyDescent="0.25">
      <c r="A192" s="129"/>
      <c r="B192" s="246" t="s">
        <v>156</v>
      </c>
      <c r="C192" s="236">
        <v>5175</v>
      </c>
      <c r="D192" s="237">
        <f>'Sumář  výdaje kapitol'!C38</f>
        <v>218000</v>
      </c>
      <c r="E192" s="237">
        <f>'Sumář  výdaje kapitol'!D38</f>
        <v>318000</v>
      </c>
      <c r="F192" s="237">
        <v>318000</v>
      </c>
      <c r="G192" s="237">
        <v>318000</v>
      </c>
      <c r="H192" s="237">
        <f>'Sumář  výdaje kapitol'!G38</f>
        <v>353000</v>
      </c>
      <c r="I192" s="237">
        <v>353000</v>
      </c>
      <c r="J192" s="237">
        <f>'Sumář  výdaje kapitol'!I38</f>
        <v>353000</v>
      </c>
      <c r="K192" s="238">
        <f t="shared" si="3"/>
        <v>0</v>
      </c>
      <c r="L192" s="1241"/>
    </row>
    <row r="193" spans="1:12" ht="18" hidden="1" customHeight="1" outlineLevel="1" x14ac:dyDescent="0.25">
      <c r="A193" s="129"/>
      <c r="B193" s="246" t="s">
        <v>157</v>
      </c>
      <c r="C193" s="236">
        <v>5179</v>
      </c>
      <c r="D193" s="237">
        <f>'Sumář  výdaje kapitol'!C39</f>
        <v>0</v>
      </c>
      <c r="E193" s="237">
        <f>'Sumář  výdaje kapitol'!D39</f>
        <v>0</v>
      </c>
      <c r="F193" s="237">
        <v>0</v>
      </c>
      <c r="G193" s="237">
        <v>0</v>
      </c>
      <c r="H193" s="237">
        <f>'Sumář  výdaje kapitol'!G39</f>
        <v>0</v>
      </c>
      <c r="I193" s="237">
        <v>0</v>
      </c>
      <c r="J193" s="237">
        <f>'Sumář  výdaje kapitol'!I39</f>
        <v>0</v>
      </c>
      <c r="K193" s="238">
        <f t="shared" si="3"/>
        <v>0</v>
      </c>
      <c r="L193" s="1241"/>
    </row>
    <row r="194" spans="1:12" ht="18" customHeight="1" outlineLevel="1" x14ac:dyDescent="0.25">
      <c r="A194" s="129"/>
      <c r="B194" s="246" t="s">
        <v>624</v>
      </c>
      <c r="C194" s="236">
        <v>5192</v>
      </c>
      <c r="D194" s="237">
        <f>'Sumář  výdaje kapitol'!C40</f>
        <v>130000</v>
      </c>
      <c r="E194" s="237">
        <f>'Sumář  výdaje kapitol'!D40</f>
        <v>135000</v>
      </c>
      <c r="F194" s="237">
        <v>135000</v>
      </c>
      <c r="G194" s="237">
        <v>135000</v>
      </c>
      <c r="H194" s="237">
        <f>'Sumář  výdaje kapitol'!G40</f>
        <v>135000</v>
      </c>
      <c r="I194" s="237">
        <v>135000</v>
      </c>
      <c r="J194" s="237">
        <f>'Sumář  výdaje kapitol'!I40</f>
        <v>135000</v>
      </c>
      <c r="K194" s="238">
        <f t="shared" si="3"/>
        <v>0</v>
      </c>
      <c r="L194" s="1241"/>
    </row>
    <row r="195" spans="1:12" ht="18" customHeight="1" outlineLevel="1" x14ac:dyDescent="0.25">
      <c r="A195" s="129"/>
      <c r="B195" s="246" t="s">
        <v>158</v>
      </c>
      <c r="C195" s="236">
        <v>5193</v>
      </c>
      <c r="D195" s="237">
        <f>'Sumář  výdaje kapitol'!C41</f>
        <v>1350000</v>
      </c>
      <c r="E195" s="237">
        <f>'Sumář  výdaje kapitol'!D41</f>
        <v>1000000</v>
      </c>
      <c r="F195" s="237">
        <v>1250000</v>
      </c>
      <c r="G195" s="237">
        <v>1250000</v>
      </c>
      <c r="H195" s="237">
        <f>'Sumář  výdaje kapitol'!G41</f>
        <v>1250000</v>
      </c>
      <c r="I195" s="237">
        <v>1250000</v>
      </c>
      <c r="J195" s="237">
        <f>'Sumář  výdaje kapitol'!I41</f>
        <v>1250000</v>
      </c>
      <c r="K195" s="238">
        <f t="shared" si="3"/>
        <v>0</v>
      </c>
      <c r="L195" s="1241"/>
    </row>
    <row r="196" spans="1:12" ht="18" customHeight="1" outlineLevel="1" x14ac:dyDescent="0.25">
      <c r="A196" s="129"/>
      <c r="B196" s="246" t="s">
        <v>159</v>
      </c>
      <c r="C196" s="236">
        <v>5194</v>
      </c>
      <c r="D196" s="237">
        <f>'Sumář  výdaje kapitol'!C42</f>
        <v>150000</v>
      </c>
      <c r="E196" s="237">
        <f>'Sumář  výdaje kapitol'!D42</f>
        <v>195000</v>
      </c>
      <c r="F196" s="237">
        <v>195000</v>
      </c>
      <c r="G196" s="237">
        <v>245000</v>
      </c>
      <c r="H196" s="237">
        <f>'Sumář  výdaje kapitol'!G42</f>
        <v>250000</v>
      </c>
      <c r="I196" s="237">
        <v>250000</v>
      </c>
      <c r="J196" s="237">
        <f>'Sumář  výdaje kapitol'!I42</f>
        <v>270000</v>
      </c>
      <c r="K196" s="238">
        <f t="shared" si="3"/>
        <v>20000</v>
      </c>
      <c r="L196" s="1241" t="s">
        <v>1653</v>
      </c>
    </row>
    <row r="197" spans="1:12" ht="18" customHeight="1" outlineLevel="1" x14ac:dyDescent="0.25">
      <c r="A197" s="129"/>
      <c r="B197" s="246" t="s">
        <v>160</v>
      </c>
      <c r="C197" s="236">
        <v>5329</v>
      </c>
      <c r="D197" s="237">
        <f>'Sumář  výdaje kapitol'!C43</f>
        <v>535500</v>
      </c>
      <c r="E197" s="237">
        <f>'Sumář  výdaje kapitol'!D43</f>
        <v>537000</v>
      </c>
      <c r="F197" s="237">
        <v>537000</v>
      </c>
      <c r="G197" s="237">
        <v>555000</v>
      </c>
      <c r="H197" s="237">
        <f>'Sumář  výdaje kapitol'!G43</f>
        <v>869500</v>
      </c>
      <c r="I197" s="237">
        <v>869500</v>
      </c>
      <c r="J197" s="237">
        <f>'Sumář  výdaje kapitol'!I43</f>
        <v>869500</v>
      </c>
      <c r="K197" s="238">
        <f t="shared" si="3"/>
        <v>0</v>
      </c>
      <c r="L197" s="1241"/>
    </row>
    <row r="198" spans="1:12" ht="18" customHeight="1" outlineLevel="1" x14ac:dyDescent="0.25">
      <c r="A198" s="129"/>
      <c r="B198" s="246" t="s">
        <v>161</v>
      </c>
      <c r="C198" s="236">
        <v>5331</v>
      </c>
      <c r="D198" s="237">
        <f>'Sumář  výdaje kapitol'!C44</f>
        <v>15099725</v>
      </c>
      <c r="E198" s="237">
        <f>'Sumář  výdaje kapitol'!D44</f>
        <v>17450000</v>
      </c>
      <c r="F198" s="237">
        <v>17450000</v>
      </c>
      <c r="G198" s="237">
        <v>17773055</v>
      </c>
      <c r="H198" s="237">
        <f>'Sumář  výdaje kapitol'!G44</f>
        <v>20950000</v>
      </c>
      <c r="I198" s="237">
        <v>21050000</v>
      </c>
      <c r="J198" s="237">
        <f>'Sumář  výdaje kapitol'!I44</f>
        <v>21193000</v>
      </c>
      <c r="K198" s="238">
        <f t="shared" si="3"/>
        <v>143000</v>
      </c>
      <c r="L198" s="1844" t="s">
        <v>1654</v>
      </c>
    </row>
    <row r="199" spans="1:12" ht="18" hidden="1" customHeight="1" outlineLevel="1" x14ac:dyDescent="0.25">
      <c r="A199" s="129"/>
      <c r="B199" s="246"/>
      <c r="C199" s="236"/>
      <c r="D199" s="237"/>
      <c r="E199" s="237"/>
      <c r="F199" s="237">
        <v>0</v>
      </c>
      <c r="G199" s="237">
        <v>0</v>
      </c>
      <c r="H199" s="237">
        <f>'Sumář  výdaje kapitol'!G45</f>
        <v>0</v>
      </c>
      <c r="I199" s="237">
        <v>0</v>
      </c>
      <c r="J199" s="237">
        <f>'Sumář  výdaje kapitol'!I45</f>
        <v>0</v>
      </c>
      <c r="K199" s="238">
        <f t="shared" si="3"/>
        <v>0</v>
      </c>
      <c r="L199" s="1844"/>
    </row>
    <row r="200" spans="1:12" ht="18" customHeight="1" outlineLevel="1" x14ac:dyDescent="0.25">
      <c r="A200" s="129"/>
      <c r="B200" s="246" t="s">
        <v>162</v>
      </c>
      <c r="C200" s="236">
        <v>5361</v>
      </c>
      <c r="D200" s="237">
        <f>'Sumář  výdaje kapitol'!C46</f>
        <v>13000</v>
      </c>
      <c r="E200" s="237">
        <f>'Sumář  výdaje kapitol'!D46</f>
        <v>10000</v>
      </c>
      <c r="F200" s="237">
        <v>10000</v>
      </c>
      <c r="G200" s="237">
        <v>10000</v>
      </c>
      <c r="H200" s="237">
        <f>'Sumář  výdaje kapitol'!G46</f>
        <v>37000</v>
      </c>
      <c r="I200" s="237">
        <v>37000</v>
      </c>
      <c r="J200" s="237">
        <f>'Sumář  výdaje kapitol'!I46</f>
        <v>37000</v>
      </c>
      <c r="K200" s="238">
        <f t="shared" si="3"/>
        <v>0</v>
      </c>
      <c r="L200" s="1844"/>
    </row>
    <row r="201" spans="1:12" ht="18" customHeight="1" outlineLevel="1" x14ac:dyDescent="0.25">
      <c r="A201" s="129"/>
      <c r="B201" s="246" t="s">
        <v>163</v>
      </c>
      <c r="C201" s="236">
        <v>5362</v>
      </c>
      <c r="D201" s="237">
        <f>'Sumář  výdaje kapitol'!C47</f>
        <v>3718116</v>
      </c>
      <c r="E201" s="237">
        <f>'Sumář  výdaje kapitol'!D47</f>
        <v>1186314</v>
      </c>
      <c r="F201" s="237">
        <v>1186314</v>
      </c>
      <c r="G201" s="237">
        <v>2123000</v>
      </c>
      <c r="H201" s="237">
        <f>'Sumář  výdaje kapitol'!G47</f>
        <v>1240000</v>
      </c>
      <c r="I201" s="237">
        <v>740000</v>
      </c>
      <c r="J201" s="237">
        <f>'Sumář  výdaje kapitol'!I47</f>
        <v>740000</v>
      </c>
      <c r="K201" s="238">
        <f t="shared" si="3"/>
        <v>0</v>
      </c>
      <c r="L201" s="1844"/>
    </row>
    <row r="202" spans="1:12" ht="18" hidden="1" customHeight="1" outlineLevel="1" x14ac:dyDescent="0.25">
      <c r="A202" s="129"/>
      <c r="B202" s="246" t="s">
        <v>164</v>
      </c>
      <c r="C202" s="236">
        <v>5410</v>
      </c>
      <c r="D202" s="237">
        <f>'Sumář  výdaje kapitol'!C48</f>
        <v>0</v>
      </c>
      <c r="E202" s="237">
        <f>'Sumář  výdaje kapitol'!D48</f>
        <v>0</v>
      </c>
      <c r="F202" s="237">
        <v>0</v>
      </c>
      <c r="G202" s="237">
        <v>0</v>
      </c>
      <c r="H202" s="237">
        <f>'Sumář  výdaje kapitol'!G48</f>
        <v>0</v>
      </c>
      <c r="I202" s="237">
        <v>0</v>
      </c>
      <c r="J202" s="237">
        <f>'Sumář  výdaje kapitol'!I48</f>
        <v>0</v>
      </c>
      <c r="K202" s="238">
        <f t="shared" si="3"/>
        <v>0</v>
      </c>
      <c r="L202" s="1241"/>
    </row>
    <row r="203" spans="1:12" ht="18" customHeight="1" outlineLevel="1" x14ac:dyDescent="0.25">
      <c r="A203" s="129"/>
      <c r="B203" s="246" t="s">
        <v>165</v>
      </c>
      <c r="C203" s="236">
        <v>5492</v>
      </c>
      <c r="D203" s="237">
        <f>'Sumář  výdaje kapitol'!C49</f>
        <v>60000</v>
      </c>
      <c r="E203" s="237">
        <f>'Sumář  výdaje kapitol'!D49</f>
        <v>130000</v>
      </c>
      <c r="F203" s="237">
        <v>130000</v>
      </c>
      <c r="G203" s="237">
        <v>330000</v>
      </c>
      <c r="H203" s="237">
        <f>'Sumář  výdaje kapitol'!G49</f>
        <v>430000</v>
      </c>
      <c r="I203" s="237">
        <v>430000</v>
      </c>
      <c r="J203" s="237">
        <f>'Sumář  výdaje kapitol'!I49</f>
        <v>1080000</v>
      </c>
      <c r="K203" s="238">
        <f t="shared" si="3"/>
        <v>650000</v>
      </c>
      <c r="L203" s="1241" t="s">
        <v>1657</v>
      </c>
    </row>
    <row r="204" spans="1:12" ht="18" customHeight="1" outlineLevel="1" x14ac:dyDescent="0.25">
      <c r="A204" s="129"/>
      <c r="B204" s="246" t="s">
        <v>166</v>
      </c>
      <c r="C204" s="236">
        <v>5499</v>
      </c>
      <c r="D204" s="237">
        <f>'Sumář  výdaje kapitol'!C50</f>
        <v>636090</v>
      </c>
      <c r="E204" s="237">
        <f>'Sumář  výdaje kapitol'!D50</f>
        <v>885200</v>
      </c>
      <c r="F204" s="237">
        <v>885200</v>
      </c>
      <c r="G204" s="237">
        <v>885200</v>
      </c>
      <c r="H204" s="237">
        <f>'Sumář  výdaje kapitol'!G50</f>
        <v>1300000</v>
      </c>
      <c r="I204" s="237">
        <v>1300000</v>
      </c>
      <c r="J204" s="237">
        <f>'Sumář  výdaje kapitol'!I50</f>
        <v>1300000</v>
      </c>
      <c r="K204" s="238">
        <f t="shared" si="3"/>
        <v>0</v>
      </c>
      <c r="L204" s="1241"/>
    </row>
    <row r="205" spans="1:12" ht="18" customHeight="1" outlineLevel="1" x14ac:dyDescent="0.25">
      <c r="A205" s="129"/>
      <c r="B205" s="246" t="s">
        <v>167</v>
      </c>
      <c r="C205" s="236">
        <v>5222</v>
      </c>
      <c r="D205" s="237">
        <f>'Sumář  výdaje kapitol'!C51</f>
        <v>1100000</v>
      </c>
      <c r="E205" s="237">
        <f>'Sumář  výdaje kapitol'!D51</f>
        <v>1100000</v>
      </c>
      <c r="F205" s="237">
        <v>1100000</v>
      </c>
      <c r="G205" s="237">
        <v>1350000</v>
      </c>
      <c r="H205" s="237">
        <f>'Sumář  výdaje kapitol'!G51</f>
        <v>1500000</v>
      </c>
      <c r="I205" s="237">
        <v>1500000</v>
      </c>
      <c r="J205" s="237">
        <f>'Sumář  výdaje kapitol'!I51</f>
        <v>1450000</v>
      </c>
      <c r="K205" s="238">
        <f t="shared" si="3"/>
        <v>-50000</v>
      </c>
      <c r="L205" s="1241" t="s">
        <v>1639</v>
      </c>
    </row>
    <row r="206" spans="1:12" ht="18" hidden="1" customHeight="1" outlineLevel="1" x14ac:dyDescent="0.25">
      <c r="A206" s="129"/>
      <c r="B206" s="246" t="s">
        <v>1374</v>
      </c>
      <c r="C206" s="236">
        <v>5651</v>
      </c>
      <c r="D206" s="237"/>
      <c r="E206" s="237"/>
      <c r="F206" s="237"/>
      <c r="G206" s="237">
        <v>0</v>
      </c>
      <c r="H206" s="237"/>
      <c r="I206" s="237"/>
      <c r="J206" s="237"/>
      <c r="K206" s="238">
        <f t="shared" si="3"/>
        <v>0</v>
      </c>
      <c r="L206" s="1241"/>
    </row>
    <row r="207" spans="1:12" ht="18" hidden="1" customHeight="1" outlineLevel="1" x14ac:dyDescent="0.25">
      <c r="A207" s="129"/>
      <c r="B207" s="246" t="s">
        <v>168</v>
      </c>
      <c r="C207" s="236">
        <v>5909</v>
      </c>
      <c r="D207" s="237">
        <f>'Sumář  výdaje kapitol'!C52</f>
        <v>0</v>
      </c>
      <c r="E207" s="237">
        <f>'Sumář  výdaje kapitol'!I52</f>
        <v>0</v>
      </c>
      <c r="F207" s="237">
        <v>0</v>
      </c>
      <c r="G207" s="237">
        <v>0</v>
      </c>
      <c r="H207" s="237">
        <f>'Sumář  výdaje kapitol'!K52</f>
        <v>0</v>
      </c>
      <c r="I207" s="237">
        <v>0</v>
      </c>
      <c r="J207" s="237">
        <f>'Sumář  výdaje kapitol'!S52</f>
        <v>0</v>
      </c>
      <c r="K207" s="238">
        <f t="shared" si="3"/>
        <v>0</v>
      </c>
      <c r="L207" s="1241"/>
    </row>
    <row r="208" spans="1:12" ht="18" hidden="1" customHeight="1" outlineLevel="1" x14ac:dyDescent="0.25">
      <c r="A208" s="129"/>
      <c r="B208" s="246" t="s">
        <v>169</v>
      </c>
      <c r="C208" s="236">
        <v>5909</v>
      </c>
      <c r="D208" s="237">
        <f>'Sumář  výdaje kapitol'!C54</f>
        <v>0</v>
      </c>
      <c r="E208" s="237">
        <f>'Sumář  výdaje kapitol'!I54</f>
        <v>0</v>
      </c>
      <c r="F208" s="237">
        <v>0</v>
      </c>
      <c r="G208" s="237">
        <v>0</v>
      </c>
      <c r="H208" s="237">
        <f>'Sumář  výdaje kapitol'!K54</f>
        <v>0</v>
      </c>
      <c r="I208" s="237">
        <v>0</v>
      </c>
      <c r="J208" s="237">
        <f>'Sumář  výdaje kapitol'!S54</f>
        <v>0</v>
      </c>
      <c r="K208" s="238">
        <f t="shared" si="3"/>
        <v>0</v>
      </c>
      <c r="L208" s="1241"/>
    </row>
    <row r="209" spans="1:12" ht="18" customHeight="1" outlineLevel="1" x14ac:dyDescent="0.25">
      <c r="A209" s="129"/>
      <c r="B209" s="246" t="s">
        <v>11</v>
      </c>
      <c r="C209" s="236">
        <v>5141</v>
      </c>
      <c r="D209" s="237">
        <f>'Sumář  výdaje kapitol'!C57</f>
        <v>2400000</v>
      </c>
      <c r="E209" s="237">
        <f>'Sumář  výdaje kapitol'!D57</f>
        <v>1455000</v>
      </c>
      <c r="F209" s="237">
        <v>1785000</v>
      </c>
      <c r="G209" s="237">
        <v>1785000</v>
      </c>
      <c r="H209" s="237">
        <f>'Sumář  výdaje kapitol'!G57</f>
        <v>1736409.0776</v>
      </c>
      <c r="I209" s="237">
        <v>1736409.0776</v>
      </c>
      <c r="J209" s="237">
        <f>'Sumář  výdaje kapitol'!I57</f>
        <v>1736409.0776</v>
      </c>
      <c r="K209" s="238">
        <f t="shared" si="3"/>
        <v>0</v>
      </c>
      <c r="L209" s="1241"/>
    </row>
    <row r="210" spans="1:12" x14ac:dyDescent="0.25">
      <c r="A210" s="129"/>
      <c r="B210" s="246" t="s">
        <v>1344</v>
      </c>
      <c r="C210" s="236">
        <v>5144</v>
      </c>
      <c r="D210" s="237"/>
      <c r="E210" s="237"/>
      <c r="F210" s="237"/>
      <c r="G210" s="237">
        <v>1554732</v>
      </c>
      <c r="H210" s="237">
        <f>'Sumář  výdaje kapitol'!G58</f>
        <v>479732</v>
      </c>
      <c r="I210" s="237">
        <v>479732</v>
      </c>
      <c r="J210" s="237">
        <f>'Sumář  výdaje kapitol'!I58</f>
        <v>479732</v>
      </c>
      <c r="K210" s="238">
        <f t="shared" si="3"/>
        <v>0</v>
      </c>
      <c r="L210" s="1241"/>
    </row>
    <row r="211" spans="1:12" s="1689" customFormat="1" ht="16.5" thickBot="1" x14ac:dyDescent="0.3">
      <c r="A211" s="243" t="s">
        <v>376</v>
      </c>
      <c r="B211" s="261" t="s">
        <v>377</v>
      </c>
      <c r="C211" s="244"/>
      <c r="D211" s="245">
        <f t="shared" ref="D211:J211" si="4">SUM(D212:D221)</f>
        <v>38027339.879999995</v>
      </c>
      <c r="E211" s="245">
        <f t="shared" si="4"/>
        <v>38137462</v>
      </c>
      <c r="F211" s="245">
        <f t="shared" si="4"/>
        <v>145357064</v>
      </c>
      <c r="G211" s="245">
        <f t="shared" si="4"/>
        <v>98072527</v>
      </c>
      <c r="H211" s="245">
        <f t="shared" si="4"/>
        <v>115416958</v>
      </c>
      <c r="I211" s="245">
        <v>115868936.96000001</v>
      </c>
      <c r="J211" s="245">
        <f t="shared" si="4"/>
        <v>117979196.96000001</v>
      </c>
      <c r="K211" s="1289">
        <f t="shared" si="3"/>
        <v>2110260</v>
      </c>
      <c r="L211" s="1243"/>
    </row>
    <row r="212" spans="1:12" ht="21" hidden="1" customHeight="1" outlineLevel="1" x14ac:dyDescent="0.25">
      <c r="A212" s="129"/>
      <c r="B212" s="246" t="s">
        <v>154</v>
      </c>
      <c r="C212" s="236">
        <v>6111</v>
      </c>
      <c r="D212" s="237">
        <f>'Sumář  výdaje kapitol'!C61</f>
        <v>0</v>
      </c>
      <c r="E212" s="237">
        <f>'Sumář  výdaje kapitol'!D61</f>
        <v>0</v>
      </c>
      <c r="F212" s="237">
        <v>0</v>
      </c>
      <c r="G212" s="237">
        <v>0</v>
      </c>
      <c r="H212" s="237">
        <f>'Sumář  výdaje kapitol'!I61</f>
        <v>0</v>
      </c>
      <c r="I212" s="237">
        <v>0</v>
      </c>
      <c r="J212" s="237">
        <f>'Sumář  výdaje kapitol'!Q61</f>
        <v>0</v>
      </c>
      <c r="K212" s="238">
        <f t="shared" si="3"/>
        <v>0</v>
      </c>
      <c r="L212" s="1241"/>
    </row>
    <row r="213" spans="1:12" s="1712" customFormat="1" outlineLevel="1" x14ac:dyDescent="0.2">
      <c r="A213" s="258"/>
      <c r="B213" s="259" t="s">
        <v>173</v>
      </c>
      <c r="C213" s="260">
        <v>6121</v>
      </c>
      <c r="D213" s="1263">
        <f>'Sumář  výdaje kapitol'!C62</f>
        <v>19325133</v>
      </c>
      <c r="E213" s="1263">
        <f>'Sumář  výdaje kapitol'!D62</f>
        <v>16895310</v>
      </c>
      <c r="F213" s="1263">
        <v>121967218</v>
      </c>
      <c r="G213" s="1263">
        <v>79106127</v>
      </c>
      <c r="H213" s="1263">
        <f>'Sumář  výdaje kapitol'!G62</f>
        <v>88197078</v>
      </c>
      <c r="I213" s="1263">
        <v>91851856.960000008</v>
      </c>
      <c r="J213" s="1263">
        <f>'Sumář  výdaje kapitol'!I62</f>
        <v>93030616.960000008</v>
      </c>
      <c r="K213" s="1264">
        <f t="shared" si="3"/>
        <v>1178760</v>
      </c>
      <c r="L213" s="1841" t="s">
        <v>1649</v>
      </c>
    </row>
    <row r="214" spans="1:12" s="1712" customFormat="1" outlineLevel="1" x14ac:dyDescent="0.25">
      <c r="A214" s="258"/>
      <c r="B214" s="259" t="s">
        <v>174</v>
      </c>
      <c r="C214" s="260">
        <v>6121</v>
      </c>
      <c r="D214" s="237">
        <f>'Sumář  výdaje kapitol'!C63</f>
        <v>7781541.8799999999</v>
      </c>
      <c r="E214" s="237">
        <f>'Sumář  výdaje kapitol'!D63</f>
        <v>12614452</v>
      </c>
      <c r="F214" s="237">
        <v>12404330</v>
      </c>
      <c r="G214" s="237">
        <v>6356675</v>
      </c>
      <c r="H214" s="237">
        <f>'Sumář  výdaje kapitol'!G63</f>
        <v>8473335</v>
      </c>
      <c r="I214" s="237">
        <v>6770535</v>
      </c>
      <c r="J214" s="237">
        <f>'Sumář  výdaje kapitol'!I63</f>
        <v>7322535</v>
      </c>
      <c r="K214" s="1264">
        <f t="shared" si="3"/>
        <v>552000</v>
      </c>
      <c r="L214" s="1841" t="s">
        <v>1649</v>
      </c>
    </row>
    <row r="215" spans="1:12" outlineLevel="1" x14ac:dyDescent="0.25">
      <c r="A215" s="258"/>
      <c r="B215" s="259" t="s">
        <v>175</v>
      </c>
      <c r="C215" s="260">
        <v>6122</v>
      </c>
      <c r="D215" s="1263">
        <f>'Sumář  výdaje kapitol'!C64</f>
        <v>0</v>
      </c>
      <c r="E215" s="1263">
        <f>'Sumář  výdaje kapitol'!D64</f>
        <v>0</v>
      </c>
      <c r="F215" s="1263">
        <v>0</v>
      </c>
      <c r="G215" s="1263">
        <v>570000</v>
      </c>
      <c r="H215" s="1263">
        <f>'Sumář  výdaje kapitol'!G64</f>
        <v>85000</v>
      </c>
      <c r="I215" s="1263">
        <v>85000</v>
      </c>
      <c r="J215" s="1263">
        <f>'Sumář  výdaje kapitol'!I64</f>
        <v>85000</v>
      </c>
      <c r="K215" s="238">
        <f t="shared" si="3"/>
        <v>0</v>
      </c>
      <c r="L215" s="1241"/>
    </row>
    <row r="216" spans="1:12" ht="18.75" customHeight="1" outlineLevel="1" x14ac:dyDescent="0.25">
      <c r="A216" s="129"/>
      <c r="B216" s="246" t="s">
        <v>176</v>
      </c>
      <c r="C216" s="236">
        <v>6123</v>
      </c>
      <c r="D216" s="237">
        <f>'Sumář  výdaje kapitol'!C65</f>
        <v>679000</v>
      </c>
      <c r="E216" s="237">
        <f>'Sumář  výdaje kapitol'!D65</f>
        <v>850000</v>
      </c>
      <c r="F216" s="237">
        <v>850000</v>
      </c>
      <c r="G216" s="237">
        <v>1081175</v>
      </c>
      <c r="H216" s="237">
        <f>'Sumář  výdaje kapitol'!G65</f>
        <v>350000</v>
      </c>
      <c r="I216" s="237">
        <v>350000</v>
      </c>
      <c r="J216" s="237">
        <f>'Sumář  výdaje kapitol'!I65</f>
        <v>0</v>
      </c>
      <c r="K216" s="238">
        <f t="shared" si="3"/>
        <v>-350000</v>
      </c>
      <c r="L216" s="1841" t="s">
        <v>1649</v>
      </c>
    </row>
    <row r="217" spans="1:12" ht="18.75" customHeight="1" outlineLevel="1" x14ac:dyDescent="0.25">
      <c r="A217" s="129"/>
      <c r="B217" s="246" t="s">
        <v>177</v>
      </c>
      <c r="C217" s="236">
        <v>6125</v>
      </c>
      <c r="D217" s="237">
        <f>'Sumář  výdaje kapitol'!C66</f>
        <v>0</v>
      </c>
      <c r="E217" s="237">
        <f>'Sumář  výdaje kapitol'!D66</f>
        <v>1000000</v>
      </c>
      <c r="F217" s="237">
        <v>1000000</v>
      </c>
      <c r="G217" s="237">
        <v>638000</v>
      </c>
      <c r="H217" s="237">
        <f>'Sumář  výdaje kapitol'!G66</f>
        <v>12071545</v>
      </c>
      <c r="I217" s="237">
        <v>12071545</v>
      </c>
      <c r="J217" s="237">
        <f>'Sumář  výdaje kapitol'!I66</f>
        <v>12071545</v>
      </c>
      <c r="K217" s="238">
        <f t="shared" si="3"/>
        <v>0</v>
      </c>
      <c r="L217" s="1241"/>
    </row>
    <row r="218" spans="1:12" ht="18.75" hidden="1" customHeight="1" outlineLevel="1" x14ac:dyDescent="0.25">
      <c r="A218" s="129"/>
      <c r="B218" s="246" t="s">
        <v>178</v>
      </c>
      <c r="C218" s="236">
        <v>6129</v>
      </c>
      <c r="D218" s="237">
        <f>'Sumář  výdaje kapitol'!C67</f>
        <v>0</v>
      </c>
      <c r="E218" s="237">
        <f>'Sumář  výdaje kapitol'!D67</f>
        <v>0</v>
      </c>
      <c r="F218" s="237">
        <v>0</v>
      </c>
      <c r="G218" s="237">
        <v>0</v>
      </c>
      <c r="H218" s="237">
        <f>'Sumář  výdaje kapitol'!I67</f>
        <v>0</v>
      </c>
      <c r="I218" s="237">
        <v>0</v>
      </c>
      <c r="J218" s="237">
        <f>'Sumář  výdaje kapitol'!Q67</f>
        <v>0</v>
      </c>
      <c r="K218" s="238">
        <f t="shared" si="3"/>
        <v>0</v>
      </c>
      <c r="L218" s="1241"/>
    </row>
    <row r="219" spans="1:12" ht="18.75" customHeight="1" outlineLevel="1" x14ac:dyDescent="0.25">
      <c r="A219" s="129"/>
      <c r="B219" s="246" t="s">
        <v>179</v>
      </c>
      <c r="C219" s="236">
        <v>6130</v>
      </c>
      <c r="D219" s="237">
        <f>'Sumář  výdaje kapitol'!C68</f>
        <v>6679730</v>
      </c>
      <c r="E219" s="237">
        <f>'Sumář  výdaje kapitol'!D68</f>
        <v>1577700</v>
      </c>
      <c r="F219" s="237">
        <v>3577700</v>
      </c>
      <c r="G219" s="237">
        <v>4562700</v>
      </c>
      <c r="H219" s="237">
        <f>'Sumář  výdaje kapitol'!G68</f>
        <v>1100000</v>
      </c>
      <c r="I219" s="237">
        <v>600000</v>
      </c>
      <c r="J219" s="237">
        <f>'Sumář  výdaje kapitol'!I68</f>
        <v>584500</v>
      </c>
      <c r="K219" s="238">
        <f t="shared" si="3"/>
        <v>-15500</v>
      </c>
      <c r="L219" s="1841" t="s">
        <v>1649</v>
      </c>
    </row>
    <row r="220" spans="1:12" ht="18.75" customHeight="1" outlineLevel="1" x14ac:dyDescent="0.25">
      <c r="A220" s="129"/>
      <c r="B220" s="246" t="s">
        <v>502</v>
      </c>
      <c r="C220" s="236">
        <v>6351</v>
      </c>
      <c r="D220" s="237">
        <f>'Sumář  výdaje kapitol'!C69</f>
        <v>2061935</v>
      </c>
      <c r="E220" s="237">
        <f>'Sumář  výdaje kapitol'!D69</f>
        <v>3700000</v>
      </c>
      <c r="F220" s="237">
        <v>4057816</v>
      </c>
      <c r="G220" s="237">
        <v>4257850</v>
      </c>
      <c r="H220" s="237">
        <f>'Sumář  výdaje kapitol'!G69</f>
        <v>3640000</v>
      </c>
      <c r="I220" s="237">
        <v>3640000</v>
      </c>
      <c r="J220" s="237">
        <f>'Sumář  výdaje kapitol'!I69</f>
        <v>3640000</v>
      </c>
      <c r="K220" s="238">
        <f t="shared" si="3"/>
        <v>0</v>
      </c>
      <c r="L220" s="1241"/>
    </row>
    <row r="221" spans="1:12" ht="18.75" customHeight="1" outlineLevel="1" x14ac:dyDescent="0.25">
      <c r="A221" s="129"/>
      <c r="B221" s="246" t="s">
        <v>182</v>
      </c>
      <c r="C221" s="236">
        <v>6349</v>
      </c>
      <c r="D221" s="237">
        <f>'Sumář  výdaje kapitol'!C72</f>
        <v>1500000</v>
      </c>
      <c r="E221" s="237">
        <f>'Sumář  výdaje kapitol'!D72</f>
        <v>1500000</v>
      </c>
      <c r="F221" s="237">
        <v>1500000</v>
      </c>
      <c r="G221" s="237">
        <v>1500000</v>
      </c>
      <c r="H221" s="237">
        <f>'Sumář  výdaje kapitol'!G72</f>
        <v>1500000</v>
      </c>
      <c r="I221" s="237">
        <v>500000</v>
      </c>
      <c r="J221" s="237">
        <f>'Sumář  výdaje kapitol'!I72</f>
        <v>1245000</v>
      </c>
      <c r="K221" s="238">
        <f t="shared" si="3"/>
        <v>745000</v>
      </c>
      <c r="L221" s="1241"/>
    </row>
    <row r="222" spans="1:12" hidden="1" x14ac:dyDescent="0.25">
      <c r="A222" s="129"/>
      <c r="B222" s="129"/>
      <c r="C222" s="236"/>
      <c r="D222" s="237"/>
      <c r="E222" s="237"/>
      <c r="F222" s="237"/>
      <c r="G222" s="237"/>
      <c r="H222" s="237"/>
      <c r="I222" s="237"/>
      <c r="J222" s="237"/>
      <c r="K222" s="238">
        <f t="shared" si="3"/>
        <v>0</v>
      </c>
      <c r="L222" s="1241"/>
    </row>
    <row r="223" spans="1:12" s="1689" customFormat="1" ht="16.5" thickBot="1" x14ac:dyDescent="0.3">
      <c r="A223" s="243" t="s">
        <v>365</v>
      </c>
      <c r="B223" s="261" t="s">
        <v>366</v>
      </c>
      <c r="C223" s="244"/>
      <c r="D223" s="245">
        <f>SUM(D224:D227)</f>
        <v>11642158.912600011</v>
      </c>
      <c r="E223" s="245">
        <f>SUM(E224:E227)</f>
        <v>14427949.80000001</v>
      </c>
      <c r="F223" s="245">
        <v>13072504.800000012</v>
      </c>
      <c r="G223" s="245">
        <f>SUM(G224:G227)</f>
        <v>12543224.971999969</v>
      </c>
      <c r="H223" s="245">
        <f>SUM(H224:H227)</f>
        <v>11786535</v>
      </c>
      <c r="I223" s="245">
        <v>11644054.682399988</v>
      </c>
      <c r="J223" s="245">
        <f>SUM(J224:J227)</f>
        <v>11594466.262399971</v>
      </c>
      <c r="K223" s="1289">
        <f t="shared" ref="K223:K231" si="5">+J223-I223</f>
        <v>-49588.420000016689</v>
      </c>
      <c r="L223" s="1243"/>
    </row>
    <row r="224" spans="1:12" ht="20.25" hidden="1" customHeight="1" outlineLevel="1" x14ac:dyDescent="0.25">
      <c r="A224" s="129"/>
      <c r="B224" s="246" t="s">
        <v>180</v>
      </c>
      <c r="C224" s="236">
        <v>8115</v>
      </c>
      <c r="D224" s="237">
        <f>'Sumář  výdaje kapitol'!C70</f>
        <v>0</v>
      </c>
      <c r="E224" s="237">
        <f>'Sumář  výdaje kapitol'!K70</f>
        <v>0</v>
      </c>
      <c r="F224" s="237">
        <v>0</v>
      </c>
      <c r="G224" s="237">
        <v>0</v>
      </c>
      <c r="H224" s="237">
        <f>'Sumář  výdaje kapitol'!M70</f>
        <v>0</v>
      </c>
      <c r="I224" s="237">
        <v>0</v>
      </c>
      <c r="J224" s="237">
        <f>'Sumář  výdaje kapitol'!U70</f>
        <v>0</v>
      </c>
      <c r="K224" s="238">
        <f t="shared" si="5"/>
        <v>0</v>
      </c>
      <c r="L224" s="1241"/>
    </row>
    <row r="225" spans="1:12" ht="20.25" customHeight="1" outlineLevel="1" x14ac:dyDescent="0.25">
      <c r="A225" s="129"/>
      <c r="B225" s="246" t="s">
        <v>181</v>
      </c>
      <c r="C225" s="236">
        <v>8115</v>
      </c>
      <c r="D225" s="237">
        <f>'Sumář  výdaje kapitol'!C71</f>
        <v>233066.91260001063</v>
      </c>
      <c r="E225" s="237">
        <f>'Sumář  výdaje kapitol'!D71</f>
        <v>3018857.8000000101</v>
      </c>
      <c r="F225" s="237">
        <v>108680.80000001192</v>
      </c>
      <c r="G225" s="237">
        <v>1134132.97199997</v>
      </c>
      <c r="H225" s="237">
        <f>'Sumář  výdaje kapitol'!G71</f>
        <v>377443</v>
      </c>
      <c r="I225" s="237">
        <v>234962.68239998817</v>
      </c>
      <c r="J225" s="237">
        <f>'Sumář  výdaje kapitol'!I71</f>
        <v>185374.26239997149</v>
      </c>
      <c r="K225" s="238">
        <f t="shared" si="5"/>
        <v>-49588.420000016689</v>
      </c>
      <c r="L225" s="1241"/>
    </row>
    <row r="226" spans="1:12" ht="20.25" hidden="1" customHeight="1" outlineLevel="1" x14ac:dyDescent="0.25">
      <c r="A226" s="129"/>
      <c r="B226" s="246" t="s">
        <v>188</v>
      </c>
      <c r="C226" s="236">
        <v>8115</v>
      </c>
      <c r="D226" s="237"/>
      <c r="E226" s="237"/>
      <c r="F226" s="237"/>
      <c r="G226" s="237"/>
      <c r="H226" s="237"/>
      <c r="I226" s="237"/>
      <c r="J226" s="237"/>
      <c r="K226" s="238">
        <f t="shared" si="5"/>
        <v>0</v>
      </c>
      <c r="L226" s="1241"/>
    </row>
    <row r="227" spans="1:12" ht="20.25" customHeight="1" outlineLevel="1" x14ac:dyDescent="0.25">
      <c r="A227" s="129"/>
      <c r="B227" s="246" t="s">
        <v>186</v>
      </c>
      <c r="C227" s="236" t="s">
        <v>185</v>
      </c>
      <c r="D227" s="237">
        <f>'Sumář  výdaje kapitol'!C75</f>
        <v>11409092</v>
      </c>
      <c r="E227" s="237">
        <f>'Sumář  výdaje kapitol'!D75</f>
        <v>11409092</v>
      </c>
      <c r="F227" s="237">
        <v>12963824</v>
      </c>
      <c r="G227" s="237">
        <v>11409092</v>
      </c>
      <c r="H227" s="237">
        <f>'Sumář  výdaje kapitol'!G75</f>
        <v>11409092</v>
      </c>
      <c r="I227" s="237">
        <v>11409092</v>
      </c>
      <c r="J227" s="237">
        <f>'Sumář  výdaje kapitol'!I75</f>
        <v>11409092</v>
      </c>
      <c r="K227" s="238">
        <f t="shared" si="5"/>
        <v>0</v>
      </c>
      <c r="L227" s="1241"/>
    </row>
    <row r="228" spans="1:12" x14ac:dyDescent="0.25">
      <c r="A228" s="129"/>
      <c r="B228" s="129"/>
      <c r="C228" s="236"/>
      <c r="D228" s="237"/>
      <c r="E228" s="237"/>
      <c r="F228" s="237"/>
      <c r="G228" s="237"/>
      <c r="H228" s="237"/>
      <c r="I228" s="237"/>
      <c r="J228" s="237"/>
      <c r="K228" s="238">
        <f t="shared" si="5"/>
        <v>0</v>
      </c>
      <c r="L228" s="1241"/>
    </row>
    <row r="229" spans="1:12" s="1689" customFormat="1" ht="16.5" thickBot="1" x14ac:dyDescent="0.3">
      <c r="A229" s="247" t="s">
        <v>378</v>
      </c>
      <c r="B229" s="247"/>
      <c r="C229" s="248"/>
      <c r="D229" s="245">
        <f>+D223+D211+D159</f>
        <v>143177073.81</v>
      </c>
      <c r="E229" s="245">
        <f>+E223+E211+E159</f>
        <v>154493549</v>
      </c>
      <c r="F229" s="245">
        <v>263207503</v>
      </c>
      <c r="G229" s="245">
        <f>+G223+G211+G159</f>
        <v>229867442.03999996</v>
      </c>
      <c r="H229" s="245">
        <f>+H223+H211+H159</f>
        <v>239205058.3576</v>
      </c>
      <c r="I229" s="245">
        <v>241520738</v>
      </c>
      <c r="J229" s="245">
        <f>+J223+J211+J159</f>
        <v>246802838</v>
      </c>
      <c r="K229" s="1289">
        <f t="shared" si="5"/>
        <v>5282100</v>
      </c>
      <c r="L229" s="1243"/>
    </row>
    <row r="230" spans="1:12" s="1711" customFormat="1" x14ac:dyDescent="0.25">
      <c r="A230" s="249"/>
      <c r="B230" s="249" t="s">
        <v>379</v>
      </c>
      <c r="C230" s="251"/>
      <c r="D230" s="238">
        <f>D229-'Sumář  výdaje kapitol'!C78</f>
        <v>0</v>
      </c>
      <c r="E230" s="238">
        <f>+E229-'Sumář  výdaje kapitol'!D78</f>
        <v>0</v>
      </c>
      <c r="F230" s="238">
        <v>0</v>
      </c>
      <c r="G230" s="238">
        <v>0</v>
      </c>
      <c r="H230" s="238">
        <f>H229-'Sumář  výdaje kapitol'!G78</f>
        <v>0</v>
      </c>
      <c r="I230" s="238">
        <v>0</v>
      </c>
      <c r="J230" s="238">
        <f>J229-'Sumář  výdaje kapitol'!I78</f>
        <v>0</v>
      </c>
      <c r="K230" s="238">
        <f t="shared" si="5"/>
        <v>0</v>
      </c>
      <c r="L230" s="1840"/>
    </row>
    <row r="231" spans="1:12" s="1689" customFormat="1" ht="16.5" thickBot="1" x14ac:dyDescent="0.3">
      <c r="A231" s="247" t="s">
        <v>1089</v>
      </c>
      <c r="B231" s="247"/>
      <c r="C231" s="248"/>
      <c r="D231" s="245">
        <f>+D154-D229</f>
        <v>-290000</v>
      </c>
      <c r="E231" s="245">
        <f>+E154-E229</f>
        <v>0</v>
      </c>
      <c r="F231" s="245">
        <v>0</v>
      </c>
      <c r="G231" s="245">
        <v>0</v>
      </c>
      <c r="H231" s="245">
        <f>+H154-H229</f>
        <v>-0.35760000348091125</v>
      </c>
      <c r="I231" s="245">
        <v>0</v>
      </c>
      <c r="J231" s="245">
        <f>+J154-J229</f>
        <v>0</v>
      </c>
      <c r="K231" s="1289">
        <f t="shared" si="5"/>
        <v>0</v>
      </c>
      <c r="L231" s="1243"/>
    </row>
    <row r="232" spans="1:12" s="1711" customFormat="1" x14ac:dyDescent="0.25">
      <c r="A232" s="249"/>
      <c r="B232" s="249"/>
      <c r="C232" s="251"/>
      <c r="D232" s="238"/>
      <c r="E232" s="238"/>
      <c r="F232" s="238"/>
      <c r="G232" s="238"/>
      <c r="H232" s="238"/>
      <c r="I232" s="238"/>
      <c r="J232" s="238"/>
      <c r="K232" s="238"/>
      <c r="L232" s="1840"/>
    </row>
    <row r="234" spans="1:12" x14ac:dyDescent="0.25">
      <c r="A234" s="33" t="s">
        <v>380</v>
      </c>
      <c r="B234" s="129"/>
      <c r="C234" s="236"/>
      <c r="D234" s="237"/>
      <c r="E234" s="237"/>
      <c r="F234" s="237"/>
      <c r="G234" s="237"/>
      <c r="H234" s="237"/>
      <c r="I234" s="237"/>
      <c r="J234" s="237"/>
      <c r="K234" s="238"/>
      <c r="L234" s="1241"/>
    </row>
    <row r="235" spans="1:12" s="1689" customFormat="1" x14ac:dyDescent="0.25">
      <c r="A235" s="33"/>
      <c r="B235" s="33" t="s">
        <v>381</v>
      </c>
      <c r="C235" s="236"/>
      <c r="D235" s="32">
        <f>+D6+D26+D103+D105-D159</f>
        <v>17468724.982600003</v>
      </c>
      <c r="E235" s="32">
        <f>+E6+E26+E103+E105-E159</f>
        <v>24104508.799999997</v>
      </c>
      <c r="F235" s="32">
        <f>+F6+F26+F103+F105-F159</f>
        <v>23417711.799999997</v>
      </c>
      <c r="G235" s="32">
        <v>23917769.89199999</v>
      </c>
      <c r="H235" s="32">
        <f>+H6+H26+H103+H105-H159</f>
        <v>24393234.642399997</v>
      </c>
      <c r="I235" s="32">
        <v>24233453.642399997</v>
      </c>
      <c r="J235" s="32">
        <f>+J6+J26+J103+J105-J159</f>
        <v>26285125.222399995</v>
      </c>
      <c r="K235" s="1289"/>
      <c r="L235" s="1243"/>
    </row>
    <row r="236" spans="1:12" s="1713" customFormat="1" ht="16.5" thickBot="1" x14ac:dyDescent="0.3">
      <c r="A236" s="262"/>
      <c r="B236" s="262" t="s">
        <v>382</v>
      </c>
      <c r="C236" s="263"/>
      <c r="D236" s="264">
        <f>D235/(D6+D26+D103+D104)</f>
        <v>0.1579647820668402</v>
      </c>
      <c r="E236" s="264">
        <f>E235/(E6+E26+E103+E104)</f>
        <v>0.19184989135766159</v>
      </c>
      <c r="F236" s="264">
        <f>F235/(F6+F26+F103+F104)</f>
        <v>0.18322923013059228</v>
      </c>
      <c r="G236" s="264">
        <v>0.18380561994432654</v>
      </c>
      <c r="H236" s="264">
        <f>H235/(H6+H26+H103+H104)</f>
        <v>0.17936887765120429</v>
      </c>
      <c r="I236" s="264">
        <v>0.17580704203387665</v>
      </c>
      <c r="J236" s="264">
        <f>J235/(J6+J26+J103+J104)</f>
        <v>0.18366526072097614</v>
      </c>
      <c r="K236" s="1289"/>
      <c r="L236" s="1843"/>
    </row>
    <row r="237" spans="1:12" ht="15.75" hidden="1" customHeight="1" x14ac:dyDescent="0.25">
      <c r="A237" s="129"/>
      <c r="B237" s="129"/>
      <c r="C237" s="236"/>
      <c r="D237" s="237"/>
      <c r="E237" s="237"/>
      <c r="F237" s="237"/>
      <c r="G237" s="237"/>
      <c r="H237" s="237"/>
      <c r="I237" s="237"/>
      <c r="J237" s="237"/>
      <c r="K237" s="238"/>
      <c r="L237" s="1241"/>
    </row>
    <row r="238" spans="1:12" ht="15.75" hidden="1" customHeight="1" x14ac:dyDescent="0.25">
      <c r="A238" s="33" t="s">
        <v>383</v>
      </c>
      <c r="B238" s="129"/>
      <c r="C238" s="236"/>
      <c r="D238" s="237"/>
      <c r="E238" s="237"/>
      <c r="F238" s="237"/>
      <c r="G238" s="237"/>
      <c r="H238" s="237"/>
      <c r="I238" s="237"/>
      <c r="J238" s="237"/>
      <c r="K238" s="238"/>
      <c r="L238" s="1241"/>
    </row>
    <row r="239" spans="1:12" s="1689" customFormat="1" ht="15.75" hidden="1" customHeight="1" x14ac:dyDescent="0.25">
      <c r="A239" s="33"/>
      <c r="B239" s="266" t="s">
        <v>384</v>
      </c>
      <c r="C239" s="33"/>
      <c r="D239" s="32">
        <f>SUM(D240:D242)</f>
        <v>0</v>
      </c>
      <c r="E239" s="32">
        <f>SUM(E240:E242)</f>
        <v>0</v>
      </c>
      <c r="F239" s="32">
        <f>SUM(F240:F242)</f>
        <v>0</v>
      </c>
      <c r="G239" s="32">
        <v>0</v>
      </c>
      <c r="H239" s="32">
        <f>SUM(H240:H242)</f>
        <v>0</v>
      </c>
      <c r="I239" s="32">
        <v>0</v>
      </c>
      <c r="J239" s="32">
        <f>SUM(J240:J242)</f>
        <v>0</v>
      </c>
      <c r="K239" s="1289"/>
      <c r="L239" s="1243"/>
    </row>
    <row r="240" spans="1:12" ht="17.25" hidden="1" customHeight="1" x14ac:dyDescent="0.25">
      <c r="A240" s="129"/>
      <c r="B240" s="129" t="s">
        <v>385</v>
      </c>
      <c r="C240" s="236"/>
      <c r="D240" s="237"/>
      <c r="E240" s="237"/>
      <c r="F240" s="237"/>
      <c r="G240" s="237"/>
      <c r="H240" s="237"/>
      <c r="I240" s="237"/>
      <c r="J240" s="237"/>
      <c r="K240" s="238"/>
      <c r="L240" s="1241"/>
    </row>
    <row r="241" spans="1:12" ht="17.25" hidden="1" customHeight="1" x14ac:dyDescent="0.25">
      <c r="A241" s="129"/>
      <c r="B241" s="129" t="s">
        <v>386</v>
      </c>
      <c r="C241" s="236"/>
      <c r="D241" s="237"/>
      <c r="E241" s="237"/>
      <c r="F241" s="237"/>
      <c r="G241" s="237"/>
      <c r="H241" s="237"/>
      <c r="I241" s="237"/>
      <c r="J241" s="237"/>
      <c r="K241" s="238"/>
      <c r="L241" s="1241"/>
    </row>
    <row r="242" spans="1:12" ht="15.75" hidden="1" customHeight="1" x14ac:dyDescent="0.25">
      <c r="A242" s="129"/>
      <c r="B242" s="129"/>
      <c r="C242" s="236"/>
      <c r="D242" s="237"/>
      <c r="E242" s="237"/>
      <c r="F242" s="237"/>
      <c r="G242" s="237"/>
      <c r="H242" s="237"/>
      <c r="I242" s="237"/>
      <c r="J242" s="237"/>
      <c r="K242" s="238"/>
      <c r="L242" s="1241"/>
    </row>
    <row r="243" spans="1:12" ht="15.75" hidden="1" customHeight="1" x14ac:dyDescent="0.25">
      <c r="A243" s="129"/>
      <c r="B243" s="266" t="s">
        <v>387</v>
      </c>
      <c r="C243" s="236"/>
      <c r="D243" s="32">
        <f>SUM(D244:D245)</f>
        <v>0</v>
      </c>
      <c r="E243" s="32">
        <f>SUM(E244:E245)</f>
        <v>0</v>
      </c>
      <c r="F243" s="32">
        <f>SUM(F244:F245)</f>
        <v>0</v>
      </c>
      <c r="G243" s="32">
        <v>0</v>
      </c>
      <c r="H243" s="32">
        <f>SUM(H244:H245)</f>
        <v>0</v>
      </c>
      <c r="I243" s="32">
        <v>0</v>
      </c>
      <c r="J243" s="32">
        <f>SUM(J244:J245)</f>
        <v>0</v>
      </c>
      <c r="K243" s="238"/>
      <c r="L243" s="1241"/>
    </row>
    <row r="244" spans="1:12" ht="17.25" hidden="1" customHeight="1" x14ac:dyDescent="0.25">
      <c r="A244" s="129"/>
      <c r="B244" s="129" t="s">
        <v>385</v>
      </c>
      <c r="C244" s="236"/>
      <c r="D244" s="237"/>
      <c r="E244" s="237"/>
      <c r="F244" s="237"/>
      <c r="G244" s="237"/>
      <c r="H244" s="237"/>
      <c r="I244" s="237"/>
      <c r="J244" s="237"/>
      <c r="K244" s="238"/>
      <c r="L244" s="1241"/>
    </row>
    <row r="245" spans="1:12" ht="17.25" hidden="1" customHeight="1" x14ac:dyDescent="0.25">
      <c r="A245" s="129"/>
      <c r="B245" s="129" t="s">
        <v>386</v>
      </c>
      <c r="C245" s="236"/>
      <c r="D245" s="237"/>
      <c r="E245" s="237"/>
      <c r="F245" s="237"/>
      <c r="G245" s="237"/>
      <c r="H245" s="237"/>
      <c r="I245" s="237"/>
      <c r="J245" s="237"/>
      <c r="K245" s="238"/>
      <c r="L245" s="1241"/>
    </row>
    <row r="246" spans="1:12" ht="15.75" hidden="1" customHeight="1" x14ac:dyDescent="0.25">
      <c r="A246" s="129"/>
      <c r="B246" s="129"/>
      <c r="C246" s="236"/>
      <c r="D246" s="237"/>
      <c r="E246" s="237"/>
      <c r="F246" s="237"/>
      <c r="G246" s="237"/>
      <c r="H246" s="237"/>
      <c r="I246" s="237"/>
      <c r="J246" s="237"/>
      <c r="K246" s="238"/>
      <c r="L246" s="1241"/>
    </row>
    <row r="247" spans="1:12" s="1689" customFormat="1" ht="16.5" hidden="1" customHeight="1" thickBot="1" x14ac:dyDescent="0.3">
      <c r="A247" s="247"/>
      <c r="B247" s="247" t="s">
        <v>388</v>
      </c>
      <c r="C247" s="248"/>
      <c r="D247" s="245">
        <f>D243-D239</f>
        <v>0</v>
      </c>
      <c r="E247" s="245">
        <f>E243-E239</f>
        <v>0</v>
      </c>
      <c r="F247" s="245">
        <f>F243-F239</f>
        <v>0</v>
      </c>
      <c r="G247" s="245">
        <v>0</v>
      </c>
      <c r="H247" s="245">
        <f>H243-H239</f>
        <v>0</v>
      </c>
      <c r="I247" s="245">
        <v>0</v>
      </c>
      <c r="J247" s="245">
        <f>J243-J239</f>
        <v>0</v>
      </c>
      <c r="K247" s="1289"/>
      <c r="L247" s="1243"/>
    </row>
    <row r="248" spans="1:12" x14ac:dyDescent="0.25">
      <c r="A248" s="129"/>
      <c r="B248" s="129"/>
      <c r="C248" s="236"/>
      <c r="D248" s="237"/>
      <c r="E248" s="237"/>
      <c r="F248" s="237"/>
      <c r="G248" s="237"/>
      <c r="H248" s="237"/>
      <c r="I248" s="237"/>
      <c r="J248" s="237"/>
      <c r="K248" s="238"/>
      <c r="L248" s="1241"/>
    </row>
    <row r="249" spans="1:12" x14ac:dyDescent="0.25">
      <c r="A249" s="33" t="s">
        <v>1626</v>
      </c>
      <c r="B249" s="129"/>
      <c r="C249" s="236"/>
      <c r="D249" s="237"/>
      <c r="E249" s="237"/>
      <c r="F249" s="237"/>
      <c r="G249" s="237"/>
      <c r="H249" s="32">
        <f>+H250+H251</f>
        <v>113733760</v>
      </c>
      <c r="I249" s="32">
        <v>130268056</v>
      </c>
      <c r="J249" s="32">
        <f>+J250+J251</f>
        <v>134514489</v>
      </c>
      <c r="K249" s="238"/>
      <c r="L249" s="1241"/>
    </row>
    <row r="250" spans="1:12" x14ac:dyDescent="0.25">
      <c r="A250" s="33"/>
      <c r="B250" s="246" t="s">
        <v>391</v>
      </c>
      <c r="C250" s="236"/>
      <c r="D250" s="237"/>
      <c r="E250" s="237"/>
      <c r="F250" s="237"/>
      <c r="G250" s="237"/>
      <c r="H250" s="237"/>
      <c r="I250" s="237"/>
      <c r="J250" s="237">
        <v>4246433</v>
      </c>
      <c r="K250" s="238"/>
      <c r="L250" s="1241"/>
    </row>
    <row r="251" spans="1:12" x14ac:dyDescent="0.25">
      <c r="A251" s="33"/>
      <c r="B251" s="246" t="s">
        <v>6</v>
      </c>
      <c r="C251" s="236"/>
      <c r="D251" s="237"/>
      <c r="E251" s="237"/>
      <c r="F251" s="237"/>
      <c r="G251" s="237"/>
      <c r="H251" s="237">
        <v>113733760</v>
      </c>
      <c r="I251" s="237">
        <v>130268056</v>
      </c>
      <c r="J251" s="237">
        <v>130268056</v>
      </c>
      <c r="K251" s="238"/>
      <c r="L251" s="1241"/>
    </row>
    <row r="253" spans="1:12" s="1689" customFormat="1" x14ac:dyDescent="0.25">
      <c r="A253" s="33" t="s">
        <v>1316</v>
      </c>
      <c r="B253" s="33"/>
      <c r="C253" s="236"/>
      <c r="D253" s="1170">
        <f>+D260/D255</f>
        <v>0.11992872549709006</v>
      </c>
      <c r="E253" s="1170">
        <f>+E260/E255</f>
        <v>0.11143839746077508</v>
      </c>
      <c r="F253" s="1170">
        <f>+F260/F255</f>
        <v>0.12539621881805227</v>
      </c>
      <c r="G253" s="1170">
        <v>0.12297083917147465</v>
      </c>
      <c r="H253" s="1211">
        <f>+H260/H255</f>
        <v>9.4431946718810042E-2</v>
      </c>
      <c r="I253" s="1211">
        <v>9.1831648095389948E-2</v>
      </c>
      <c r="J253" s="1211">
        <f>+J260/J255</f>
        <v>9.1662929143103783E-2</v>
      </c>
      <c r="K253" s="1289"/>
      <c r="L253" s="1243"/>
    </row>
    <row r="254" spans="1:12" x14ac:dyDescent="0.25">
      <c r="A254" s="129"/>
      <c r="B254" s="129"/>
      <c r="C254" s="236"/>
      <c r="D254" s="237"/>
      <c r="E254" s="237"/>
      <c r="F254" s="237"/>
      <c r="G254" s="237"/>
      <c r="H254" s="237"/>
      <c r="I254" s="237"/>
      <c r="J254" s="237"/>
      <c r="K254" s="238"/>
      <c r="L254" s="1241"/>
    </row>
    <row r="255" spans="1:12" s="1689" customFormat="1" x14ac:dyDescent="0.25">
      <c r="A255" s="33"/>
      <c r="B255" s="33" t="s">
        <v>1307</v>
      </c>
      <c r="C255" s="236"/>
      <c r="D255" s="32">
        <f>SUM(D256:D258)</f>
        <v>114151901</v>
      </c>
      <c r="E255" s="32">
        <f>SUM(E256:E258)</f>
        <v>115436800</v>
      </c>
      <c r="F255" s="32">
        <f>SUM(F256:F258)</f>
        <v>117617773</v>
      </c>
      <c r="G255" s="32">
        <v>119937573</v>
      </c>
      <c r="H255" s="32">
        <f>SUM(H256:H258)</f>
        <v>144286267</v>
      </c>
      <c r="I255" s="32">
        <v>148371867</v>
      </c>
      <c r="J255" s="32">
        <f>SUM(J256:J258)</f>
        <v>148644967</v>
      </c>
      <c r="K255" s="1289"/>
      <c r="L255" s="1243"/>
    </row>
    <row r="256" spans="1:12" x14ac:dyDescent="0.25">
      <c r="A256" s="129"/>
      <c r="B256" s="246" t="s">
        <v>1313</v>
      </c>
      <c r="C256" s="236"/>
      <c r="D256" s="237">
        <f>+D6-D20</f>
        <v>81723000</v>
      </c>
      <c r="E256" s="237">
        <f>+E6-E20</f>
        <v>87348000</v>
      </c>
      <c r="F256" s="237">
        <f>+F6-F20</f>
        <v>89448000</v>
      </c>
      <c r="G256" s="237">
        <v>91448000</v>
      </c>
      <c r="H256" s="237">
        <f>+H6-H20</f>
        <v>104848000</v>
      </c>
      <c r="I256" s="237">
        <v>105758000</v>
      </c>
      <c r="J256" s="237">
        <f>+J6-J20</f>
        <v>105758000</v>
      </c>
      <c r="K256" s="238"/>
      <c r="L256" s="1241"/>
    </row>
    <row r="257" spans="1:12" x14ac:dyDescent="0.25">
      <c r="A257" s="129"/>
      <c r="B257" s="246" t="s">
        <v>1314</v>
      </c>
      <c r="C257" s="236"/>
      <c r="D257" s="237">
        <f>+D26</f>
        <v>16768700</v>
      </c>
      <c r="E257" s="237">
        <f>+E26</f>
        <v>18418700</v>
      </c>
      <c r="F257" s="237">
        <f>+F26</f>
        <v>18523900</v>
      </c>
      <c r="G257" s="237">
        <v>18579900</v>
      </c>
      <c r="H257" s="237">
        <f>+H26</f>
        <v>19045200</v>
      </c>
      <c r="I257" s="237">
        <v>19408200</v>
      </c>
      <c r="J257" s="237">
        <f>+J26</f>
        <v>19681300</v>
      </c>
      <c r="K257" s="238"/>
      <c r="L257" s="1241"/>
    </row>
    <row r="258" spans="1:12" x14ac:dyDescent="0.25">
      <c r="A258" s="129"/>
      <c r="B258" s="246" t="s">
        <v>1315</v>
      </c>
      <c r="C258" s="236"/>
      <c r="D258" s="237">
        <f>+D100</f>
        <v>15660201</v>
      </c>
      <c r="E258" s="237">
        <f>+E100</f>
        <v>9670100</v>
      </c>
      <c r="F258" s="237">
        <f>+F100</f>
        <v>9645873</v>
      </c>
      <c r="G258" s="237">
        <v>9909673</v>
      </c>
      <c r="H258" s="237">
        <f>+H100</f>
        <v>20393067</v>
      </c>
      <c r="I258" s="237">
        <v>23205667</v>
      </c>
      <c r="J258" s="237">
        <f>+J100</f>
        <v>23205667</v>
      </c>
      <c r="K258" s="238"/>
      <c r="L258" s="1241"/>
    </row>
    <row r="259" spans="1:12" x14ac:dyDescent="0.25">
      <c r="A259" s="129"/>
      <c r="B259" s="129"/>
      <c r="C259" s="238"/>
      <c r="D259" s="129"/>
      <c r="E259" s="129"/>
      <c r="F259" s="129"/>
      <c r="G259" s="129"/>
      <c r="H259" s="129"/>
      <c r="I259" s="129"/>
      <c r="J259" s="129"/>
      <c r="K259" s="238"/>
      <c r="L259" s="1241"/>
    </row>
    <row r="260" spans="1:12" s="1689" customFormat="1" x14ac:dyDescent="0.25">
      <c r="A260" s="33"/>
      <c r="B260" s="33" t="s">
        <v>1312</v>
      </c>
      <c r="C260" s="236"/>
      <c r="D260" s="32">
        <f>SUM(D261:D262)</f>
        <v>13690092</v>
      </c>
      <c r="E260" s="32">
        <f>SUM(E261:E262)</f>
        <v>12864092</v>
      </c>
      <c r="F260" s="32">
        <f>SUM(F261:F262)</f>
        <v>14748824</v>
      </c>
      <c r="G260" s="32">
        <v>14748824</v>
      </c>
      <c r="H260" s="32">
        <f>SUM(H261:H262)</f>
        <v>13625233.0776</v>
      </c>
      <c r="I260" s="32">
        <v>13625233.0776</v>
      </c>
      <c r="J260" s="32">
        <f>SUM(J261:J262)</f>
        <v>13625233.0776</v>
      </c>
      <c r="K260" s="1289"/>
      <c r="L260" s="1243"/>
    </row>
    <row r="261" spans="1:12" x14ac:dyDescent="0.25">
      <c r="A261" s="129"/>
      <c r="B261" s="246" t="s">
        <v>204</v>
      </c>
      <c r="C261" s="236"/>
      <c r="D261" s="237">
        <v>2281000</v>
      </c>
      <c r="E261" s="237">
        <f>+E209</f>
        <v>1455000</v>
      </c>
      <c r="F261" s="237">
        <f>+F209+F210</f>
        <v>1785000</v>
      </c>
      <c r="G261" s="237">
        <v>3339732</v>
      </c>
      <c r="H261" s="237">
        <f>+H209+H210</f>
        <v>2216141.0776</v>
      </c>
      <c r="I261" s="237">
        <v>2216141.0776</v>
      </c>
      <c r="J261" s="237">
        <f>+J209+J210</f>
        <v>2216141.0776</v>
      </c>
      <c r="K261" s="238"/>
      <c r="L261" s="1241"/>
    </row>
    <row r="262" spans="1:12" x14ac:dyDescent="0.25">
      <c r="A262" s="129"/>
      <c r="B262" s="246" t="s">
        <v>186</v>
      </c>
      <c r="C262" s="236"/>
      <c r="D262" s="237">
        <f>+D227</f>
        <v>11409092</v>
      </c>
      <c r="E262" s="237">
        <f>+E227</f>
        <v>11409092</v>
      </c>
      <c r="F262" s="237">
        <f>+F227</f>
        <v>12963824</v>
      </c>
      <c r="G262" s="237">
        <v>11409092</v>
      </c>
      <c r="H262" s="237">
        <f>+H227</f>
        <v>11409092</v>
      </c>
      <c r="I262" s="237">
        <v>11409092</v>
      </c>
      <c r="J262" s="237">
        <f>+J227</f>
        <v>11409092</v>
      </c>
      <c r="K262" s="238"/>
      <c r="L262" s="1241"/>
    </row>
    <row r="264" spans="1:12" hidden="1" x14ac:dyDescent="0.25">
      <c r="A264" s="129"/>
      <c r="B264" s="129"/>
      <c r="C264" s="238"/>
      <c r="D264" s="238"/>
      <c r="E264" s="238"/>
      <c r="F264" s="238"/>
      <c r="G264" s="238"/>
      <c r="H264" s="238"/>
      <c r="I264" s="238"/>
      <c r="J264" s="238"/>
      <c r="K264" s="238"/>
      <c r="L264" s="1241"/>
    </row>
    <row r="265" spans="1:12" s="1689" customFormat="1" x14ac:dyDescent="0.25">
      <c r="A265" s="33"/>
      <c r="B265" s="33" t="s">
        <v>1355</v>
      </c>
      <c r="C265" s="1289"/>
      <c r="D265" s="1290">
        <f>+D266/D267</f>
        <v>1.9308936727538348</v>
      </c>
      <c r="E265" s="1291">
        <f>+E266/E267</f>
        <v>1.9433940615474454</v>
      </c>
      <c r="F265" s="1291">
        <f>+F266/F267</f>
        <v>1.5768850452076721</v>
      </c>
      <c r="G265" s="1291">
        <v>1.5768850452076721</v>
      </c>
      <c r="H265" s="1291" t="e">
        <f>+#REF!/H267</f>
        <v>#REF!</v>
      </c>
      <c r="I265" s="1291">
        <v>2.0195032379842227E-7</v>
      </c>
      <c r="J265" s="1291">
        <f>+H266/J267</f>
        <v>2.0195032379842227E-7</v>
      </c>
      <c r="K265" s="1289"/>
      <c r="L265" s="1243"/>
    </row>
    <row r="266" spans="1:12" x14ac:dyDescent="0.25">
      <c r="A266" s="129"/>
      <c r="B266" s="246" t="s">
        <v>1358</v>
      </c>
      <c r="C266" s="236"/>
      <c r="D266" s="238">
        <f>+Úvěr!B41</f>
        <v>26433934.379999999</v>
      </c>
      <c r="E266" s="1292">
        <f>+E146</f>
        <v>25000000</v>
      </c>
      <c r="F266" s="1292">
        <f>+F146</f>
        <v>23257200</v>
      </c>
      <c r="G266" s="1292">
        <v>23257200</v>
      </c>
      <c r="H266" s="1717">
        <f>+(H146+H119+H112)/H260</f>
        <v>2.7516202318502936</v>
      </c>
      <c r="I266" s="1717">
        <v>2.6385212491596106</v>
      </c>
      <c r="J266" s="1717">
        <f>+(J146+J119+J112)/J260</f>
        <v>2.6385212491596106</v>
      </c>
      <c r="K266" s="238"/>
      <c r="L266" s="1241"/>
    </row>
    <row r="267" spans="1:12" x14ac:dyDescent="0.25">
      <c r="A267" s="129"/>
      <c r="B267" s="246" t="s">
        <v>1357</v>
      </c>
      <c r="C267" s="236"/>
      <c r="D267" s="237">
        <f>+Úvěr!B42</f>
        <v>13690000</v>
      </c>
      <c r="E267" s="882">
        <f>+E260</f>
        <v>12864092</v>
      </c>
      <c r="F267" s="882">
        <f>+F260</f>
        <v>14748824</v>
      </c>
      <c r="G267" s="882">
        <v>14748824</v>
      </c>
      <c r="H267" s="882">
        <f>+H260</f>
        <v>13625233.0776</v>
      </c>
      <c r="I267" s="882">
        <v>13625233.0776</v>
      </c>
      <c r="J267" s="882">
        <f>+J260</f>
        <v>13625233.0776</v>
      </c>
      <c r="K267" s="238"/>
      <c r="L267" s="1241"/>
    </row>
    <row r="269" spans="1:12" x14ac:dyDescent="0.25">
      <c r="D269" s="1716"/>
    </row>
  </sheetData>
  <pageMargins left="0.70866141732283472" right="0.70866141732283472" top="0.39370078740157483" bottom="0.39370078740157483" header="0.31496062992125984" footer="0.31496062992125984"/>
  <pageSetup paperSize="9"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sqref="A1:A2"/>
    </sheetView>
  </sheetViews>
  <sheetFormatPr defaultRowHeight="12.75" x14ac:dyDescent="0.2"/>
  <cols>
    <col min="2" max="2" width="25" bestFit="1" customWidth="1"/>
    <col min="3" max="3" width="24" customWidth="1"/>
    <col min="4" max="4" width="12.42578125" bestFit="1" customWidth="1"/>
    <col min="5" max="5" width="11.42578125" bestFit="1" customWidth="1"/>
    <col min="6" max="6" width="10" style="333" bestFit="1" customWidth="1"/>
    <col min="7" max="7" width="10" bestFit="1" customWidth="1"/>
    <col min="8" max="11" width="11.42578125" bestFit="1" customWidth="1"/>
    <col min="12" max="12" width="10" bestFit="1" customWidth="1"/>
    <col min="17" max="17" width="11.5703125" customWidth="1"/>
    <col min="18" max="18" width="12.28515625" customWidth="1"/>
    <col min="19" max="19" width="13.5703125" customWidth="1"/>
    <col min="20" max="20" width="10.5703125" customWidth="1"/>
  </cols>
  <sheetData>
    <row r="1" spans="1:20" ht="15.75" customHeight="1" thickBot="1" x14ac:dyDescent="0.3">
      <c r="A1" s="1944" t="s">
        <v>1463</v>
      </c>
      <c r="B1" s="1946" t="s">
        <v>1464</v>
      </c>
      <c r="C1" s="1931" t="s">
        <v>1465</v>
      </c>
      <c r="D1" s="1931" t="s">
        <v>1466</v>
      </c>
      <c r="E1" s="1931" t="s">
        <v>1467</v>
      </c>
      <c r="F1" s="1942" t="s">
        <v>1468</v>
      </c>
      <c r="G1" s="1931" t="s">
        <v>1469</v>
      </c>
      <c r="H1" s="1933" t="s">
        <v>1470</v>
      </c>
      <c r="I1" s="1934"/>
      <c r="J1" s="1934"/>
      <c r="K1" s="1935"/>
      <c r="L1" s="1936" t="s">
        <v>1471</v>
      </c>
      <c r="M1" s="1937"/>
      <c r="N1" s="1933" t="s">
        <v>1472</v>
      </c>
      <c r="O1" s="1935"/>
      <c r="P1" s="1938" t="s">
        <v>1473</v>
      </c>
      <c r="Q1" s="1940" t="s">
        <v>1474</v>
      </c>
      <c r="R1" s="1927" t="s">
        <v>1475</v>
      </c>
      <c r="S1" s="1929" t="s">
        <v>1476</v>
      </c>
      <c r="T1" s="1930"/>
    </row>
    <row r="2" spans="1:20" ht="30.75" thickBot="1" x14ac:dyDescent="0.25">
      <c r="A2" s="1945"/>
      <c r="B2" s="1947"/>
      <c r="C2" s="1932"/>
      <c r="D2" s="1932"/>
      <c r="E2" s="1932"/>
      <c r="F2" s="1943"/>
      <c r="G2" s="1932"/>
      <c r="H2" s="1362" t="s">
        <v>1477</v>
      </c>
      <c r="I2" s="1363" t="s">
        <v>1478</v>
      </c>
      <c r="J2" s="1363" t="s">
        <v>1479</v>
      </c>
      <c r="K2" s="1364" t="s">
        <v>1480</v>
      </c>
      <c r="L2" s="1365" t="s">
        <v>1481</v>
      </c>
      <c r="M2" s="1366" t="s">
        <v>1482</v>
      </c>
      <c r="N2" s="1367" t="s">
        <v>1483</v>
      </c>
      <c r="O2" s="1363" t="s">
        <v>1484</v>
      </c>
      <c r="P2" s="1939"/>
      <c r="Q2" s="1941"/>
      <c r="R2" s="1928"/>
      <c r="S2" s="1368" t="s">
        <v>1481</v>
      </c>
      <c r="T2" s="1369" t="s">
        <v>1482</v>
      </c>
    </row>
    <row r="3" spans="1:20" ht="15" x14ac:dyDescent="0.25">
      <c r="A3" s="1370">
        <v>3010</v>
      </c>
      <c r="B3" s="1371" t="s">
        <v>1065</v>
      </c>
      <c r="C3" s="1371" t="s">
        <v>1485</v>
      </c>
      <c r="D3" s="1371" t="s">
        <v>1486</v>
      </c>
      <c r="E3" s="1371" t="s">
        <v>1487</v>
      </c>
      <c r="F3" s="1566">
        <v>17300</v>
      </c>
      <c r="G3" s="1372">
        <v>19720</v>
      </c>
      <c r="H3" s="1373"/>
      <c r="I3" s="1373">
        <v>7500</v>
      </c>
      <c r="J3" s="1373"/>
      <c r="K3" s="1374"/>
      <c r="L3" s="1375">
        <f>G3+H3+I3+J3+K3</f>
        <v>27220</v>
      </c>
      <c r="M3" s="1376">
        <f>L3*1.34</f>
        <v>36474.800000000003</v>
      </c>
      <c r="N3" s="1377">
        <v>4500</v>
      </c>
      <c r="O3" s="1378"/>
      <c r="P3" s="1379">
        <f>L3+N3+O3</f>
        <v>31720</v>
      </c>
      <c r="Q3" s="1379">
        <f>P3*5</f>
        <v>158600</v>
      </c>
      <c r="R3" s="1379">
        <f>L3*7</f>
        <v>190540</v>
      </c>
      <c r="S3" s="1378">
        <f>Q3+R3</f>
        <v>349140</v>
      </c>
      <c r="T3" s="1380">
        <f>S3*1.34</f>
        <v>467847.60000000003</v>
      </c>
    </row>
    <row r="4" spans="1:20" ht="15" x14ac:dyDescent="0.25">
      <c r="A4" s="1381">
        <v>3002</v>
      </c>
      <c r="B4" s="1382" t="s">
        <v>1058</v>
      </c>
      <c r="C4" s="1382" t="s">
        <v>1485</v>
      </c>
      <c r="D4" s="1382" t="s">
        <v>1486</v>
      </c>
      <c r="E4" s="1382" t="s">
        <v>1488</v>
      </c>
      <c r="F4" s="1567">
        <v>12840</v>
      </c>
      <c r="G4" s="1383">
        <v>14650</v>
      </c>
      <c r="H4" s="1384"/>
      <c r="I4" s="1384">
        <v>5000</v>
      </c>
      <c r="J4" s="1384">
        <v>1000</v>
      </c>
      <c r="K4" s="1385"/>
      <c r="L4" s="1386">
        <f>G4+H4+I4+J4+K4</f>
        <v>20650</v>
      </c>
      <c r="M4" s="1387">
        <f>L4*1.34</f>
        <v>27671</v>
      </c>
      <c r="N4" s="1388">
        <v>3000</v>
      </c>
      <c r="O4" s="1389"/>
      <c r="P4" s="1390">
        <f>L4+N4+O4</f>
        <v>23650</v>
      </c>
      <c r="Q4" s="1390">
        <f>P4*5</f>
        <v>118250</v>
      </c>
      <c r="R4" s="1390">
        <f>L4*7</f>
        <v>144550</v>
      </c>
      <c r="S4" s="1389">
        <f>Q4+R4</f>
        <v>262800</v>
      </c>
      <c r="T4" s="1391">
        <f>S4*1.34</f>
        <v>352152</v>
      </c>
    </row>
    <row r="6" spans="1:20" ht="15" x14ac:dyDescent="0.25">
      <c r="A6" s="1392">
        <v>3003</v>
      </c>
      <c r="B6" s="1393" t="s">
        <v>1059</v>
      </c>
      <c r="C6" s="1393" t="s">
        <v>1485</v>
      </c>
      <c r="D6" s="1393" t="s">
        <v>1489</v>
      </c>
      <c r="E6" s="1393" t="s">
        <v>1487</v>
      </c>
      <c r="F6" s="1568">
        <v>15980</v>
      </c>
      <c r="G6" s="1394">
        <v>18220</v>
      </c>
      <c r="H6" s="1395"/>
      <c r="I6" s="1395">
        <v>4700</v>
      </c>
      <c r="J6" s="1395"/>
      <c r="K6" s="1396">
        <v>2500</v>
      </c>
      <c r="L6" s="1397">
        <f>G6+H6+I6+J6+K6</f>
        <v>25420</v>
      </c>
      <c r="M6" s="1398">
        <f>L6*1.34</f>
        <v>34062.800000000003</v>
      </c>
      <c r="N6" s="1399"/>
      <c r="O6" s="1400"/>
      <c r="P6" s="1401"/>
      <c r="Q6" s="1401"/>
      <c r="R6" s="1401"/>
      <c r="S6" s="1400">
        <f>L6*12</f>
        <v>305040</v>
      </c>
      <c r="T6" s="1402">
        <f>S6*1.34</f>
        <v>408753.60000000003</v>
      </c>
    </row>
    <row r="8" spans="1:20" ht="15" x14ac:dyDescent="0.25">
      <c r="A8" s="1403">
        <v>3022</v>
      </c>
      <c r="B8" s="1404" t="s">
        <v>1490</v>
      </c>
      <c r="C8" s="1404" t="s">
        <v>1491</v>
      </c>
      <c r="D8" s="1404" t="s">
        <v>1489</v>
      </c>
      <c r="E8" s="1404" t="s">
        <v>1492</v>
      </c>
      <c r="F8" s="1569">
        <v>14280</v>
      </c>
      <c r="G8" s="1405">
        <v>16280</v>
      </c>
      <c r="H8" s="1406"/>
      <c r="I8" s="1406">
        <v>4000</v>
      </c>
      <c r="J8" s="1406">
        <v>1000</v>
      </c>
      <c r="K8" s="1407"/>
      <c r="L8" s="1408">
        <f>G8+H8+I8+J8+K8</f>
        <v>21280</v>
      </c>
      <c r="M8" s="1409">
        <f>L8*1.34</f>
        <v>28515.200000000001</v>
      </c>
      <c r="N8" s="1410"/>
      <c r="O8" s="1411"/>
      <c r="P8" s="1412"/>
      <c r="Q8" s="1412"/>
      <c r="R8" s="1412"/>
      <c r="S8" s="1411">
        <f>L8*12</f>
        <v>255360</v>
      </c>
      <c r="T8" s="1413">
        <f>S8*1.34</f>
        <v>342182.40000000002</v>
      </c>
    </row>
    <row r="9" spans="1:20" ht="15" x14ac:dyDescent="0.25">
      <c r="A9" s="1414">
        <v>3024</v>
      </c>
      <c r="B9" s="1415" t="s">
        <v>1493</v>
      </c>
      <c r="C9" s="1415" t="s">
        <v>1485</v>
      </c>
      <c r="D9" s="1415" t="s">
        <v>1492</v>
      </c>
      <c r="E9" s="1415" t="s">
        <v>1494</v>
      </c>
      <c r="F9" s="1570">
        <v>18890</v>
      </c>
      <c r="G9" s="1416">
        <v>21550</v>
      </c>
      <c r="H9" s="1417"/>
      <c r="I9" s="1417">
        <v>6000</v>
      </c>
      <c r="J9" s="1417"/>
      <c r="K9" s="1418"/>
      <c r="L9" s="1419">
        <f>G9+H9+I9+J9+K9</f>
        <v>27550</v>
      </c>
      <c r="M9" s="1420">
        <f>L9*1.34</f>
        <v>36917</v>
      </c>
      <c r="N9" s="1421"/>
      <c r="O9" s="1422"/>
      <c r="P9" s="1423"/>
      <c r="Q9" s="1423"/>
      <c r="R9" s="1423"/>
      <c r="S9" s="1422">
        <f>L9*12</f>
        <v>330600</v>
      </c>
      <c r="T9" s="1424">
        <f>S9*1.34</f>
        <v>443004</v>
      </c>
    </row>
    <row r="10" spans="1:20" ht="15" x14ac:dyDescent="0.25">
      <c r="A10" s="1414">
        <v>3023</v>
      </c>
      <c r="B10" s="1415" t="s">
        <v>1495</v>
      </c>
      <c r="C10" s="1415" t="s">
        <v>1491</v>
      </c>
      <c r="D10" s="1415" t="s">
        <v>1486</v>
      </c>
      <c r="E10" s="1415" t="s">
        <v>1496</v>
      </c>
      <c r="F10" s="1570">
        <v>16670</v>
      </c>
      <c r="G10" s="1416">
        <v>19000</v>
      </c>
      <c r="H10" s="1417">
        <v>1000</v>
      </c>
      <c r="I10" s="1417">
        <v>6000</v>
      </c>
      <c r="J10" s="1417">
        <v>1400</v>
      </c>
      <c r="K10" s="1418"/>
      <c r="L10" s="1419">
        <f>G10+H10+I10+J10+K10</f>
        <v>27400</v>
      </c>
      <c r="M10" s="1420">
        <f>L10*1.34</f>
        <v>36716</v>
      </c>
      <c r="N10" s="1421"/>
      <c r="O10" s="1422"/>
      <c r="P10" s="1423"/>
      <c r="Q10" s="1423"/>
      <c r="R10" s="1423"/>
      <c r="S10" s="1422">
        <f>L10*12</f>
        <v>328800</v>
      </c>
      <c r="T10" s="1424">
        <f>S10*1.34</f>
        <v>440592</v>
      </c>
    </row>
    <row r="11" spans="1:20" ht="15" x14ac:dyDescent="0.25">
      <c r="A11" s="1414">
        <v>3009</v>
      </c>
      <c r="B11" s="1415" t="s">
        <v>1064</v>
      </c>
      <c r="C11" s="1415" t="s">
        <v>1485</v>
      </c>
      <c r="D11" s="1415" t="s">
        <v>1489</v>
      </c>
      <c r="E11" s="1415" t="s">
        <v>1487</v>
      </c>
      <c r="F11" s="1570">
        <v>15980</v>
      </c>
      <c r="G11" s="1416">
        <v>18220</v>
      </c>
      <c r="H11" s="1417"/>
      <c r="I11" s="1417">
        <v>4000</v>
      </c>
      <c r="J11" s="1417">
        <v>1000</v>
      </c>
      <c r="K11" s="1418"/>
      <c r="L11" s="1419">
        <f>G11+H11+I11+J11+K11</f>
        <v>23220</v>
      </c>
      <c r="M11" s="1420">
        <f>L11*1.34</f>
        <v>31114.800000000003</v>
      </c>
      <c r="N11" s="1421"/>
      <c r="O11" s="1422"/>
      <c r="P11" s="1423"/>
      <c r="Q11" s="1423">
        <f>P11*5</f>
        <v>0</v>
      </c>
      <c r="R11" s="1423"/>
      <c r="S11" s="1422">
        <f>L11*12</f>
        <v>278640</v>
      </c>
      <c r="T11" s="1424">
        <f>S11*1.34</f>
        <v>373377.60000000003</v>
      </c>
    </row>
    <row r="13" spans="1:20" ht="15" x14ac:dyDescent="0.25">
      <c r="A13" s="1425">
        <v>3004</v>
      </c>
      <c r="B13" s="1426" t="s">
        <v>589</v>
      </c>
      <c r="C13" s="1426" t="s">
        <v>1485</v>
      </c>
      <c r="D13" s="1426" t="s">
        <v>1489</v>
      </c>
      <c r="E13" s="1426" t="s">
        <v>1497</v>
      </c>
      <c r="F13" s="1571">
        <v>16580</v>
      </c>
      <c r="G13" s="1427">
        <v>18920</v>
      </c>
      <c r="H13" s="741"/>
      <c r="I13" s="741">
        <v>3550</v>
      </c>
      <c r="J13" s="741"/>
      <c r="K13" s="1428"/>
      <c r="L13" s="1429">
        <f t="shared" ref="L13:L24" si="0">G13+H13+I13+J13+K13</f>
        <v>22470</v>
      </c>
      <c r="M13" s="1430">
        <f t="shared" ref="M13:M24" si="1">L13*1.34</f>
        <v>30109.800000000003</v>
      </c>
      <c r="N13" s="1431">
        <v>3500</v>
      </c>
      <c r="O13" s="1432"/>
      <c r="P13" s="1433">
        <f t="shared" ref="P13:P24" si="2">L13+N13+O13</f>
        <v>25970</v>
      </c>
      <c r="Q13" s="1433">
        <f t="shared" ref="Q13:Q24" si="3">P13*5</f>
        <v>129850</v>
      </c>
      <c r="R13" s="1433">
        <f t="shared" ref="R13:R24" si="4">L13*7</f>
        <v>157290</v>
      </c>
      <c r="S13" s="1432">
        <f t="shared" ref="S13:S24" si="5">Q13+R13</f>
        <v>287140</v>
      </c>
      <c r="T13" s="1434">
        <f t="shared" ref="T13:T24" si="6">S13*1.34</f>
        <v>384767.60000000003</v>
      </c>
    </row>
    <row r="14" spans="1:20" ht="15" x14ac:dyDescent="0.25">
      <c r="A14" s="1435">
        <v>3005</v>
      </c>
      <c r="B14" s="1436" t="s">
        <v>1060</v>
      </c>
      <c r="C14" s="1436" t="s">
        <v>1485</v>
      </c>
      <c r="D14" s="1436" t="s">
        <v>1498</v>
      </c>
      <c r="E14" s="1436" t="s">
        <v>1497</v>
      </c>
      <c r="F14" s="1572">
        <v>19510</v>
      </c>
      <c r="G14" s="1437">
        <v>22170</v>
      </c>
      <c r="H14" s="732">
        <v>1000</v>
      </c>
      <c r="I14" s="732">
        <v>7040</v>
      </c>
      <c r="J14" s="732"/>
      <c r="K14" s="1438"/>
      <c r="L14" s="1439">
        <f t="shared" si="0"/>
        <v>30210</v>
      </c>
      <c r="M14" s="1440">
        <f t="shared" si="1"/>
        <v>40481.4</v>
      </c>
      <c r="N14" s="1441">
        <v>4500</v>
      </c>
      <c r="O14" s="1442"/>
      <c r="P14" s="1443">
        <f t="shared" si="2"/>
        <v>34710</v>
      </c>
      <c r="Q14" s="1443">
        <f t="shared" si="3"/>
        <v>173550</v>
      </c>
      <c r="R14" s="1443">
        <f t="shared" si="4"/>
        <v>211470</v>
      </c>
      <c r="S14" s="1442">
        <f t="shared" si="5"/>
        <v>385020</v>
      </c>
      <c r="T14" s="1444">
        <f t="shared" si="6"/>
        <v>515926.80000000005</v>
      </c>
    </row>
    <row r="15" spans="1:20" ht="15" x14ac:dyDescent="0.25">
      <c r="A15" s="1435">
        <v>3006</v>
      </c>
      <c r="B15" s="1436" t="s">
        <v>1061</v>
      </c>
      <c r="C15" s="1436" t="s">
        <v>1485</v>
      </c>
      <c r="D15" s="1436" t="s">
        <v>1486</v>
      </c>
      <c r="E15" s="1436" t="s">
        <v>1497</v>
      </c>
      <c r="F15" s="1572">
        <v>17930</v>
      </c>
      <c r="G15" s="1437">
        <v>20460</v>
      </c>
      <c r="H15" s="732"/>
      <c r="I15" s="732">
        <v>3500</v>
      </c>
      <c r="J15" s="732"/>
      <c r="K15" s="1438"/>
      <c r="L15" s="1439">
        <f t="shared" si="0"/>
        <v>23960</v>
      </c>
      <c r="M15" s="1440">
        <f t="shared" si="1"/>
        <v>32106.400000000001</v>
      </c>
      <c r="N15" s="1441">
        <v>2500</v>
      </c>
      <c r="O15" s="1442"/>
      <c r="P15" s="1443">
        <f t="shared" si="2"/>
        <v>26460</v>
      </c>
      <c r="Q15" s="1443">
        <f t="shared" si="3"/>
        <v>132300</v>
      </c>
      <c r="R15" s="1443">
        <f t="shared" si="4"/>
        <v>167720</v>
      </c>
      <c r="S15" s="1442">
        <f t="shared" si="5"/>
        <v>300020</v>
      </c>
      <c r="T15" s="1444">
        <f t="shared" si="6"/>
        <v>402026.80000000005</v>
      </c>
    </row>
    <row r="16" spans="1:20" ht="15" x14ac:dyDescent="0.25">
      <c r="A16" s="1435">
        <v>3017</v>
      </c>
      <c r="B16" s="1436" t="s">
        <v>1071</v>
      </c>
      <c r="C16" s="1436" t="s">
        <v>1485</v>
      </c>
      <c r="D16" s="1436" t="s">
        <v>1492</v>
      </c>
      <c r="E16" s="1436" t="s">
        <v>1492</v>
      </c>
      <c r="F16" s="1572">
        <v>18200</v>
      </c>
      <c r="G16" s="1437">
        <v>20770</v>
      </c>
      <c r="H16" s="732"/>
      <c r="I16" s="732">
        <v>6000</v>
      </c>
      <c r="J16" s="732"/>
      <c r="K16" s="1438"/>
      <c r="L16" s="1439">
        <f t="shared" si="0"/>
        <v>26770</v>
      </c>
      <c r="M16" s="1440">
        <f t="shared" si="1"/>
        <v>35871.800000000003</v>
      </c>
      <c r="N16" s="1441">
        <v>3500</v>
      </c>
      <c r="O16" s="1442"/>
      <c r="P16" s="1443">
        <f t="shared" si="2"/>
        <v>30270</v>
      </c>
      <c r="Q16" s="1443">
        <f t="shared" si="3"/>
        <v>151350</v>
      </c>
      <c r="R16" s="1443">
        <f t="shared" si="4"/>
        <v>187390</v>
      </c>
      <c r="S16" s="1442">
        <f t="shared" si="5"/>
        <v>338740</v>
      </c>
      <c r="T16" s="1444">
        <f t="shared" si="6"/>
        <v>453911.60000000003</v>
      </c>
    </row>
    <row r="17" spans="1:20" ht="15" x14ac:dyDescent="0.25">
      <c r="A17" s="1435">
        <v>3008</v>
      </c>
      <c r="B17" s="1436" t="s">
        <v>1063</v>
      </c>
      <c r="C17" s="1436" t="s">
        <v>1491</v>
      </c>
      <c r="D17" s="1436" t="s">
        <v>1499</v>
      </c>
      <c r="E17" s="1436" t="s">
        <v>1497</v>
      </c>
      <c r="F17" s="1572">
        <v>15270</v>
      </c>
      <c r="G17" s="1437">
        <v>17400</v>
      </c>
      <c r="H17" s="732"/>
      <c r="I17" s="732">
        <v>2000</v>
      </c>
      <c r="J17" s="732"/>
      <c r="K17" s="1438"/>
      <c r="L17" s="1439">
        <f t="shared" si="0"/>
        <v>19400</v>
      </c>
      <c r="M17" s="1440">
        <f t="shared" si="1"/>
        <v>25996</v>
      </c>
      <c r="N17" s="1441">
        <v>2500</v>
      </c>
      <c r="O17" s="1442"/>
      <c r="P17" s="1443">
        <f t="shared" si="2"/>
        <v>21900</v>
      </c>
      <c r="Q17" s="1443">
        <f t="shared" si="3"/>
        <v>109500</v>
      </c>
      <c r="R17" s="1443">
        <f t="shared" si="4"/>
        <v>135800</v>
      </c>
      <c r="S17" s="1442">
        <f t="shared" si="5"/>
        <v>245300</v>
      </c>
      <c r="T17" s="1444">
        <f t="shared" si="6"/>
        <v>328702</v>
      </c>
    </row>
    <row r="18" spans="1:20" ht="15" x14ac:dyDescent="0.25">
      <c r="A18" s="1435">
        <v>3001</v>
      </c>
      <c r="B18" s="1436" t="s">
        <v>1057</v>
      </c>
      <c r="C18" s="1436" t="s">
        <v>1485</v>
      </c>
      <c r="D18" s="1436" t="s">
        <v>1498</v>
      </c>
      <c r="E18" s="1436" t="s">
        <v>1487</v>
      </c>
      <c r="F18" s="1572">
        <v>18790</v>
      </c>
      <c r="G18" s="1437">
        <v>21370</v>
      </c>
      <c r="H18" s="732">
        <v>3500</v>
      </c>
      <c r="I18" s="732">
        <v>8000</v>
      </c>
      <c r="J18" s="732"/>
      <c r="K18" s="1438"/>
      <c r="L18" s="1439">
        <f t="shared" si="0"/>
        <v>32870</v>
      </c>
      <c r="M18" s="1440">
        <f t="shared" si="1"/>
        <v>44045.8</v>
      </c>
      <c r="N18" s="1441">
        <v>5000</v>
      </c>
      <c r="O18" s="1442"/>
      <c r="P18" s="1443">
        <f t="shared" si="2"/>
        <v>37870</v>
      </c>
      <c r="Q18" s="1443">
        <f t="shared" si="3"/>
        <v>189350</v>
      </c>
      <c r="R18" s="1443">
        <f t="shared" si="4"/>
        <v>230090</v>
      </c>
      <c r="S18" s="1442">
        <f t="shared" si="5"/>
        <v>419440</v>
      </c>
      <c r="T18" s="1444">
        <f t="shared" si="6"/>
        <v>562049.6</v>
      </c>
    </row>
    <row r="19" spans="1:20" ht="15" x14ac:dyDescent="0.25">
      <c r="A19" s="1435">
        <v>3011</v>
      </c>
      <c r="B19" s="1436" t="s">
        <v>1066</v>
      </c>
      <c r="C19" s="1436" t="s">
        <v>1485</v>
      </c>
      <c r="D19" s="1436" t="s">
        <v>1486</v>
      </c>
      <c r="E19" s="1436" t="s">
        <v>1497</v>
      </c>
      <c r="F19" s="1572">
        <v>17930</v>
      </c>
      <c r="G19" s="1437">
        <v>20460</v>
      </c>
      <c r="H19" s="732"/>
      <c r="I19" s="732">
        <v>5400</v>
      </c>
      <c r="J19" s="732"/>
      <c r="K19" s="1438"/>
      <c r="L19" s="1439">
        <f t="shared" si="0"/>
        <v>25860</v>
      </c>
      <c r="M19" s="1440">
        <f t="shared" si="1"/>
        <v>34652.400000000001</v>
      </c>
      <c r="N19" s="1441">
        <v>3500</v>
      </c>
      <c r="O19" s="1442"/>
      <c r="P19" s="1443">
        <f t="shared" si="2"/>
        <v>29360</v>
      </c>
      <c r="Q19" s="1443">
        <f t="shared" si="3"/>
        <v>146800</v>
      </c>
      <c r="R19" s="1443">
        <f t="shared" si="4"/>
        <v>181020</v>
      </c>
      <c r="S19" s="1442">
        <f t="shared" si="5"/>
        <v>327820</v>
      </c>
      <c r="T19" s="1444">
        <f t="shared" si="6"/>
        <v>439278.80000000005</v>
      </c>
    </row>
    <row r="20" spans="1:20" ht="15" x14ac:dyDescent="0.25">
      <c r="A20" s="1435">
        <v>3012</v>
      </c>
      <c r="B20" s="1436" t="s">
        <v>1067</v>
      </c>
      <c r="C20" s="1436" t="s">
        <v>1491</v>
      </c>
      <c r="D20" s="1436" t="s">
        <v>1489</v>
      </c>
      <c r="E20" s="1436" t="s">
        <v>1497</v>
      </c>
      <c r="F20" s="1572">
        <v>16580</v>
      </c>
      <c r="G20" s="1437">
        <v>18920</v>
      </c>
      <c r="H20" s="732"/>
      <c r="I20" s="732"/>
      <c r="J20" s="732"/>
      <c r="K20" s="1438"/>
      <c r="L20" s="1439">
        <f t="shared" si="0"/>
        <v>18920</v>
      </c>
      <c r="M20" s="1440">
        <f t="shared" si="1"/>
        <v>25352.800000000003</v>
      </c>
      <c r="N20" s="1441">
        <v>2500</v>
      </c>
      <c r="O20" s="1442"/>
      <c r="P20" s="1443">
        <f t="shared" si="2"/>
        <v>21420</v>
      </c>
      <c r="Q20" s="1443">
        <f t="shared" si="3"/>
        <v>107100</v>
      </c>
      <c r="R20" s="1443">
        <f t="shared" si="4"/>
        <v>132440</v>
      </c>
      <c r="S20" s="1442">
        <f t="shared" si="5"/>
        <v>239540</v>
      </c>
      <c r="T20" s="1444">
        <f t="shared" si="6"/>
        <v>320983.60000000003</v>
      </c>
    </row>
    <row r="21" spans="1:20" ht="15" x14ac:dyDescent="0.25">
      <c r="A21" s="1435">
        <v>3013</v>
      </c>
      <c r="B21" s="1436" t="s">
        <v>1068</v>
      </c>
      <c r="C21" s="1436" t="s">
        <v>1485</v>
      </c>
      <c r="D21" s="1436" t="s">
        <v>1486</v>
      </c>
      <c r="E21" s="1436" t="s">
        <v>1497</v>
      </c>
      <c r="F21" s="1572">
        <v>17930</v>
      </c>
      <c r="G21" s="1437">
        <v>20460</v>
      </c>
      <c r="H21" s="732"/>
      <c r="I21" s="732">
        <v>5400</v>
      </c>
      <c r="J21" s="732"/>
      <c r="K21" s="1438"/>
      <c r="L21" s="1439">
        <f t="shared" si="0"/>
        <v>25860</v>
      </c>
      <c r="M21" s="1440">
        <f t="shared" si="1"/>
        <v>34652.400000000001</v>
      </c>
      <c r="N21" s="1441">
        <v>4000</v>
      </c>
      <c r="O21" s="1442"/>
      <c r="P21" s="1443">
        <f t="shared" si="2"/>
        <v>29860</v>
      </c>
      <c r="Q21" s="1443">
        <f t="shared" si="3"/>
        <v>149300</v>
      </c>
      <c r="R21" s="1443">
        <f t="shared" si="4"/>
        <v>181020</v>
      </c>
      <c r="S21" s="1442">
        <f t="shared" si="5"/>
        <v>330320</v>
      </c>
      <c r="T21" s="1444">
        <f t="shared" si="6"/>
        <v>442628.80000000005</v>
      </c>
    </row>
    <row r="22" spans="1:20" ht="15" x14ac:dyDescent="0.25">
      <c r="A22" s="1435">
        <v>3015</v>
      </c>
      <c r="B22" s="1436" t="s">
        <v>1070</v>
      </c>
      <c r="C22" s="1436" t="s">
        <v>1485</v>
      </c>
      <c r="D22" s="1436" t="s">
        <v>1486</v>
      </c>
      <c r="E22" s="1436" t="s">
        <v>1487</v>
      </c>
      <c r="F22" s="1572">
        <v>17300</v>
      </c>
      <c r="G22" s="1437">
        <v>19720</v>
      </c>
      <c r="H22" s="732"/>
      <c r="I22" s="732">
        <v>5400</v>
      </c>
      <c r="J22" s="732"/>
      <c r="K22" s="1438"/>
      <c r="L22" s="1439">
        <f t="shared" si="0"/>
        <v>25120</v>
      </c>
      <c r="M22" s="1440">
        <f t="shared" si="1"/>
        <v>33660.800000000003</v>
      </c>
      <c r="N22" s="1441">
        <v>3500</v>
      </c>
      <c r="O22" s="1442"/>
      <c r="P22" s="1443">
        <f t="shared" si="2"/>
        <v>28620</v>
      </c>
      <c r="Q22" s="1443">
        <f t="shared" si="3"/>
        <v>143100</v>
      </c>
      <c r="R22" s="1443">
        <f t="shared" si="4"/>
        <v>175840</v>
      </c>
      <c r="S22" s="1442">
        <f t="shared" si="5"/>
        <v>318940</v>
      </c>
      <c r="T22" s="1444">
        <f t="shared" si="6"/>
        <v>427379.60000000003</v>
      </c>
    </row>
    <row r="23" spans="1:20" ht="15" x14ac:dyDescent="0.25">
      <c r="A23" s="1435">
        <v>3021</v>
      </c>
      <c r="B23" s="1436" t="s">
        <v>1074</v>
      </c>
      <c r="C23" s="1436" t="s">
        <v>1491</v>
      </c>
      <c r="D23" s="1436" t="s">
        <v>1488</v>
      </c>
      <c r="E23" s="1436" t="s">
        <v>1486</v>
      </c>
      <c r="F23" s="1572">
        <v>11280</v>
      </c>
      <c r="G23" s="1437">
        <v>12840</v>
      </c>
      <c r="H23" s="732"/>
      <c r="I23" s="732">
        <v>2500</v>
      </c>
      <c r="J23" s="732"/>
      <c r="K23" s="1438"/>
      <c r="L23" s="1439">
        <f t="shared" si="0"/>
        <v>15340</v>
      </c>
      <c r="M23" s="1440">
        <f t="shared" si="1"/>
        <v>20555.600000000002</v>
      </c>
      <c r="N23" s="1441"/>
      <c r="O23" s="1442"/>
      <c r="P23" s="1443">
        <f t="shared" si="2"/>
        <v>15340</v>
      </c>
      <c r="Q23" s="1443">
        <f t="shared" si="3"/>
        <v>76700</v>
      </c>
      <c r="R23" s="1443">
        <f t="shared" si="4"/>
        <v>107380</v>
      </c>
      <c r="S23" s="1442">
        <f t="shared" si="5"/>
        <v>184080</v>
      </c>
      <c r="T23" s="1444">
        <f t="shared" si="6"/>
        <v>246667.2</v>
      </c>
    </row>
    <row r="24" spans="1:20" ht="15" x14ac:dyDescent="0.25">
      <c r="A24" s="1435">
        <v>3014</v>
      </c>
      <c r="B24" s="1436" t="s">
        <v>1069</v>
      </c>
      <c r="C24" s="1436" t="s">
        <v>1485</v>
      </c>
      <c r="D24" s="1436" t="s">
        <v>1489</v>
      </c>
      <c r="E24" s="1436" t="s">
        <v>1487</v>
      </c>
      <c r="F24" s="1572">
        <v>15980</v>
      </c>
      <c r="G24" s="1437">
        <v>18220</v>
      </c>
      <c r="H24" s="732"/>
      <c r="I24" s="732">
        <v>4500</v>
      </c>
      <c r="J24" s="732"/>
      <c r="K24" s="1438"/>
      <c r="L24" s="1439">
        <f t="shared" si="0"/>
        <v>22720</v>
      </c>
      <c r="M24" s="1440">
        <f t="shared" si="1"/>
        <v>30444.800000000003</v>
      </c>
      <c r="N24" s="1441">
        <v>3000</v>
      </c>
      <c r="O24" s="1442"/>
      <c r="P24" s="1443">
        <f t="shared" si="2"/>
        <v>25720</v>
      </c>
      <c r="Q24" s="1443">
        <f t="shared" si="3"/>
        <v>128600</v>
      </c>
      <c r="R24" s="1443">
        <f t="shared" si="4"/>
        <v>159040</v>
      </c>
      <c r="S24" s="1442">
        <f t="shared" si="5"/>
        <v>287640</v>
      </c>
      <c r="T24" s="1444">
        <f t="shared" si="6"/>
        <v>385437.60000000003</v>
      </c>
    </row>
    <row r="26" spans="1:20" ht="15" x14ac:dyDescent="0.25">
      <c r="A26" s="1445">
        <v>2008</v>
      </c>
      <c r="B26" s="1446" t="s">
        <v>1500</v>
      </c>
      <c r="C26" s="1446" t="s">
        <v>1485</v>
      </c>
      <c r="D26" s="1446" t="s">
        <v>1486</v>
      </c>
      <c r="E26" s="1446" t="s">
        <v>1498</v>
      </c>
      <c r="F26" s="1573">
        <v>14910</v>
      </c>
      <c r="G26" s="1447">
        <v>17000</v>
      </c>
      <c r="H26" s="1448"/>
      <c r="I26" s="1448">
        <v>2400</v>
      </c>
      <c r="J26" s="1448"/>
      <c r="K26" s="1449"/>
      <c r="L26" s="1450">
        <f t="shared" ref="L26:L34" si="7">G26+H26+I26+J26+K26</f>
        <v>19400</v>
      </c>
      <c r="M26" s="1451">
        <f t="shared" ref="M26:M34" si="8">L26*1.34</f>
        <v>25996</v>
      </c>
      <c r="N26" s="1452"/>
      <c r="O26" s="1453"/>
      <c r="P26" s="1454"/>
      <c r="Q26" s="1454"/>
      <c r="R26" s="1454"/>
      <c r="S26" s="1453">
        <f>L26*12</f>
        <v>232800</v>
      </c>
      <c r="T26" s="1455">
        <f>S26*1.34</f>
        <v>311952</v>
      </c>
    </row>
    <row r="27" spans="1:20" ht="15" x14ac:dyDescent="0.25">
      <c r="A27" s="1456">
        <v>2002</v>
      </c>
      <c r="B27" s="1457" t="s">
        <v>1051</v>
      </c>
      <c r="C27" s="1457" t="s">
        <v>1485</v>
      </c>
      <c r="D27" s="1457" t="s">
        <v>1487</v>
      </c>
      <c r="E27" s="1457" t="s">
        <v>1501</v>
      </c>
      <c r="F27" s="1574">
        <v>18620</v>
      </c>
      <c r="G27" s="1458">
        <v>21210</v>
      </c>
      <c r="H27" s="1459"/>
      <c r="I27" s="1459">
        <v>7000</v>
      </c>
      <c r="J27" s="1459"/>
      <c r="K27" s="1460"/>
      <c r="L27" s="1461">
        <f t="shared" si="7"/>
        <v>28210</v>
      </c>
      <c r="M27" s="1462">
        <f t="shared" si="8"/>
        <v>37801.4</v>
      </c>
      <c r="N27" s="1463"/>
      <c r="O27" s="1464">
        <v>9000</v>
      </c>
      <c r="P27" s="1465">
        <f>L27+O27</f>
        <v>37210</v>
      </c>
      <c r="Q27" s="1465"/>
      <c r="R27" s="1465"/>
      <c r="S27" s="1464">
        <f>P27*12</f>
        <v>446520</v>
      </c>
      <c r="T27" s="1466">
        <f>S27*1.34</f>
        <v>598336.80000000005</v>
      </c>
    </row>
    <row r="28" spans="1:20" ht="15" x14ac:dyDescent="0.25">
      <c r="A28" s="1456">
        <v>2001</v>
      </c>
      <c r="B28" s="1457" t="s">
        <v>1050</v>
      </c>
      <c r="C28" s="1457" t="s">
        <v>1485</v>
      </c>
      <c r="D28" s="1457" t="s">
        <v>1487</v>
      </c>
      <c r="E28" s="1457" t="s">
        <v>1497</v>
      </c>
      <c r="F28" s="1574">
        <v>26980</v>
      </c>
      <c r="G28" s="1458">
        <v>30750</v>
      </c>
      <c r="H28" s="1459"/>
      <c r="I28" s="1459">
        <v>8500</v>
      </c>
      <c r="J28" s="1459"/>
      <c r="K28" s="1460"/>
      <c r="L28" s="1461">
        <f t="shared" si="7"/>
        <v>39250</v>
      </c>
      <c r="M28" s="1462">
        <f t="shared" si="8"/>
        <v>52595</v>
      </c>
      <c r="N28" s="1463"/>
      <c r="O28" s="1464">
        <v>12000</v>
      </c>
      <c r="P28" s="1465">
        <f>L28+O28</f>
        <v>51250</v>
      </c>
      <c r="Q28" s="1465"/>
      <c r="R28" s="1465"/>
      <c r="S28" s="1464">
        <f>P28*12</f>
        <v>615000</v>
      </c>
      <c r="T28" s="1466">
        <f>S28*1.34</f>
        <v>824100</v>
      </c>
    </row>
    <row r="29" spans="1:20" s="1478" customFormat="1" ht="15" x14ac:dyDescent="0.25">
      <c r="A29" s="1467">
        <v>2004</v>
      </c>
      <c r="B29" s="1468" t="s">
        <v>1053</v>
      </c>
      <c r="C29" s="1468" t="s">
        <v>1502</v>
      </c>
      <c r="D29" s="1468" t="s">
        <v>1503</v>
      </c>
      <c r="E29" s="1468" t="s">
        <v>1503</v>
      </c>
      <c r="F29" s="1575">
        <v>4500</v>
      </c>
      <c r="G29" s="1469">
        <v>4500</v>
      </c>
      <c r="H29" s="1470"/>
      <c r="I29" s="1470"/>
      <c r="J29" s="1470"/>
      <c r="K29" s="1471"/>
      <c r="L29" s="1472">
        <f t="shared" si="7"/>
        <v>4500</v>
      </c>
      <c r="M29" s="1473">
        <f t="shared" si="8"/>
        <v>6030</v>
      </c>
      <c r="N29" s="1474"/>
      <c r="O29" s="1475"/>
      <c r="P29" s="1476"/>
      <c r="Q29" s="1476">
        <f>P29*5</f>
        <v>0</v>
      </c>
      <c r="R29" s="1476"/>
      <c r="S29" s="1475">
        <f>L29*12</f>
        <v>54000</v>
      </c>
      <c r="T29" s="1477"/>
    </row>
    <row r="30" spans="1:20" s="1478" customFormat="1" ht="15" x14ac:dyDescent="0.25">
      <c r="A30" s="1467">
        <v>2007</v>
      </c>
      <c r="B30" s="1468" t="s">
        <v>1056</v>
      </c>
      <c r="C30" s="1468" t="s">
        <v>1502</v>
      </c>
      <c r="D30" s="1468" t="s">
        <v>1503</v>
      </c>
      <c r="E30" s="1468" t="s">
        <v>1503</v>
      </c>
      <c r="F30" s="1575">
        <v>5000</v>
      </c>
      <c r="G30" s="1469">
        <v>5000</v>
      </c>
      <c r="H30" s="1470"/>
      <c r="I30" s="1470"/>
      <c r="J30" s="1470"/>
      <c r="K30" s="1471"/>
      <c r="L30" s="1472">
        <f t="shared" si="7"/>
        <v>5000</v>
      </c>
      <c r="M30" s="1473">
        <f t="shared" si="8"/>
        <v>6700</v>
      </c>
      <c r="N30" s="1474"/>
      <c r="O30" s="1475"/>
      <c r="P30" s="1476"/>
      <c r="Q30" s="1476">
        <f>P30*5</f>
        <v>0</v>
      </c>
      <c r="R30" s="1476"/>
      <c r="S30" s="1475">
        <f>L30*12</f>
        <v>60000</v>
      </c>
      <c r="T30" s="1477"/>
    </row>
    <row r="31" spans="1:20" ht="15" x14ac:dyDescent="0.25">
      <c r="A31" s="1456">
        <v>2003</v>
      </c>
      <c r="B31" s="1457" t="s">
        <v>1052</v>
      </c>
      <c r="C31" s="1457" t="s">
        <v>1485</v>
      </c>
      <c r="D31" s="1457" t="s">
        <v>1486</v>
      </c>
      <c r="E31" s="1457" t="s">
        <v>1487</v>
      </c>
      <c r="F31" s="1574">
        <v>17300</v>
      </c>
      <c r="G31" s="1458">
        <v>19720</v>
      </c>
      <c r="H31" s="1459"/>
      <c r="I31" s="1459">
        <v>2000</v>
      </c>
      <c r="J31" s="1459"/>
      <c r="K31" s="1460"/>
      <c r="L31" s="1461">
        <f t="shared" si="7"/>
        <v>21720</v>
      </c>
      <c r="M31" s="1462">
        <f t="shared" si="8"/>
        <v>29104.800000000003</v>
      </c>
      <c r="N31" s="1463"/>
      <c r="O31" s="1464">
        <v>5500</v>
      </c>
      <c r="P31" s="1465">
        <f>O31+L31</f>
        <v>27220</v>
      </c>
      <c r="Q31" s="1465"/>
      <c r="R31" s="1465"/>
      <c r="S31" s="1464">
        <f>P31*12</f>
        <v>326640</v>
      </c>
      <c r="T31" s="1466">
        <f>S31*1.34</f>
        <v>437697.60000000003</v>
      </c>
    </row>
    <row r="32" spans="1:20" s="1478" customFormat="1" ht="15" x14ac:dyDescent="0.25">
      <c r="A32" s="1467">
        <v>2014</v>
      </c>
      <c r="B32" s="1468" t="s">
        <v>1504</v>
      </c>
      <c r="C32" s="1468" t="s">
        <v>1502</v>
      </c>
      <c r="D32" s="1468" t="s">
        <v>1503</v>
      </c>
      <c r="E32" s="1468" t="s">
        <v>1503</v>
      </c>
      <c r="F32" s="1575">
        <v>9200</v>
      </c>
      <c r="G32" s="1469">
        <v>9200</v>
      </c>
      <c r="H32" s="1470"/>
      <c r="I32" s="1470"/>
      <c r="J32" s="1470"/>
      <c r="K32" s="1471"/>
      <c r="L32" s="1472">
        <f t="shared" si="7"/>
        <v>9200</v>
      </c>
      <c r="M32" s="1473">
        <f t="shared" si="8"/>
        <v>12328</v>
      </c>
      <c r="N32" s="1474"/>
      <c r="O32" s="1475"/>
      <c r="P32" s="1476"/>
      <c r="Q32" s="1476">
        <f>P32*5</f>
        <v>0</v>
      </c>
      <c r="R32" s="1476"/>
      <c r="S32" s="1475">
        <f>L32*12</f>
        <v>110400</v>
      </c>
      <c r="T32" s="1477"/>
    </row>
    <row r="33" spans="1:20" ht="15" x14ac:dyDescent="0.25">
      <c r="A33" s="1456">
        <v>2010</v>
      </c>
      <c r="B33" s="1457" t="s">
        <v>1054</v>
      </c>
      <c r="C33" s="1457" t="s">
        <v>1485</v>
      </c>
      <c r="D33" s="1457" t="s">
        <v>1486</v>
      </c>
      <c r="E33" s="1457" t="s">
        <v>1486</v>
      </c>
      <c r="F33" s="1574">
        <v>14380</v>
      </c>
      <c r="G33" s="1458">
        <v>16370</v>
      </c>
      <c r="H33" s="1459"/>
      <c r="I33" s="1459">
        <v>6000</v>
      </c>
      <c r="J33" s="1459"/>
      <c r="K33" s="1460"/>
      <c r="L33" s="1461">
        <f t="shared" si="7"/>
        <v>22370</v>
      </c>
      <c r="M33" s="1462">
        <f t="shared" si="8"/>
        <v>29975.800000000003</v>
      </c>
      <c r="N33" s="1463"/>
      <c r="O33" s="1464">
        <v>6000</v>
      </c>
      <c r="P33" s="1465">
        <f>O33+L33</f>
        <v>28370</v>
      </c>
      <c r="Q33" s="1465"/>
      <c r="R33" s="1465"/>
      <c r="S33" s="1464">
        <f>P33*12</f>
        <v>340440</v>
      </c>
      <c r="T33" s="1466">
        <f>S33*1.34</f>
        <v>456189.60000000003</v>
      </c>
    </row>
    <row r="34" spans="1:20" s="1478" customFormat="1" ht="15" x14ac:dyDescent="0.25">
      <c r="A34" s="1467">
        <v>2005</v>
      </c>
      <c r="B34" s="1468" t="s">
        <v>1055</v>
      </c>
      <c r="C34" s="1468" t="s">
        <v>1502</v>
      </c>
      <c r="D34" s="1468" t="s">
        <v>1503</v>
      </c>
      <c r="E34" s="1468" t="s">
        <v>1503</v>
      </c>
      <c r="F34" s="1575">
        <v>7000</v>
      </c>
      <c r="G34" s="1469">
        <v>7000</v>
      </c>
      <c r="H34" s="1470"/>
      <c r="I34" s="1470"/>
      <c r="J34" s="1470"/>
      <c r="K34" s="1471"/>
      <c r="L34" s="1472">
        <f t="shared" si="7"/>
        <v>7000</v>
      </c>
      <c r="M34" s="1473">
        <f t="shared" si="8"/>
        <v>9380</v>
      </c>
      <c r="N34" s="1474"/>
      <c r="O34" s="1475"/>
      <c r="P34" s="1476"/>
      <c r="Q34" s="1476">
        <f>P34*5</f>
        <v>0</v>
      </c>
      <c r="R34" s="1476"/>
      <c r="S34" s="1475">
        <f>L34*12</f>
        <v>84000</v>
      </c>
      <c r="T34" s="1477"/>
    </row>
    <row r="36" spans="1:20" ht="15" x14ac:dyDescent="0.25">
      <c r="A36" s="1479">
        <v>1008</v>
      </c>
      <c r="B36" s="1480" t="s">
        <v>1049</v>
      </c>
      <c r="C36" s="1480" t="s">
        <v>1505</v>
      </c>
      <c r="D36" s="1480" t="s">
        <v>1503</v>
      </c>
      <c r="E36" s="1480" t="s">
        <v>1503</v>
      </c>
      <c r="F36" s="1576">
        <v>17000</v>
      </c>
      <c r="G36" s="1481">
        <v>17000</v>
      </c>
      <c r="H36" s="1482"/>
      <c r="I36" s="1482"/>
      <c r="J36" s="1482"/>
      <c r="K36" s="1483"/>
      <c r="L36" s="1484">
        <f>G36+H36+I36+J36+K36</f>
        <v>17000</v>
      </c>
      <c r="M36" s="1485">
        <f>L36*1.34</f>
        <v>22780</v>
      </c>
      <c r="N36" s="1486"/>
      <c r="O36" s="1487"/>
      <c r="P36" s="1488"/>
      <c r="Q36" s="1488">
        <f>P36*5</f>
        <v>0</v>
      </c>
      <c r="R36" s="1488"/>
      <c r="S36" s="1487">
        <f>L36*12</f>
        <v>204000</v>
      </c>
      <c r="T36" s="1489"/>
    </row>
    <row r="37" spans="1:20" ht="15" x14ac:dyDescent="0.25">
      <c r="A37" s="1490">
        <v>1003</v>
      </c>
      <c r="B37" s="1491" t="s">
        <v>1048</v>
      </c>
      <c r="C37" s="1491" t="s">
        <v>1485</v>
      </c>
      <c r="D37" s="1491" t="s">
        <v>1496</v>
      </c>
      <c r="E37" s="1491" t="s">
        <v>1488</v>
      </c>
      <c r="F37" s="1577">
        <v>17810</v>
      </c>
      <c r="G37" s="1492">
        <v>20280</v>
      </c>
      <c r="H37" s="1493"/>
      <c r="I37" s="1493">
        <v>9000</v>
      </c>
      <c r="J37" s="1493"/>
      <c r="K37" s="1494"/>
      <c r="L37" s="1495">
        <f>G37+H37+I37+J37+K37</f>
        <v>29280</v>
      </c>
      <c r="M37" s="1496">
        <f>L37*1.34</f>
        <v>39235.200000000004</v>
      </c>
      <c r="N37" s="1497"/>
      <c r="O37" s="1498">
        <v>9000</v>
      </c>
      <c r="P37" s="1499">
        <f>O37+L37</f>
        <v>38280</v>
      </c>
      <c r="Q37" s="1499"/>
      <c r="R37" s="1499"/>
      <c r="S37" s="1498">
        <f>P37*12</f>
        <v>459360</v>
      </c>
      <c r="T37" s="1500">
        <f>S37*1.34</f>
        <v>615542.4</v>
      </c>
    </row>
    <row r="38" spans="1:20" ht="15" x14ac:dyDescent="0.25">
      <c r="A38" s="1490">
        <v>1001</v>
      </c>
      <c r="B38" s="1491" t="s">
        <v>1506</v>
      </c>
      <c r="C38" s="1491" t="s">
        <v>1485</v>
      </c>
      <c r="D38" s="1491" t="s">
        <v>1497</v>
      </c>
      <c r="E38" s="1491" t="s">
        <v>1489</v>
      </c>
      <c r="F38" s="1577">
        <v>22540</v>
      </c>
      <c r="G38" s="1492">
        <v>25690</v>
      </c>
      <c r="H38" s="1493">
        <v>9000</v>
      </c>
      <c r="I38" s="1493">
        <v>12000</v>
      </c>
      <c r="J38" s="1493"/>
      <c r="K38" s="1494"/>
      <c r="L38" s="1495">
        <f>G38+H38+I38+J38+K38</f>
        <v>46690</v>
      </c>
      <c r="M38" s="1496">
        <f>L38*1.34</f>
        <v>62564.600000000006</v>
      </c>
      <c r="N38" s="1497"/>
      <c r="O38" s="1498"/>
      <c r="P38" s="1499"/>
      <c r="Q38" s="1499">
        <f>P38*5</f>
        <v>0</v>
      </c>
      <c r="R38" s="1499"/>
      <c r="S38" s="1498">
        <f>L38*12</f>
        <v>560280</v>
      </c>
      <c r="T38" s="1500">
        <f>S38*1.34</f>
        <v>750775.20000000007</v>
      </c>
    </row>
    <row r="39" spans="1:20" ht="15" x14ac:dyDescent="0.25">
      <c r="A39" s="1490">
        <v>1002</v>
      </c>
      <c r="B39" s="1491" t="s">
        <v>1507</v>
      </c>
      <c r="C39" s="1491" t="s">
        <v>1485</v>
      </c>
      <c r="D39" s="1491" t="s">
        <v>1496</v>
      </c>
      <c r="E39" s="1491" t="s">
        <v>1488</v>
      </c>
      <c r="F39" s="1577">
        <v>17810</v>
      </c>
      <c r="G39" s="1492">
        <v>20280</v>
      </c>
      <c r="H39" s="1493"/>
      <c r="I39" s="1493">
        <v>8500</v>
      </c>
      <c r="J39" s="1493"/>
      <c r="K39" s="1494"/>
      <c r="L39" s="1495">
        <f>G39+H39+I39+J39+K39</f>
        <v>28780</v>
      </c>
      <c r="M39" s="1496">
        <f>L39*1.34</f>
        <v>38565.200000000004</v>
      </c>
      <c r="N39" s="1497"/>
      <c r="O39" s="1498"/>
      <c r="P39" s="1499"/>
      <c r="Q39" s="1499">
        <f>P39*5</f>
        <v>0</v>
      </c>
      <c r="R39" s="1499"/>
      <c r="S39" s="1498">
        <f>L39*12</f>
        <v>345360</v>
      </c>
      <c r="T39" s="1500">
        <f>S39*1.34</f>
        <v>462782.4</v>
      </c>
    </row>
    <row r="41" spans="1:20" ht="15" x14ac:dyDescent="0.25">
      <c r="A41" s="1501">
        <v>3018</v>
      </c>
      <c r="B41" s="1502" t="s">
        <v>1072</v>
      </c>
      <c r="C41" s="1502" t="s">
        <v>1505</v>
      </c>
      <c r="D41" s="1502" t="s">
        <v>1503</v>
      </c>
      <c r="E41" s="1502" t="s">
        <v>1503</v>
      </c>
      <c r="F41" s="1578">
        <v>19000</v>
      </c>
      <c r="G41" s="1503">
        <v>19000</v>
      </c>
      <c r="H41" s="1504"/>
      <c r="I41" s="1504"/>
      <c r="J41" s="1504"/>
      <c r="K41" s="1505"/>
      <c r="L41" s="1506">
        <f t="shared" ref="L41:L47" si="9">G41+H41+I41+J41+K41</f>
        <v>19000</v>
      </c>
      <c r="M41" s="1507">
        <f t="shared" ref="M41:M47" si="10">L41*1.34</f>
        <v>25460</v>
      </c>
      <c r="N41" s="1508"/>
      <c r="O41" s="1509"/>
      <c r="P41" s="1510"/>
      <c r="Q41" s="1510"/>
      <c r="R41" s="1510"/>
      <c r="S41" s="1509">
        <f t="shared" ref="S41:S47" si="11">L41*12</f>
        <v>228000</v>
      </c>
      <c r="T41" s="1511">
        <f>S41*1.34</f>
        <v>305520</v>
      </c>
    </row>
    <row r="42" spans="1:20" ht="15" x14ac:dyDescent="0.25">
      <c r="A42" s="1512">
        <v>3028</v>
      </c>
      <c r="B42" s="1513" t="s">
        <v>1062</v>
      </c>
      <c r="C42" s="1513" t="s">
        <v>1505</v>
      </c>
      <c r="D42" s="1513" t="s">
        <v>1503</v>
      </c>
      <c r="E42" s="1513" t="s">
        <v>1503</v>
      </c>
      <c r="F42" s="1579">
        <v>7500</v>
      </c>
      <c r="G42" s="1514">
        <v>7500</v>
      </c>
      <c r="H42" s="1515"/>
      <c r="I42" s="1515"/>
      <c r="J42" s="1515"/>
      <c r="K42" s="1516"/>
      <c r="L42" s="1517">
        <f t="shared" si="9"/>
        <v>7500</v>
      </c>
      <c r="M42" s="1518">
        <f t="shared" si="10"/>
        <v>10050</v>
      </c>
      <c r="N42" s="1519"/>
      <c r="O42" s="1520"/>
      <c r="P42" s="1521"/>
      <c r="Q42" s="1521">
        <f t="shared" ref="Q42:Q47" si="12">P42*5</f>
        <v>0</v>
      </c>
      <c r="R42" s="1521"/>
      <c r="S42" s="1520">
        <f t="shared" si="11"/>
        <v>90000</v>
      </c>
      <c r="T42" s="1522">
        <f>S42*1.34</f>
        <v>120600</v>
      </c>
    </row>
    <row r="43" spans="1:20" ht="15" x14ac:dyDescent="0.25">
      <c r="A43" s="1512">
        <v>3025</v>
      </c>
      <c r="B43" s="1513" t="s">
        <v>1064</v>
      </c>
      <c r="C43" s="1513" t="s">
        <v>1505</v>
      </c>
      <c r="D43" s="1513" t="s">
        <v>1503</v>
      </c>
      <c r="E43" s="1513" t="s">
        <v>1503</v>
      </c>
      <c r="F43" s="1579">
        <v>2000</v>
      </c>
      <c r="G43" s="1514">
        <v>2000</v>
      </c>
      <c r="H43" s="1515"/>
      <c r="I43" s="1515"/>
      <c r="J43" s="1515"/>
      <c r="K43" s="1516"/>
      <c r="L43" s="1517">
        <f t="shared" si="9"/>
        <v>2000</v>
      </c>
      <c r="M43" s="1518">
        <f t="shared" si="10"/>
        <v>2680</v>
      </c>
      <c r="N43" s="1519"/>
      <c r="O43" s="1520"/>
      <c r="P43" s="1521"/>
      <c r="Q43" s="1521">
        <f t="shared" si="12"/>
        <v>0</v>
      </c>
      <c r="R43" s="1521"/>
      <c r="S43" s="1520">
        <f t="shared" si="11"/>
        <v>24000</v>
      </c>
      <c r="T43" s="1523"/>
    </row>
    <row r="44" spans="1:20" ht="15" x14ac:dyDescent="0.25">
      <c r="A44" s="1512">
        <v>3016</v>
      </c>
      <c r="B44" s="1513" t="s">
        <v>1073</v>
      </c>
      <c r="C44" s="1513" t="s">
        <v>1505</v>
      </c>
      <c r="D44" s="1513" t="s">
        <v>1503</v>
      </c>
      <c r="E44" s="1513" t="s">
        <v>1503</v>
      </c>
      <c r="F44" s="1579">
        <v>1000</v>
      </c>
      <c r="G44" s="1514">
        <v>1000</v>
      </c>
      <c r="H44" s="1515"/>
      <c r="I44" s="1515"/>
      <c r="J44" s="1515"/>
      <c r="K44" s="1516"/>
      <c r="L44" s="1517">
        <f t="shared" si="9"/>
        <v>1000</v>
      </c>
      <c r="M44" s="1518">
        <f t="shared" si="10"/>
        <v>1340</v>
      </c>
      <c r="N44" s="1519"/>
      <c r="O44" s="1520"/>
      <c r="P44" s="1521"/>
      <c r="Q44" s="1521">
        <f t="shared" si="12"/>
        <v>0</v>
      </c>
      <c r="R44" s="1521"/>
      <c r="S44" s="1520">
        <f t="shared" si="11"/>
        <v>12000</v>
      </c>
      <c r="T44" s="1522"/>
    </row>
    <row r="45" spans="1:20" ht="15" x14ac:dyDescent="0.25">
      <c r="A45" s="1512">
        <v>3027</v>
      </c>
      <c r="B45" s="1513" t="s">
        <v>1057</v>
      </c>
      <c r="C45" s="1513" t="s">
        <v>1502</v>
      </c>
      <c r="D45" s="1513" t="s">
        <v>1503</v>
      </c>
      <c r="E45" s="1513" t="s">
        <v>1503</v>
      </c>
      <c r="F45" s="1579">
        <v>2500</v>
      </c>
      <c r="G45" s="1514">
        <v>2500</v>
      </c>
      <c r="H45" s="1515"/>
      <c r="I45" s="1515"/>
      <c r="J45" s="1515"/>
      <c r="K45" s="1516"/>
      <c r="L45" s="1517">
        <f t="shared" si="9"/>
        <v>2500</v>
      </c>
      <c r="M45" s="1518">
        <f t="shared" si="10"/>
        <v>3350</v>
      </c>
      <c r="N45" s="1519"/>
      <c r="O45" s="1520"/>
      <c r="P45" s="1521"/>
      <c r="Q45" s="1521">
        <f t="shared" si="12"/>
        <v>0</v>
      </c>
      <c r="R45" s="1521"/>
      <c r="S45" s="1520">
        <f t="shared" si="11"/>
        <v>30000</v>
      </c>
      <c r="T45" s="1522"/>
    </row>
    <row r="46" spans="1:20" s="1535" customFormat="1" ht="15" x14ac:dyDescent="0.25">
      <c r="A46" s="1524">
        <v>2013</v>
      </c>
      <c r="B46" s="1525" t="s">
        <v>1508</v>
      </c>
      <c r="C46" s="1525" t="s">
        <v>1502</v>
      </c>
      <c r="D46" s="1525" t="s">
        <v>1503</v>
      </c>
      <c r="E46" s="1525" t="s">
        <v>1503</v>
      </c>
      <c r="F46" s="1580">
        <v>4000</v>
      </c>
      <c r="G46" s="1526">
        <v>4000</v>
      </c>
      <c r="H46" s="1527"/>
      <c r="I46" s="1527"/>
      <c r="J46" s="1527"/>
      <c r="K46" s="1528"/>
      <c r="L46" s="1529">
        <f t="shared" si="9"/>
        <v>4000</v>
      </c>
      <c r="M46" s="1530">
        <f t="shared" si="10"/>
        <v>5360</v>
      </c>
      <c r="N46" s="1531"/>
      <c r="O46" s="1532"/>
      <c r="P46" s="1533"/>
      <c r="Q46" s="1533">
        <f t="shared" si="12"/>
        <v>0</v>
      </c>
      <c r="R46" s="1533"/>
      <c r="S46" s="1532">
        <f t="shared" si="11"/>
        <v>48000</v>
      </c>
      <c r="T46" s="1534"/>
    </row>
    <row r="47" spans="1:20" s="1535" customFormat="1" ht="15" x14ac:dyDescent="0.25">
      <c r="A47" s="1524">
        <v>3026</v>
      </c>
      <c r="B47" s="1525" t="s">
        <v>1507</v>
      </c>
      <c r="C47" s="1525" t="s">
        <v>1505</v>
      </c>
      <c r="D47" s="1525" t="s">
        <v>1503</v>
      </c>
      <c r="E47" s="1525" t="s">
        <v>1503</v>
      </c>
      <c r="F47" s="1580">
        <v>2000</v>
      </c>
      <c r="G47" s="1526">
        <v>2000</v>
      </c>
      <c r="H47" s="1527"/>
      <c r="I47" s="1527"/>
      <c r="J47" s="1527"/>
      <c r="K47" s="1528"/>
      <c r="L47" s="1529">
        <f t="shared" si="9"/>
        <v>2000</v>
      </c>
      <c r="M47" s="1530">
        <f t="shared" si="10"/>
        <v>2680</v>
      </c>
      <c r="N47" s="1531"/>
      <c r="O47" s="1532"/>
      <c r="P47" s="1533"/>
      <c r="Q47" s="1533">
        <f t="shared" si="12"/>
        <v>0</v>
      </c>
      <c r="R47" s="1533"/>
      <c r="S47" s="1532">
        <f t="shared" si="11"/>
        <v>24000</v>
      </c>
      <c r="T47" s="1534"/>
    </row>
    <row r="49" spans="3:12" ht="15" x14ac:dyDescent="0.25">
      <c r="C49" s="329"/>
      <c r="D49" s="1536" t="s">
        <v>623</v>
      </c>
      <c r="E49" s="1537" t="s">
        <v>608</v>
      </c>
      <c r="F49" s="593" t="s">
        <v>232</v>
      </c>
      <c r="G49" s="1538" t="s">
        <v>222</v>
      </c>
      <c r="H49" s="1539" t="s">
        <v>242</v>
      </c>
      <c r="I49" s="1540" t="s">
        <v>1151</v>
      </c>
      <c r="J49" s="1541" t="s">
        <v>547</v>
      </c>
      <c r="K49" s="1542" t="s">
        <v>235</v>
      </c>
      <c r="L49" s="1543" t="s">
        <v>237</v>
      </c>
    </row>
    <row r="50" spans="3:12" ht="15" x14ac:dyDescent="0.2">
      <c r="C50" s="1544" t="s">
        <v>126</v>
      </c>
      <c r="D50" s="1545">
        <f>S37+S38+S39+100000</f>
        <v>1465000</v>
      </c>
      <c r="E50" s="1546">
        <f>F50+G50+H50+I50</f>
        <v>6669380</v>
      </c>
      <c r="F50" s="1581">
        <f>S3+S4+100000</f>
        <v>711940</v>
      </c>
      <c r="G50" s="1547">
        <f>S6+15000</f>
        <v>320040</v>
      </c>
      <c r="H50" s="1548">
        <f>S8+S9+S10+S11+80000</f>
        <v>1273400</v>
      </c>
      <c r="I50" s="1549">
        <f>S13+S14+S15+S16+S17+S18+S19+S20+S21+S22+S23+S24+700000</f>
        <v>4364000</v>
      </c>
      <c r="J50" s="1550">
        <f>K50+L50</f>
        <v>2211400</v>
      </c>
      <c r="K50" s="1551">
        <f>S26+S28+S27+S33+250000</f>
        <v>1884760</v>
      </c>
      <c r="L50" s="1552">
        <f>S31</f>
        <v>326640</v>
      </c>
    </row>
    <row r="51" spans="3:12" ht="15" x14ac:dyDescent="0.2">
      <c r="C51" s="1544" t="s">
        <v>127</v>
      </c>
      <c r="D51" s="1545">
        <f>S36+S47</f>
        <v>228000</v>
      </c>
      <c r="E51" s="1546">
        <f t="shared" ref="E51:E57" si="13">F51+G51+H51+I51</f>
        <v>384000</v>
      </c>
      <c r="F51" s="1582">
        <v>0</v>
      </c>
      <c r="G51" s="1553">
        <v>0</v>
      </c>
      <c r="H51" s="1554">
        <v>0</v>
      </c>
      <c r="I51" s="1549">
        <f>S41+S42+S43+S44+S45</f>
        <v>384000</v>
      </c>
      <c r="J51" s="1550">
        <f t="shared" ref="J51:J57" si="14">K51+L51</f>
        <v>308400</v>
      </c>
      <c r="K51" s="1551">
        <f>S29+S30+S32+S34</f>
        <v>308400</v>
      </c>
      <c r="L51" s="1555"/>
    </row>
    <row r="52" spans="3:12" ht="15" x14ac:dyDescent="0.2">
      <c r="C52" s="1544" t="s">
        <v>427</v>
      </c>
      <c r="D52" s="1556">
        <v>0</v>
      </c>
      <c r="E52" s="1557">
        <f t="shared" si="13"/>
        <v>0</v>
      </c>
      <c r="F52" s="1583">
        <v>0</v>
      </c>
      <c r="G52" s="1559">
        <v>0</v>
      </c>
      <c r="H52" s="1560">
        <v>0</v>
      </c>
      <c r="I52" s="1561">
        <v>0</v>
      </c>
      <c r="J52" s="1562">
        <f t="shared" si="14"/>
        <v>0</v>
      </c>
      <c r="K52" s="1563">
        <v>0</v>
      </c>
      <c r="L52" s="1564">
        <v>0</v>
      </c>
    </row>
    <row r="53" spans="3:12" ht="15" x14ac:dyDescent="0.2">
      <c r="C53" s="1544" t="s">
        <v>130</v>
      </c>
      <c r="D53" s="1556">
        <v>0</v>
      </c>
      <c r="E53" s="1557">
        <f t="shared" si="13"/>
        <v>0</v>
      </c>
      <c r="F53" s="1583">
        <v>0</v>
      </c>
      <c r="G53" s="1559">
        <v>0</v>
      </c>
      <c r="H53" s="1560">
        <v>0</v>
      </c>
      <c r="I53" s="1561">
        <v>0</v>
      </c>
      <c r="J53" s="1562">
        <f t="shared" si="14"/>
        <v>0</v>
      </c>
      <c r="K53" s="1563">
        <v>0</v>
      </c>
      <c r="L53" s="1564">
        <v>0</v>
      </c>
    </row>
    <row r="54" spans="3:12" ht="15" x14ac:dyDescent="0.2">
      <c r="C54" s="1544" t="s">
        <v>131</v>
      </c>
      <c r="D54" s="1556">
        <f>D50*0.25</f>
        <v>366250</v>
      </c>
      <c r="E54" s="1557">
        <f t="shared" si="13"/>
        <v>1667345</v>
      </c>
      <c r="F54" s="1583">
        <f t="shared" ref="F54:L54" si="15">F50*0.25</f>
        <v>177985</v>
      </c>
      <c r="G54" s="1559">
        <f t="shared" si="15"/>
        <v>80010</v>
      </c>
      <c r="H54" s="1560">
        <f t="shared" si="15"/>
        <v>318350</v>
      </c>
      <c r="I54" s="1561">
        <f t="shared" si="15"/>
        <v>1091000</v>
      </c>
      <c r="J54" s="1562">
        <f t="shared" si="14"/>
        <v>552850</v>
      </c>
      <c r="K54" s="1563">
        <f t="shared" si="15"/>
        <v>471190</v>
      </c>
      <c r="L54" s="1564">
        <f t="shared" si="15"/>
        <v>81660</v>
      </c>
    </row>
    <row r="55" spans="3:12" ht="15" x14ac:dyDescent="0.2">
      <c r="C55" s="1544" t="s">
        <v>132</v>
      </c>
      <c r="D55" s="1556">
        <f>D50*0.09</f>
        <v>131850</v>
      </c>
      <c r="E55" s="1557">
        <f t="shared" si="13"/>
        <v>600244.19999999995</v>
      </c>
      <c r="F55" s="1583">
        <f t="shared" ref="F55:L55" si="16">F50*0.09</f>
        <v>64074.6</v>
      </c>
      <c r="G55" s="1559">
        <f t="shared" si="16"/>
        <v>28803.599999999999</v>
      </c>
      <c r="H55" s="1560">
        <f t="shared" si="16"/>
        <v>114606</v>
      </c>
      <c r="I55" s="1561">
        <f t="shared" si="16"/>
        <v>392760</v>
      </c>
      <c r="J55" s="1562">
        <f t="shared" si="14"/>
        <v>199026</v>
      </c>
      <c r="K55" s="1563">
        <f t="shared" si="16"/>
        <v>169628.4</v>
      </c>
      <c r="L55" s="1564">
        <f t="shared" si="16"/>
        <v>29397.599999999999</v>
      </c>
    </row>
    <row r="56" spans="3:12" ht="15" x14ac:dyDescent="0.2">
      <c r="C56" s="1544" t="s">
        <v>567</v>
      </c>
      <c r="D56" s="1556">
        <f>D50*0.02</f>
        <v>29300</v>
      </c>
      <c r="E56" s="1557">
        <f t="shared" si="13"/>
        <v>133387.6</v>
      </c>
      <c r="F56" s="1583">
        <f t="shared" ref="F56:L56" si="17">F50*0.02</f>
        <v>14238.800000000001</v>
      </c>
      <c r="G56" s="1559">
        <f t="shared" si="17"/>
        <v>6400.8</v>
      </c>
      <c r="H56" s="1560">
        <f t="shared" si="17"/>
        <v>25468</v>
      </c>
      <c r="I56" s="1561">
        <f t="shared" si="17"/>
        <v>87280</v>
      </c>
      <c r="J56" s="1562">
        <f t="shared" si="14"/>
        <v>44228.000000000007</v>
      </c>
      <c r="K56" s="1563">
        <f t="shared" si="17"/>
        <v>37695.200000000004</v>
      </c>
      <c r="L56" s="1564">
        <f t="shared" si="17"/>
        <v>6532.8</v>
      </c>
    </row>
    <row r="57" spans="3:12" ht="15" x14ac:dyDescent="0.2">
      <c r="C57" s="1544" t="s">
        <v>133</v>
      </c>
      <c r="D57" s="1556">
        <f>D50*0.01</f>
        <v>14650</v>
      </c>
      <c r="E57" s="1557">
        <f t="shared" si="13"/>
        <v>66693.8</v>
      </c>
      <c r="F57" s="1583">
        <f t="shared" ref="F57:L57" si="18">F50*0.01</f>
        <v>7119.4000000000005</v>
      </c>
      <c r="G57" s="1559">
        <f t="shared" si="18"/>
        <v>3200.4</v>
      </c>
      <c r="H57" s="1560">
        <f t="shared" si="18"/>
        <v>12734</v>
      </c>
      <c r="I57" s="1561">
        <f t="shared" si="18"/>
        <v>43640</v>
      </c>
      <c r="J57" s="1562">
        <f t="shared" si="14"/>
        <v>22114.000000000004</v>
      </c>
      <c r="K57" s="1563">
        <f t="shared" si="18"/>
        <v>18847.600000000002</v>
      </c>
      <c r="L57" s="1564">
        <f t="shared" si="18"/>
        <v>3266.4</v>
      </c>
    </row>
    <row r="58" spans="3:12" ht="15" x14ac:dyDescent="0.2">
      <c r="C58" s="1565" t="s">
        <v>192</v>
      </c>
      <c r="D58" s="1558">
        <f>SUM(D50:D57)</f>
        <v>2235050</v>
      </c>
      <c r="E58" s="1558">
        <f t="shared" ref="E58:L58" si="19">SUM(E50:E57)</f>
        <v>9521050.5999999996</v>
      </c>
      <c r="F58" s="1583">
        <f t="shared" si="19"/>
        <v>975357.8</v>
      </c>
      <c r="G58" s="1558">
        <f t="shared" si="19"/>
        <v>438454.8</v>
      </c>
      <c r="H58" s="1558">
        <f t="shared" si="19"/>
        <v>1744558</v>
      </c>
      <c r="I58" s="1558">
        <f t="shared" si="19"/>
        <v>6362680</v>
      </c>
      <c r="J58" s="1558">
        <f t="shared" si="19"/>
        <v>3338018</v>
      </c>
      <c r="K58" s="1558">
        <f t="shared" si="19"/>
        <v>2890521.2</v>
      </c>
      <c r="L58" s="1558">
        <f t="shared" si="19"/>
        <v>447496.8</v>
      </c>
    </row>
    <row r="59" spans="3:12" ht="15" x14ac:dyDescent="0.25">
      <c r="C59" s="329"/>
    </row>
    <row r="60" spans="3:12" x14ac:dyDescent="0.2">
      <c r="D60" s="445">
        <f>D58+E58+J58</f>
        <v>15094118.6</v>
      </c>
    </row>
  </sheetData>
  <mergeCells count="14">
    <mergeCell ref="F1:F2"/>
    <mergeCell ref="A1:A2"/>
    <mergeCell ref="B1:B2"/>
    <mergeCell ref="C1:C2"/>
    <mergeCell ref="D1:D2"/>
    <mergeCell ref="E1:E2"/>
    <mergeCell ref="R1:R2"/>
    <mergeCell ref="S1:T1"/>
    <mergeCell ref="G1:G2"/>
    <mergeCell ref="H1:K1"/>
    <mergeCell ref="L1:M1"/>
    <mergeCell ref="N1:O1"/>
    <mergeCell ref="P1:P2"/>
    <mergeCell ref="Q1:Q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A2"/>
    </sheetView>
  </sheetViews>
  <sheetFormatPr defaultRowHeight="12.75" x14ac:dyDescent="0.2"/>
  <cols>
    <col min="1" max="1" width="21.7109375" customWidth="1"/>
    <col min="2" max="2" width="6.7109375" customWidth="1"/>
    <col min="3" max="3" width="9.5703125" customWidth="1"/>
    <col min="4" max="4" width="10.140625" customWidth="1"/>
    <col min="11" max="11" width="13.5703125" customWidth="1"/>
    <col min="12" max="12" width="12.5703125" customWidth="1"/>
  </cols>
  <sheetData>
    <row r="1" spans="1:12" ht="15" x14ac:dyDescent="0.2">
      <c r="A1" s="1948" t="s">
        <v>562</v>
      </c>
      <c r="B1" s="1948" t="s">
        <v>563</v>
      </c>
      <c r="C1" s="1948" t="s">
        <v>564</v>
      </c>
      <c r="D1" s="1948"/>
      <c r="E1" s="1948" t="s">
        <v>565</v>
      </c>
      <c r="F1" s="1948"/>
      <c r="G1" s="1948" t="s">
        <v>566</v>
      </c>
      <c r="H1" s="1948"/>
      <c r="I1" s="1948" t="s">
        <v>567</v>
      </c>
      <c r="J1" s="1948"/>
      <c r="K1" s="1948" t="s">
        <v>568</v>
      </c>
      <c r="L1" s="1948" t="s">
        <v>569</v>
      </c>
    </row>
    <row r="2" spans="1:12" ht="15" x14ac:dyDescent="0.2">
      <c r="A2" s="1948"/>
      <c r="B2" s="1948"/>
      <c r="C2" s="423" t="s">
        <v>570</v>
      </c>
      <c r="D2" s="423" t="s">
        <v>571</v>
      </c>
      <c r="E2" s="423" t="s">
        <v>570</v>
      </c>
      <c r="F2" s="423" t="s">
        <v>571</v>
      </c>
      <c r="G2" s="423" t="s">
        <v>570</v>
      </c>
      <c r="H2" s="423" t="s">
        <v>571</v>
      </c>
      <c r="I2" s="423" t="s">
        <v>570</v>
      </c>
      <c r="J2" s="423" t="s">
        <v>571</v>
      </c>
      <c r="K2" s="1948"/>
      <c r="L2" s="1948"/>
    </row>
    <row r="3" spans="1:12" x14ac:dyDescent="0.2">
      <c r="A3" s="424" t="s">
        <v>572</v>
      </c>
      <c r="B3" s="424" t="s">
        <v>573</v>
      </c>
      <c r="C3" s="425">
        <f>35240*1.13</f>
        <v>39821.199999999997</v>
      </c>
      <c r="D3" s="425">
        <f>C3*12</f>
        <v>477854.39999999997</v>
      </c>
      <c r="E3" s="425">
        <f>C3*25%</f>
        <v>9955.2999999999993</v>
      </c>
      <c r="F3" s="425">
        <f>E3*12</f>
        <v>119463.59999999999</v>
      </c>
      <c r="G3" s="425">
        <f>C3*9%</f>
        <v>3583.9079999999994</v>
      </c>
      <c r="H3" s="425">
        <f>G3*12</f>
        <v>43006.895999999993</v>
      </c>
      <c r="I3" s="425">
        <f>C3*1.5%</f>
        <v>597.31799999999998</v>
      </c>
      <c r="J3" s="425">
        <f>I3*12</f>
        <v>7167.8159999999998</v>
      </c>
      <c r="K3" s="425">
        <f>C3+E3+G3+I3</f>
        <v>53957.725999999995</v>
      </c>
      <c r="L3" s="425">
        <f>K3*12</f>
        <v>647492.71199999994</v>
      </c>
    </row>
    <row r="4" spans="1:12" x14ac:dyDescent="0.2">
      <c r="A4" s="424" t="s">
        <v>574</v>
      </c>
      <c r="B4" s="424" t="s">
        <v>573</v>
      </c>
      <c r="C4" s="425">
        <v>27390</v>
      </c>
      <c r="D4" s="425">
        <f t="shared" ref="D4:D30" si="0">C4*12</f>
        <v>328680</v>
      </c>
      <c r="E4" s="425">
        <f>C4*25%</f>
        <v>6847.5</v>
      </c>
      <c r="F4" s="425">
        <f t="shared" ref="F4:F30" si="1">E4*12</f>
        <v>82170</v>
      </c>
      <c r="G4" s="425">
        <f>C4*9%</f>
        <v>2465.1</v>
      </c>
      <c r="H4" s="425">
        <f t="shared" ref="H4:H30" si="2">G4*12</f>
        <v>29581.199999999997</v>
      </c>
      <c r="I4" s="425">
        <f>C4*1.5%</f>
        <v>410.84999999999997</v>
      </c>
      <c r="J4" s="425">
        <f t="shared" ref="J4:J30" si="3">I4*12</f>
        <v>4930.2</v>
      </c>
      <c r="K4" s="425">
        <f>C4+E4+G4+I4</f>
        <v>37113.449999999997</v>
      </c>
      <c r="L4" s="425">
        <f t="shared" ref="L4:L30" si="4">K4*12</f>
        <v>445361.39999999997</v>
      </c>
    </row>
    <row r="5" spans="1:12" x14ac:dyDescent="0.2">
      <c r="A5" s="424" t="s">
        <v>575</v>
      </c>
      <c r="B5" s="424" t="s">
        <v>573</v>
      </c>
      <c r="C5" s="425">
        <v>20190</v>
      </c>
      <c r="D5" s="425">
        <f t="shared" si="0"/>
        <v>242280</v>
      </c>
      <c r="E5" s="425">
        <f>C5*25%</f>
        <v>5047.5</v>
      </c>
      <c r="F5" s="425">
        <f t="shared" si="1"/>
        <v>60570</v>
      </c>
      <c r="G5" s="425">
        <f>C5*9%</f>
        <v>1817.1</v>
      </c>
      <c r="H5" s="425">
        <f t="shared" si="2"/>
        <v>21805.199999999997</v>
      </c>
      <c r="I5" s="425">
        <f>C5*1.5%</f>
        <v>302.84999999999997</v>
      </c>
      <c r="J5" s="425">
        <f t="shared" si="3"/>
        <v>3634.2</v>
      </c>
      <c r="K5" s="425">
        <f>C5+E5+G5+I5</f>
        <v>27357.449999999997</v>
      </c>
      <c r="L5" s="425">
        <f t="shared" si="4"/>
        <v>328289.39999999997</v>
      </c>
    </row>
    <row r="6" spans="1:12" x14ac:dyDescent="0.2">
      <c r="A6" s="424" t="s">
        <v>576</v>
      </c>
      <c r="B6" s="424" t="s">
        <v>573</v>
      </c>
      <c r="C6" s="425">
        <v>19800</v>
      </c>
      <c r="D6" s="425">
        <f t="shared" si="0"/>
        <v>237600</v>
      </c>
      <c r="E6" s="425">
        <f>C6*25%</f>
        <v>4950</v>
      </c>
      <c r="F6" s="425">
        <f t="shared" si="1"/>
        <v>59400</v>
      </c>
      <c r="G6" s="425">
        <f>C6*9%</f>
        <v>1782</v>
      </c>
      <c r="H6" s="425">
        <f t="shared" si="2"/>
        <v>21384</v>
      </c>
      <c r="I6" s="425">
        <f>C6*1.5%</f>
        <v>297</v>
      </c>
      <c r="J6" s="425">
        <f t="shared" si="3"/>
        <v>3564</v>
      </c>
      <c r="K6" s="425">
        <f>C6+E6+G6+I6</f>
        <v>26829</v>
      </c>
      <c r="L6" s="425">
        <f t="shared" si="4"/>
        <v>321948</v>
      </c>
    </row>
    <row r="7" spans="1:12" x14ac:dyDescent="0.2">
      <c r="A7" s="424" t="s">
        <v>577</v>
      </c>
      <c r="B7" s="424" t="s">
        <v>578</v>
      </c>
      <c r="C7" s="425">
        <v>4000</v>
      </c>
      <c r="D7" s="425">
        <f t="shared" si="0"/>
        <v>48000</v>
      </c>
      <c r="E7" s="425">
        <f>C7*25%</f>
        <v>1000</v>
      </c>
      <c r="F7" s="425">
        <f t="shared" si="1"/>
        <v>12000</v>
      </c>
      <c r="G7" s="425">
        <f>C7*9%</f>
        <v>360</v>
      </c>
      <c r="H7" s="425">
        <f t="shared" si="2"/>
        <v>4320</v>
      </c>
      <c r="I7" s="425">
        <f>C7*1.5%</f>
        <v>60</v>
      </c>
      <c r="J7" s="425">
        <f t="shared" si="3"/>
        <v>720</v>
      </c>
      <c r="K7" s="425">
        <f>C7+E7+G7+I7</f>
        <v>5420</v>
      </c>
      <c r="L7" s="425">
        <f t="shared" si="4"/>
        <v>65040</v>
      </c>
    </row>
    <row r="8" spans="1:12" x14ac:dyDescent="0.2">
      <c r="A8" s="424"/>
      <c r="B8" s="424"/>
      <c r="C8" s="425"/>
      <c r="D8" s="425"/>
      <c r="E8" s="425"/>
      <c r="F8" s="425"/>
      <c r="G8" s="425"/>
      <c r="H8" s="425"/>
      <c r="I8" s="425"/>
      <c r="J8" s="425"/>
      <c r="K8" s="425"/>
      <c r="L8" s="425"/>
    </row>
    <row r="9" spans="1:12" x14ac:dyDescent="0.2">
      <c r="A9" s="424" t="s">
        <v>579</v>
      </c>
      <c r="B9" s="424" t="s">
        <v>573</v>
      </c>
      <c r="C9" s="425">
        <f>34930*1.34</f>
        <v>46806.200000000004</v>
      </c>
      <c r="D9" s="425">
        <f t="shared" si="0"/>
        <v>561674.4</v>
      </c>
      <c r="E9" s="425">
        <f t="shared" ref="E9:E15" si="5">C9*25%</f>
        <v>11701.550000000001</v>
      </c>
      <c r="F9" s="425">
        <f t="shared" si="1"/>
        <v>140418.6</v>
      </c>
      <c r="G9" s="425">
        <f t="shared" ref="G9:G15" si="6">C9*9%</f>
        <v>4212.558</v>
      </c>
      <c r="H9" s="425">
        <f t="shared" si="2"/>
        <v>50550.695999999996</v>
      </c>
      <c r="I9" s="425">
        <f t="shared" ref="I9:I15" si="7">C9*1.5%</f>
        <v>702.09300000000007</v>
      </c>
      <c r="J9" s="425">
        <f t="shared" si="3"/>
        <v>8425.1160000000018</v>
      </c>
      <c r="K9" s="425">
        <f t="shared" ref="K9:K15" si="8">C9+E9+G9+I9</f>
        <v>63422.401000000005</v>
      </c>
      <c r="L9" s="425">
        <f t="shared" si="4"/>
        <v>761068.81200000003</v>
      </c>
    </row>
    <row r="10" spans="1:12" x14ac:dyDescent="0.2">
      <c r="A10" s="424" t="s">
        <v>580</v>
      </c>
      <c r="B10" s="424" t="s">
        <v>573</v>
      </c>
      <c r="C10" s="425">
        <v>23500</v>
      </c>
      <c r="D10" s="425">
        <f t="shared" si="0"/>
        <v>282000</v>
      </c>
      <c r="E10" s="425">
        <f t="shared" si="5"/>
        <v>5875</v>
      </c>
      <c r="F10" s="425">
        <f t="shared" si="1"/>
        <v>70500</v>
      </c>
      <c r="G10" s="425">
        <f t="shared" si="6"/>
        <v>2115</v>
      </c>
      <c r="H10" s="425">
        <f t="shared" si="2"/>
        <v>25380</v>
      </c>
      <c r="I10" s="425">
        <f t="shared" si="7"/>
        <v>352.5</v>
      </c>
      <c r="J10" s="425">
        <f t="shared" si="3"/>
        <v>4230</v>
      </c>
      <c r="K10" s="425">
        <f t="shared" si="8"/>
        <v>31842.5</v>
      </c>
      <c r="L10" s="425">
        <f t="shared" si="4"/>
        <v>382110</v>
      </c>
    </row>
    <row r="11" spans="1:12" x14ac:dyDescent="0.2">
      <c r="A11" s="424" t="s">
        <v>581</v>
      </c>
      <c r="B11" s="424" t="s">
        <v>573</v>
      </c>
      <c r="C11" s="425">
        <v>19750</v>
      </c>
      <c r="D11" s="425">
        <f t="shared" si="0"/>
        <v>237000</v>
      </c>
      <c r="E11" s="425">
        <f t="shared" si="5"/>
        <v>4937.5</v>
      </c>
      <c r="F11" s="425">
        <f t="shared" si="1"/>
        <v>59250</v>
      </c>
      <c r="G11" s="425">
        <f t="shared" si="6"/>
        <v>1777.5</v>
      </c>
      <c r="H11" s="425">
        <f t="shared" si="2"/>
        <v>21330</v>
      </c>
      <c r="I11" s="425">
        <f t="shared" si="7"/>
        <v>296.25</v>
      </c>
      <c r="J11" s="425">
        <f t="shared" si="3"/>
        <v>3555</v>
      </c>
      <c r="K11" s="425">
        <f t="shared" si="8"/>
        <v>26761.25</v>
      </c>
      <c r="L11" s="425">
        <f t="shared" si="4"/>
        <v>321135</v>
      </c>
    </row>
    <row r="12" spans="1:12" x14ac:dyDescent="0.2">
      <c r="A12" s="424" t="s">
        <v>582</v>
      </c>
      <c r="B12" s="424" t="s">
        <v>578</v>
      </c>
      <c r="C12" s="425">
        <v>9800</v>
      </c>
      <c r="D12" s="425">
        <f t="shared" si="0"/>
        <v>117600</v>
      </c>
      <c r="E12" s="425">
        <f t="shared" si="5"/>
        <v>2450</v>
      </c>
      <c r="F12" s="425">
        <f t="shared" si="1"/>
        <v>29400</v>
      </c>
      <c r="G12" s="425">
        <f t="shared" si="6"/>
        <v>882</v>
      </c>
      <c r="H12" s="425">
        <f t="shared" si="2"/>
        <v>10584</v>
      </c>
      <c r="I12" s="425">
        <f t="shared" si="7"/>
        <v>147</v>
      </c>
      <c r="J12" s="425">
        <f t="shared" si="3"/>
        <v>1764</v>
      </c>
      <c r="K12" s="425">
        <f t="shared" si="8"/>
        <v>13279</v>
      </c>
      <c r="L12" s="425">
        <f t="shared" si="4"/>
        <v>159348</v>
      </c>
    </row>
    <row r="13" spans="1:12" x14ac:dyDescent="0.2">
      <c r="A13" s="424" t="s">
        <v>583</v>
      </c>
      <c r="B13" s="424" t="s">
        <v>578</v>
      </c>
      <c r="C13" s="425">
        <v>8000</v>
      </c>
      <c r="D13" s="425">
        <f t="shared" si="0"/>
        <v>96000</v>
      </c>
      <c r="E13" s="425">
        <f t="shared" si="5"/>
        <v>2000</v>
      </c>
      <c r="F13" s="425">
        <f t="shared" si="1"/>
        <v>24000</v>
      </c>
      <c r="G13" s="425">
        <f t="shared" si="6"/>
        <v>720</v>
      </c>
      <c r="H13" s="425">
        <f t="shared" si="2"/>
        <v>8640</v>
      </c>
      <c r="I13" s="425">
        <f t="shared" si="7"/>
        <v>120</v>
      </c>
      <c r="J13" s="425">
        <f t="shared" si="3"/>
        <v>1440</v>
      </c>
      <c r="K13" s="425">
        <f t="shared" si="8"/>
        <v>10840</v>
      </c>
      <c r="L13" s="425">
        <f t="shared" si="4"/>
        <v>130080</v>
      </c>
    </row>
    <row r="14" spans="1:12" x14ac:dyDescent="0.2">
      <c r="A14" s="424" t="s">
        <v>584</v>
      </c>
      <c r="B14" s="424" t="s">
        <v>578</v>
      </c>
      <c r="C14" s="425">
        <v>8000</v>
      </c>
      <c r="D14" s="425">
        <f t="shared" si="0"/>
        <v>96000</v>
      </c>
      <c r="E14" s="425">
        <f t="shared" si="5"/>
        <v>2000</v>
      </c>
      <c r="F14" s="425">
        <f t="shared" si="1"/>
        <v>24000</v>
      </c>
      <c r="G14" s="425">
        <f t="shared" si="6"/>
        <v>720</v>
      </c>
      <c r="H14" s="425">
        <f t="shared" si="2"/>
        <v>8640</v>
      </c>
      <c r="I14" s="425">
        <f t="shared" si="7"/>
        <v>120</v>
      </c>
      <c r="J14" s="425">
        <f t="shared" si="3"/>
        <v>1440</v>
      </c>
      <c r="K14" s="425">
        <f t="shared" si="8"/>
        <v>10840</v>
      </c>
      <c r="L14" s="425">
        <f t="shared" si="4"/>
        <v>130080</v>
      </c>
    </row>
    <row r="15" spans="1:12" x14ac:dyDescent="0.2">
      <c r="A15" s="424" t="s">
        <v>585</v>
      </c>
      <c r="B15" s="424" t="s">
        <v>578</v>
      </c>
      <c r="C15" s="425">
        <v>8000</v>
      </c>
      <c r="D15" s="425">
        <f t="shared" si="0"/>
        <v>96000</v>
      </c>
      <c r="E15" s="425">
        <f t="shared" si="5"/>
        <v>2000</v>
      </c>
      <c r="F15" s="425">
        <f t="shared" si="1"/>
        <v>24000</v>
      </c>
      <c r="G15" s="425">
        <f t="shared" si="6"/>
        <v>720</v>
      </c>
      <c r="H15" s="425">
        <f t="shared" si="2"/>
        <v>8640</v>
      </c>
      <c r="I15" s="425">
        <f t="shared" si="7"/>
        <v>120</v>
      </c>
      <c r="J15" s="425">
        <f t="shared" si="3"/>
        <v>1440</v>
      </c>
      <c r="K15" s="425">
        <f t="shared" si="8"/>
        <v>10840</v>
      </c>
      <c r="L15" s="425">
        <f t="shared" si="4"/>
        <v>130080</v>
      </c>
    </row>
    <row r="16" spans="1:12" x14ac:dyDescent="0.2">
      <c r="A16" s="424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</row>
    <row r="17" spans="1:12" x14ac:dyDescent="0.2">
      <c r="A17" s="424" t="s">
        <v>586</v>
      </c>
      <c r="B17" s="424" t="s">
        <v>573</v>
      </c>
      <c r="C17" s="425">
        <v>29530</v>
      </c>
      <c r="D17" s="425">
        <f t="shared" si="0"/>
        <v>354360</v>
      </c>
      <c r="E17" s="425">
        <f t="shared" ref="E17:E30" si="9">C17*25%</f>
        <v>7382.5</v>
      </c>
      <c r="F17" s="425">
        <f t="shared" si="1"/>
        <v>88590</v>
      </c>
      <c r="G17" s="425">
        <f t="shared" ref="G17:G30" si="10">C17*9%</f>
        <v>2657.7</v>
      </c>
      <c r="H17" s="425">
        <f t="shared" si="2"/>
        <v>31892.399999999998</v>
      </c>
      <c r="I17" s="425">
        <f t="shared" ref="I17:I30" si="11">C17*1.5%</f>
        <v>442.95</v>
      </c>
      <c r="J17" s="425">
        <f t="shared" si="3"/>
        <v>5315.4</v>
      </c>
      <c r="K17" s="425">
        <f t="shared" ref="K17:K30" si="12">C17+E17+G17+I17</f>
        <v>40013.149999999994</v>
      </c>
      <c r="L17" s="425">
        <f t="shared" si="4"/>
        <v>480157.79999999993</v>
      </c>
    </row>
    <row r="18" spans="1:12" x14ac:dyDescent="0.2">
      <c r="A18" s="424" t="s">
        <v>587</v>
      </c>
      <c r="B18" s="424" t="s">
        <v>573</v>
      </c>
      <c r="C18" s="425">
        <v>12680</v>
      </c>
      <c r="D18" s="425">
        <f t="shared" si="0"/>
        <v>152160</v>
      </c>
      <c r="E18" s="425">
        <f t="shared" si="9"/>
        <v>3170</v>
      </c>
      <c r="F18" s="425">
        <f t="shared" si="1"/>
        <v>38040</v>
      </c>
      <c r="G18" s="425">
        <f t="shared" si="10"/>
        <v>1141.2</v>
      </c>
      <c r="H18" s="425">
        <f t="shared" si="2"/>
        <v>13694.400000000001</v>
      </c>
      <c r="I18" s="425">
        <f t="shared" si="11"/>
        <v>190.2</v>
      </c>
      <c r="J18" s="425">
        <f t="shared" si="3"/>
        <v>2282.3999999999996</v>
      </c>
      <c r="K18" s="425">
        <f t="shared" si="12"/>
        <v>17181.400000000001</v>
      </c>
      <c r="L18" s="425">
        <f t="shared" si="4"/>
        <v>206176.80000000002</v>
      </c>
    </row>
    <row r="19" spans="1:12" x14ac:dyDescent="0.2">
      <c r="A19" s="424" t="s">
        <v>588</v>
      </c>
      <c r="B19" s="424" t="s">
        <v>573</v>
      </c>
      <c r="C19" s="425">
        <v>20330</v>
      </c>
      <c r="D19" s="425">
        <f t="shared" si="0"/>
        <v>243960</v>
      </c>
      <c r="E19" s="425">
        <f t="shared" si="9"/>
        <v>5082.5</v>
      </c>
      <c r="F19" s="425">
        <f t="shared" si="1"/>
        <v>60990</v>
      </c>
      <c r="G19" s="425">
        <f t="shared" si="10"/>
        <v>1829.7</v>
      </c>
      <c r="H19" s="425">
        <f t="shared" si="2"/>
        <v>21956.400000000001</v>
      </c>
      <c r="I19" s="425">
        <f t="shared" si="11"/>
        <v>304.95</v>
      </c>
      <c r="J19" s="425">
        <f t="shared" si="3"/>
        <v>3659.3999999999996</v>
      </c>
      <c r="K19" s="425">
        <f t="shared" si="12"/>
        <v>27547.15</v>
      </c>
      <c r="L19" s="425">
        <f t="shared" si="4"/>
        <v>330565.80000000005</v>
      </c>
    </row>
    <row r="20" spans="1:12" x14ac:dyDescent="0.2">
      <c r="A20" s="424" t="s">
        <v>589</v>
      </c>
      <c r="B20" s="424" t="s">
        <v>573</v>
      </c>
      <c r="C20" s="425">
        <v>16640</v>
      </c>
      <c r="D20" s="425">
        <f t="shared" si="0"/>
        <v>199680</v>
      </c>
      <c r="E20" s="425">
        <f t="shared" si="9"/>
        <v>4160</v>
      </c>
      <c r="F20" s="425">
        <f t="shared" si="1"/>
        <v>49920</v>
      </c>
      <c r="G20" s="425">
        <f t="shared" si="10"/>
        <v>1497.6</v>
      </c>
      <c r="H20" s="425">
        <f t="shared" si="2"/>
        <v>17971.199999999997</v>
      </c>
      <c r="I20" s="425">
        <f t="shared" si="11"/>
        <v>249.6</v>
      </c>
      <c r="J20" s="425">
        <f t="shared" si="3"/>
        <v>2995.2</v>
      </c>
      <c r="K20" s="425">
        <f t="shared" si="12"/>
        <v>22547.199999999997</v>
      </c>
      <c r="L20" s="425">
        <f t="shared" si="4"/>
        <v>270566.39999999997</v>
      </c>
    </row>
    <row r="21" spans="1:12" x14ac:dyDescent="0.2">
      <c r="A21" s="424" t="s">
        <v>590</v>
      </c>
      <c r="B21" s="424" t="s">
        <v>573</v>
      </c>
      <c r="C21" s="425">
        <v>21610</v>
      </c>
      <c r="D21" s="425">
        <f t="shared" si="0"/>
        <v>259320</v>
      </c>
      <c r="E21" s="425">
        <f t="shared" si="9"/>
        <v>5402.5</v>
      </c>
      <c r="F21" s="425">
        <f t="shared" si="1"/>
        <v>64830</v>
      </c>
      <c r="G21" s="425">
        <f t="shared" si="10"/>
        <v>1944.8999999999999</v>
      </c>
      <c r="H21" s="425">
        <f t="shared" si="2"/>
        <v>23338.799999999999</v>
      </c>
      <c r="I21" s="425">
        <f t="shared" si="11"/>
        <v>324.14999999999998</v>
      </c>
      <c r="J21" s="425">
        <f t="shared" si="3"/>
        <v>3889.7999999999997</v>
      </c>
      <c r="K21" s="425">
        <f t="shared" si="12"/>
        <v>29281.550000000003</v>
      </c>
      <c r="L21" s="425">
        <f t="shared" si="4"/>
        <v>351378.60000000003</v>
      </c>
    </row>
    <row r="22" spans="1:12" x14ac:dyDescent="0.2">
      <c r="A22" s="424" t="s">
        <v>591</v>
      </c>
      <c r="B22" s="424" t="s">
        <v>573</v>
      </c>
      <c r="C22" s="425">
        <v>18800</v>
      </c>
      <c r="D22" s="425">
        <f t="shared" si="0"/>
        <v>225600</v>
      </c>
      <c r="E22" s="425">
        <f t="shared" si="9"/>
        <v>4700</v>
      </c>
      <c r="F22" s="425">
        <f t="shared" si="1"/>
        <v>56400</v>
      </c>
      <c r="G22" s="425">
        <f t="shared" si="10"/>
        <v>1692</v>
      </c>
      <c r="H22" s="425">
        <f t="shared" si="2"/>
        <v>20304</v>
      </c>
      <c r="I22" s="425">
        <f t="shared" si="11"/>
        <v>282</v>
      </c>
      <c r="J22" s="425">
        <f t="shared" si="3"/>
        <v>3384</v>
      </c>
      <c r="K22" s="425">
        <f t="shared" si="12"/>
        <v>25474</v>
      </c>
      <c r="L22" s="425">
        <f t="shared" si="4"/>
        <v>305688</v>
      </c>
    </row>
    <row r="23" spans="1:12" x14ac:dyDescent="0.2">
      <c r="A23" s="424" t="s">
        <v>592</v>
      </c>
      <c r="B23" s="424" t="s">
        <v>573</v>
      </c>
      <c r="C23" s="425">
        <v>15030</v>
      </c>
      <c r="D23" s="425">
        <f t="shared" si="0"/>
        <v>180360</v>
      </c>
      <c r="E23" s="425">
        <f t="shared" si="9"/>
        <v>3757.5</v>
      </c>
      <c r="F23" s="425">
        <f t="shared" si="1"/>
        <v>45090</v>
      </c>
      <c r="G23" s="425">
        <f t="shared" si="10"/>
        <v>1352.7</v>
      </c>
      <c r="H23" s="425">
        <f t="shared" si="2"/>
        <v>16232.400000000001</v>
      </c>
      <c r="I23" s="425">
        <f t="shared" si="11"/>
        <v>225.45</v>
      </c>
      <c r="J23" s="425">
        <f t="shared" si="3"/>
        <v>2705.3999999999996</v>
      </c>
      <c r="K23" s="425">
        <f t="shared" si="12"/>
        <v>20365.650000000001</v>
      </c>
      <c r="L23" s="425">
        <f t="shared" si="4"/>
        <v>244387.80000000002</v>
      </c>
    </row>
    <row r="24" spans="1:12" x14ac:dyDescent="0.2">
      <c r="A24" s="424" t="s">
        <v>593</v>
      </c>
      <c r="B24" s="424" t="s">
        <v>573</v>
      </c>
      <c r="C24" s="425">
        <v>17630</v>
      </c>
      <c r="D24" s="425">
        <f t="shared" si="0"/>
        <v>211560</v>
      </c>
      <c r="E24" s="425">
        <f t="shared" si="9"/>
        <v>4407.5</v>
      </c>
      <c r="F24" s="425">
        <f t="shared" si="1"/>
        <v>52890</v>
      </c>
      <c r="G24" s="425">
        <f t="shared" si="10"/>
        <v>1586.7</v>
      </c>
      <c r="H24" s="425">
        <f t="shared" si="2"/>
        <v>19040.400000000001</v>
      </c>
      <c r="I24" s="425">
        <f t="shared" si="11"/>
        <v>264.45</v>
      </c>
      <c r="J24" s="425">
        <f t="shared" si="3"/>
        <v>3173.3999999999996</v>
      </c>
      <c r="K24" s="425">
        <f t="shared" si="12"/>
        <v>23888.65</v>
      </c>
      <c r="L24" s="425">
        <f t="shared" si="4"/>
        <v>286663.80000000005</v>
      </c>
    </row>
    <row r="25" spans="1:12" x14ac:dyDescent="0.2">
      <c r="A25" s="424" t="s">
        <v>593</v>
      </c>
      <c r="B25" s="424" t="s">
        <v>578</v>
      </c>
      <c r="C25" s="425">
        <v>7500</v>
      </c>
      <c r="D25" s="425">
        <f t="shared" si="0"/>
        <v>90000</v>
      </c>
      <c r="E25" s="425">
        <f t="shared" si="9"/>
        <v>1875</v>
      </c>
      <c r="F25" s="425">
        <f t="shared" si="1"/>
        <v>22500</v>
      </c>
      <c r="G25" s="425">
        <f t="shared" si="10"/>
        <v>675</v>
      </c>
      <c r="H25" s="425">
        <f t="shared" si="2"/>
        <v>8100</v>
      </c>
      <c r="I25" s="425">
        <f t="shared" si="11"/>
        <v>112.5</v>
      </c>
      <c r="J25" s="425">
        <f t="shared" si="3"/>
        <v>1350</v>
      </c>
      <c r="K25" s="425">
        <f t="shared" si="12"/>
        <v>10162.5</v>
      </c>
      <c r="L25" s="425">
        <f t="shared" si="4"/>
        <v>121950</v>
      </c>
    </row>
    <row r="26" spans="1:12" x14ac:dyDescent="0.2">
      <c r="A26" s="424" t="s">
        <v>594</v>
      </c>
      <c r="B26" s="424" t="s">
        <v>573</v>
      </c>
      <c r="C26" s="425">
        <v>20250</v>
      </c>
      <c r="D26" s="425">
        <f t="shared" si="0"/>
        <v>243000</v>
      </c>
      <c r="E26" s="425">
        <f t="shared" si="9"/>
        <v>5062.5</v>
      </c>
      <c r="F26" s="425">
        <f t="shared" si="1"/>
        <v>60750</v>
      </c>
      <c r="G26" s="425">
        <f t="shared" si="10"/>
        <v>1822.5</v>
      </c>
      <c r="H26" s="425">
        <f t="shared" si="2"/>
        <v>21870</v>
      </c>
      <c r="I26" s="425">
        <f t="shared" si="11"/>
        <v>303.75</v>
      </c>
      <c r="J26" s="425">
        <f t="shared" si="3"/>
        <v>3645</v>
      </c>
      <c r="K26" s="425">
        <f t="shared" si="12"/>
        <v>27438.75</v>
      </c>
      <c r="L26" s="425">
        <f t="shared" si="4"/>
        <v>329265</v>
      </c>
    </row>
    <row r="27" spans="1:12" x14ac:dyDescent="0.2">
      <c r="A27" s="424" t="s">
        <v>595</v>
      </c>
      <c r="B27" s="424" t="s">
        <v>573</v>
      </c>
      <c r="C27" s="425">
        <v>20700</v>
      </c>
      <c r="D27" s="425">
        <f t="shared" si="0"/>
        <v>248400</v>
      </c>
      <c r="E27" s="425">
        <f t="shared" si="9"/>
        <v>5175</v>
      </c>
      <c r="F27" s="425">
        <f t="shared" si="1"/>
        <v>62100</v>
      </c>
      <c r="G27" s="425">
        <f t="shared" si="10"/>
        <v>1863</v>
      </c>
      <c r="H27" s="425">
        <f t="shared" si="2"/>
        <v>22356</v>
      </c>
      <c r="I27" s="425">
        <f t="shared" si="11"/>
        <v>310.5</v>
      </c>
      <c r="J27" s="425">
        <f t="shared" si="3"/>
        <v>3726</v>
      </c>
      <c r="K27" s="425">
        <f t="shared" si="12"/>
        <v>28048.5</v>
      </c>
      <c r="L27" s="425">
        <f t="shared" si="4"/>
        <v>336582</v>
      </c>
    </row>
    <row r="28" spans="1:12" x14ac:dyDescent="0.2">
      <c r="A28" s="424" t="s">
        <v>596</v>
      </c>
      <c r="B28" s="424" t="s">
        <v>573</v>
      </c>
      <c r="C28" s="425">
        <v>20700</v>
      </c>
      <c r="D28" s="425">
        <f t="shared" si="0"/>
        <v>248400</v>
      </c>
      <c r="E28" s="425">
        <f t="shared" si="9"/>
        <v>5175</v>
      </c>
      <c r="F28" s="425">
        <f t="shared" si="1"/>
        <v>62100</v>
      </c>
      <c r="G28" s="425">
        <f t="shared" si="10"/>
        <v>1863</v>
      </c>
      <c r="H28" s="425">
        <f t="shared" si="2"/>
        <v>22356</v>
      </c>
      <c r="I28" s="425">
        <f t="shared" si="11"/>
        <v>310.5</v>
      </c>
      <c r="J28" s="425">
        <f t="shared" si="3"/>
        <v>3726</v>
      </c>
      <c r="K28" s="425">
        <f t="shared" si="12"/>
        <v>28048.5</v>
      </c>
      <c r="L28" s="425">
        <f t="shared" si="4"/>
        <v>336582</v>
      </c>
    </row>
    <row r="29" spans="1:12" x14ac:dyDescent="0.2">
      <c r="A29" s="424" t="s">
        <v>597</v>
      </c>
      <c r="B29" s="424" t="s">
        <v>573</v>
      </c>
      <c r="C29" s="425">
        <v>20150</v>
      </c>
      <c r="D29" s="425">
        <f t="shared" si="0"/>
        <v>241800</v>
      </c>
      <c r="E29" s="425">
        <f t="shared" si="9"/>
        <v>5037.5</v>
      </c>
      <c r="F29" s="425">
        <f t="shared" si="1"/>
        <v>60450</v>
      </c>
      <c r="G29" s="425">
        <f t="shared" si="10"/>
        <v>1813.5</v>
      </c>
      <c r="H29" s="425">
        <f t="shared" si="2"/>
        <v>21762</v>
      </c>
      <c r="I29" s="425">
        <f t="shared" si="11"/>
        <v>302.25</v>
      </c>
      <c r="J29" s="425">
        <f t="shared" si="3"/>
        <v>3627</v>
      </c>
      <c r="K29" s="425">
        <f t="shared" si="12"/>
        <v>27303.25</v>
      </c>
      <c r="L29" s="425">
        <f t="shared" si="4"/>
        <v>327639</v>
      </c>
    </row>
    <row r="30" spans="1:12" x14ac:dyDescent="0.2">
      <c r="A30" s="424" t="s">
        <v>598</v>
      </c>
      <c r="B30" s="424" t="s">
        <v>573</v>
      </c>
      <c r="C30" s="425">
        <v>16130</v>
      </c>
      <c r="D30" s="425">
        <f t="shared" si="0"/>
        <v>193560</v>
      </c>
      <c r="E30" s="425">
        <f t="shared" si="9"/>
        <v>4032.5</v>
      </c>
      <c r="F30" s="425">
        <f t="shared" si="1"/>
        <v>48390</v>
      </c>
      <c r="G30" s="425">
        <f t="shared" si="10"/>
        <v>1451.7</v>
      </c>
      <c r="H30" s="425">
        <f t="shared" si="2"/>
        <v>17420.400000000001</v>
      </c>
      <c r="I30" s="425">
        <f t="shared" si="11"/>
        <v>241.95</v>
      </c>
      <c r="J30" s="425">
        <f t="shared" si="3"/>
        <v>2903.3999999999996</v>
      </c>
      <c r="K30" s="425">
        <f t="shared" si="12"/>
        <v>21856.15</v>
      </c>
      <c r="L30" s="425">
        <f t="shared" si="4"/>
        <v>262273.80000000005</v>
      </c>
    </row>
    <row r="31" spans="1:12" ht="15" x14ac:dyDescent="0.25">
      <c r="A31" s="426" t="s">
        <v>599</v>
      </c>
      <c r="B31" s="424"/>
      <c r="C31" s="424"/>
      <c r="D31" s="427">
        <f>SUM(D3:D30)</f>
        <v>5912848.7999999998</v>
      </c>
      <c r="E31" s="426"/>
      <c r="F31" s="427">
        <f>SUM(F3:F30)</f>
        <v>1478212.2</v>
      </c>
      <c r="G31" s="426"/>
      <c r="H31" s="427">
        <f>SUM(H3:H30)</f>
        <v>532156.39200000011</v>
      </c>
      <c r="I31" s="426"/>
      <c r="J31" s="427">
        <f>SUM(J3:J30)</f>
        <v>88692.731999999989</v>
      </c>
      <c r="K31" s="424"/>
      <c r="L31" s="427">
        <f>SUM(L3:L30)</f>
        <v>8011910.1239999989</v>
      </c>
    </row>
    <row r="33" spans="10:10" x14ac:dyDescent="0.2">
      <c r="J33" s="315"/>
    </row>
  </sheetData>
  <mergeCells count="8">
    <mergeCell ref="K1:K2"/>
    <mergeCell ref="L1:L2"/>
    <mergeCell ref="A1:A2"/>
    <mergeCell ref="B1:B2"/>
    <mergeCell ref="C1:D1"/>
    <mergeCell ref="E1:F1"/>
    <mergeCell ref="G1:H1"/>
    <mergeCell ref="I1:J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943"/>
      <c r="C3" s="943"/>
      <c r="D3" s="944" t="s">
        <v>608</v>
      </c>
      <c r="F3" s="943"/>
      <c r="G3" s="943"/>
      <c r="H3" s="944" t="s">
        <v>391</v>
      </c>
      <c r="J3" s="943"/>
      <c r="K3" s="943"/>
      <c r="L3" s="944" t="s">
        <v>391</v>
      </c>
      <c r="N3" s="943"/>
      <c r="O3" s="943"/>
      <c r="P3" s="943"/>
    </row>
    <row r="4" spans="2:20" ht="15" x14ac:dyDescent="0.25">
      <c r="B4" s="945"/>
      <c r="C4" s="946"/>
      <c r="D4" s="947">
        <v>2014</v>
      </c>
      <c r="E4" s="946"/>
      <c r="F4" s="948"/>
      <c r="G4" s="949"/>
      <c r="H4" s="950">
        <v>2015</v>
      </c>
      <c r="J4" s="948"/>
      <c r="K4" s="949"/>
      <c r="L4" s="950">
        <v>2016</v>
      </c>
      <c r="M4" s="448"/>
      <c r="N4" s="948"/>
      <c r="O4" s="949"/>
      <c r="P4" s="950">
        <v>2017</v>
      </c>
      <c r="R4" s="951">
        <v>2018</v>
      </c>
      <c r="S4" s="950">
        <v>2019</v>
      </c>
      <c r="T4" s="950">
        <v>2020</v>
      </c>
    </row>
    <row r="5" spans="2:20" ht="15" x14ac:dyDescent="0.25">
      <c r="B5" s="952" t="s">
        <v>372</v>
      </c>
      <c r="C5" s="342"/>
      <c r="D5" s="953"/>
      <c r="E5" s="946"/>
      <c r="F5" s="954" t="s">
        <v>1147</v>
      </c>
      <c r="G5" s="946"/>
      <c r="H5" s="955"/>
      <c r="J5" s="954" t="s">
        <v>1147</v>
      </c>
      <c r="K5" s="946"/>
      <c r="L5" s="955"/>
      <c r="N5" s="952" t="s">
        <v>1147</v>
      </c>
      <c r="O5" s="342"/>
      <c r="P5" s="953"/>
      <c r="R5" s="956"/>
      <c r="S5" s="955"/>
      <c r="T5" s="955"/>
    </row>
    <row r="6" spans="2:20" x14ac:dyDescent="0.2">
      <c r="B6" s="945"/>
      <c r="C6" s="886" t="s">
        <v>1148</v>
      </c>
      <c r="D6" s="957">
        <v>3565331</v>
      </c>
      <c r="E6" s="946"/>
      <c r="F6" s="945"/>
      <c r="G6" s="946" t="s">
        <v>1148</v>
      </c>
      <c r="H6" s="957">
        <v>3565331</v>
      </c>
      <c r="J6" s="945"/>
      <c r="K6" s="946" t="s">
        <v>1149</v>
      </c>
      <c r="L6" s="957"/>
      <c r="M6" s="315"/>
      <c r="N6" s="945"/>
      <c r="O6" s="946" t="s">
        <v>1148</v>
      </c>
      <c r="P6" s="957">
        <v>5550000</v>
      </c>
      <c r="R6" s="958">
        <v>5550000</v>
      </c>
      <c r="S6" s="957">
        <v>5550000</v>
      </c>
      <c r="T6" s="957">
        <v>5550000</v>
      </c>
    </row>
    <row r="7" spans="2:20" x14ac:dyDescent="0.2">
      <c r="B7" s="945"/>
      <c r="C7" s="886" t="s">
        <v>1150</v>
      </c>
      <c r="D7" s="957">
        <v>7550000</v>
      </c>
      <c r="E7" s="946"/>
      <c r="F7" s="945"/>
      <c r="G7" s="946" t="s">
        <v>1150</v>
      </c>
      <c r="H7" s="957"/>
      <c r="J7" s="945"/>
      <c r="K7" s="946" t="s">
        <v>1150</v>
      </c>
      <c r="L7" s="957"/>
      <c r="M7" s="315"/>
      <c r="N7" s="945"/>
      <c r="O7" s="946" t="s">
        <v>1150</v>
      </c>
      <c r="P7" s="957">
        <f>+'Sumář  výdaje kapitol'!$CE$34+'Sumář  výdaje kapitol'!$CH$34+'Sumář  výdaje kapitol'!$CK$34</f>
        <v>5730000</v>
      </c>
      <c r="R7" s="958">
        <f>+'Sumář  výdaje kapitol'!$CE$34+'Sumář  výdaje kapitol'!$CH$34+'Sumář  výdaje kapitol'!$CK$34</f>
        <v>5730000</v>
      </c>
      <c r="S7" s="957">
        <f>+'Sumář  výdaje kapitol'!$CE$34+'Sumář  výdaje kapitol'!$CH$34+'Sumář  výdaje kapitol'!$CK$34</f>
        <v>5730000</v>
      </c>
      <c r="T7" s="957">
        <f>+'Sumář  výdaje kapitol'!$CE$34+'Sumář  výdaje kapitol'!$CH$34+'Sumář  výdaje kapitol'!$CK$34</f>
        <v>5730000</v>
      </c>
    </row>
    <row r="8" spans="2:20" x14ac:dyDescent="0.2">
      <c r="B8" s="945"/>
      <c r="C8" s="886" t="s">
        <v>232</v>
      </c>
      <c r="D8" s="957">
        <v>1997367</v>
      </c>
      <c r="E8" s="946"/>
      <c r="F8" s="945"/>
      <c r="G8" s="946" t="s">
        <v>232</v>
      </c>
      <c r="H8" s="957"/>
      <c r="J8" s="945"/>
      <c r="K8" s="946" t="s">
        <v>232</v>
      </c>
      <c r="L8" s="957"/>
      <c r="M8" s="315"/>
      <c r="N8" s="945"/>
      <c r="O8" s="946" t="s">
        <v>232</v>
      </c>
      <c r="P8" s="957">
        <f>+'Sumář  výdaje kapitol'!$BN$56</f>
        <v>1278100</v>
      </c>
      <c r="R8" s="958">
        <f>+'Sumář  výdaje kapitol'!$BN$56</f>
        <v>1278100</v>
      </c>
      <c r="S8" s="957">
        <f>+'Sumář  výdaje kapitol'!$BN$56</f>
        <v>1278100</v>
      </c>
      <c r="T8" s="957">
        <f>+'Sumář  výdaje kapitol'!$BN$56</f>
        <v>1278100</v>
      </c>
    </row>
    <row r="9" spans="2:20" x14ac:dyDescent="0.2">
      <c r="B9" s="945"/>
      <c r="C9" s="886" t="s">
        <v>608</v>
      </c>
      <c r="D9" s="957">
        <v>6511246</v>
      </c>
      <c r="E9" s="946"/>
      <c r="F9" s="945"/>
      <c r="G9" s="946" t="s">
        <v>608</v>
      </c>
      <c r="H9" s="957"/>
      <c r="J9" s="945"/>
      <c r="K9" s="946" t="s">
        <v>608</v>
      </c>
      <c r="L9" s="957"/>
      <c r="M9" s="315"/>
      <c r="N9" s="945"/>
      <c r="O9" s="946" t="s">
        <v>608</v>
      </c>
      <c r="P9" s="957">
        <v>9052384</v>
      </c>
      <c r="R9" s="958">
        <v>9052384</v>
      </c>
      <c r="S9" s="957">
        <v>9052384</v>
      </c>
      <c r="T9" s="957">
        <v>9052384</v>
      </c>
    </row>
    <row r="10" spans="2:20" x14ac:dyDescent="0.2">
      <c r="B10" s="945"/>
      <c r="C10" s="886" t="s">
        <v>1075</v>
      </c>
      <c r="D10" s="957">
        <v>115974</v>
      </c>
      <c r="E10" s="946"/>
      <c r="F10" s="945"/>
      <c r="G10" s="946" t="s">
        <v>1075</v>
      </c>
      <c r="H10" s="957"/>
      <c r="J10" s="945"/>
      <c r="K10" s="946" t="s">
        <v>1075</v>
      </c>
      <c r="L10" s="957"/>
      <c r="M10" s="315"/>
      <c r="N10" s="945"/>
      <c r="O10" s="946" t="s">
        <v>1075</v>
      </c>
      <c r="P10" s="957">
        <v>857116</v>
      </c>
      <c r="R10" s="958">
        <v>857116</v>
      </c>
      <c r="S10" s="957">
        <v>857116</v>
      </c>
      <c r="T10" s="957">
        <v>857116</v>
      </c>
    </row>
    <row r="11" spans="2:20" x14ac:dyDescent="0.2">
      <c r="B11" s="945"/>
      <c r="C11" s="946"/>
      <c r="D11" s="957"/>
      <c r="E11" s="946"/>
      <c r="F11" s="945"/>
      <c r="G11" s="946" t="s">
        <v>1151</v>
      </c>
      <c r="H11" s="957">
        <v>0</v>
      </c>
      <c r="J11" s="945"/>
      <c r="K11" s="946" t="s">
        <v>1152</v>
      </c>
      <c r="L11" s="957"/>
      <c r="M11" s="315"/>
      <c r="N11" s="945"/>
      <c r="O11" s="946" t="s">
        <v>1153</v>
      </c>
      <c r="P11" s="957">
        <f>SUM(P12:P17)</f>
        <v>4057816</v>
      </c>
      <c r="R11" s="958">
        <f>SUM(R12:R17)</f>
        <v>3200000</v>
      </c>
      <c r="S11" s="957">
        <f>SUM(S12:S17)</f>
        <v>3200000</v>
      </c>
      <c r="T11" s="957">
        <f>SUM(T12:T17)</f>
        <v>1750000</v>
      </c>
    </row>
    <row r="12" spans="2:20" s="962" customFormat="1" ht="15" x14ac:dyDescent="0.25">
      <c r="B12" s="959"/>
      <c r="C12" s="960"/>
      <c r="D12" s="961"/>
      <c r="E12" s="960"/>
      <c r="F12" s="959"/>
      <c r="G12" s="960"/>
      <c r="H12" s="961"/>
      <c r="J12" s="959"/>
      <c r="K12" s="960"/>
      <c r="L12" s="961"/>
      <c r="M12" s="331"/>
      <c r="N12" s="959"/>
      <c r="O12" s="963" t="s">
        <v>609</v>
      </c>
      <c r="P12" s="961">
        <v>2107816</v>
      </c>
      <c r="R12" s="964">
        <v>1750000</v>
      </c>
      <c r="S12" s="961">
        <v>1750000</v>
      </c>
      <c r="T12" s="961">
        <v>1750000</v>
      </c>
    </row>
    <row r="13" spans="2:20" s="962" customFormat="1" ht="15" x14ac:dyDescent="0.25">
      <c r="B13" s="959"/>
      <c r="C13" s="960"/>
      <c r="D13" s="961"/>
      <c r="E13" s="960"/>
      <c r="F13" s="959"/>
      <c r="G13" s="960"/>
      <c r="H13" s="961"/>
      <c r="J13" s="959"/>
      <c r="K13" s="960"/>
      <c r="L13" s="961"/>
      <c r="M13" s="331"/>
      <c r="N13" s="959"/>
      <c r="O13" s="963" t="s">
        <v>822</v>
      </c>
      <c r="P13" s="961">
        <v>370000</v>
      </c>
      <c r="R13" s="964">
        <v>370000</v>
      </c>
      <c r="S13" s="961">
        <v>370000</v>
      </c>
      <c r="T13" s="961"/>
    </row>
    <row r="14" spans="2:20" s="962" customFormat="1" ht="15" x14ac:dyDescent="0.25">
      <c r="B14" s="959"/>
      <c r="C14" s="960"/>
      <c r="D14" s="961"/>
      <c r="E14" s="960"/>
      <c r="F14" s="959"/>
      <c r="G14" s="960"/>
      <c r="H14" s="961"/>
      <c r="J14" s="959"/>
      <c r="K14" s="960"/>
      <c r="L14" s="961"/>
      <c r="M14" s="331"/>
      <c r="N14" s="959"/>
      <c r="O14" s="963" t="s">
        <v>823</v>
      </c>
      <c r="P14" s="961">
        <v>250000</v>
      </c>
      <c r="R14" s="964"/>
      <c r="S14" s="961"/>
      <c r="T14" s="961"/>
    </row>
    <row r="15" spans="2:20" s="962" customFormat="1" ht="15" x14ac:dyDescent="0.25">
      <c r="B15" s="959"/>
      <c r="C15" s="960"/>
      <c r="D15" s="961"/>
      <c r="E15" s="960"/>
      <c r="F15" s="959"/>
      <c r="G15" s="960"/>
      <c r="H15" s="961"/>
      <c r="J15" s="959"/>
      <c r="K15" s="960"/>
      <c r="L15" s="961"/>
      <c r="M15" s="331"/>
      <c r="N15" s="959"/>
      <c r="O15" s="963" t="s">
        <v>876</v>
      </c>
      <c r="P15" s="961">
        <v>240000</v>
      </c>
      <c r="R15" s="964">
        <v>240000</v>
      </c>
      <c r="S15" s="961">
        <v>240000</v>
      </c>
      <c r="T15" s="961"/>
    </row>
    <row r="16" spans="2:20" s="962" customFormat="1" ht="15" x14ac:dyDescent="0.25">
      <c r="B16" s="959"/>
      <c r="C16" s="960"/>
      <c r="D16" s="961"/>
      <c r="E16" s="960"/>
      <c r="F16" s="959"/>
      <c r="G16" s="960"/>
      <c r="H16" s="961"/>
      <c r="J16" s="959"/>
      <c r="K16" s="960"/>
      <c r="L16" s="961"/>
      <c r="M16" s="331"/>
      <c r="N16" s="959"/>
      <c r="O16" s="963" t="s">
        <v>877</v>
      </c>
      <c r="P16" s="961">
        <v>250000</v>
      </c>
      <c r="R16" s="964"/>
      <c r="S16" s="961"/>
      <c r="T16" s="961"/>
    </row>
    <row r="17" spans="2:20" s="962" customFormat="1" ht="15" x14ac:dyDescent="0.25">
      <c r="B17" s="959"/>
      <c r="C17" s="960"/>
      <c r="D17" s="961"/>
      <c r="E17" s="960"/>
      <c r="F17" s="959"/>
      <c r="G17" s="960"/>
      <c r="H17" s="961"/>
      <c r="J17" s="959"/>
      <c r="K17" s="960"/>
      <c r="L17" s="961"/>
      <c r="M17" s="331"/>
      <c r="N17" s="959"/>
      <c r="O17" s="963" t="s">
        <v>1117</v>
      </c>
      <c r="P17" s="961">
        <v>840000</v>
      </c>
      <c r="R17" s="964">
        <v>840000</v>
      </c>
      <c r="S17" s="961">
        <v>840000</v>
      </c>
      <c r="T17" s="961"/>
    </row>
    <row r="18" spans="2:20" s="971" customFormat="1" ht="15.75" thickBot="1" x14ac:dyDescent="0.3">
      <c r="B18" s="965" t="s">
        <v>2</v>
      </c>
      <c r="C18" s="966"/>
      <c r="D18" s="967">
        <f>SUM(D6:D10)</f>
        <v>19739918</v>
      </c>
      <c r="E18" s="968"/>
      <c r="F18" s="969" t="s">
        <v>2</v>
      </c>
      <c r="G18" s="968"/>
      <c r="H18" s="970">
        <f>SUM(H6:H11)</f>
        <v>3565331</v>
      </c>
      <c r="J18" s="969"/>
      <c r="K18" s="968" t="s">
        <v>2</v>
      </c>
      <c r="L18" s="970">
        <f>SUM(L6:L10)</f>
        <v>0</v>
      </c>
      <c r="M18" s="972"/>
      <c r="N18" s="965"/>
      <c r="O18" s="966" t="s">
        <v>2</v>
      </c>
      <c r="P18" s="967">
        <f>SUM(P6:P11)</f>
        <v>26525416</v>
      </c>
      <c r="R18" s="973">
        <f>SUM(R6:R11)</f>
        <v>25667600</v>
      </c>
      <c r="S18" s="973">
        <f>SUM(S6:S11)</f>
        <v>25667600</v>
      </c>
      <c r="T18" s="973">
        <f>SUM(T6:T11)</f>
        <v>24217600</v>
      </c>
    </row>
    <row r="19" spans="2:20" s="962" customFormat="1" ht="15" x14ac:dyDescent="0.25">
      <c r="B19" s="959"/>
      <c r="C19" s="974" t="s">
        <v>1154</v>
      </c>
      <c r="D19" s="961">
        <v>2823671</v>
      </c>
      <c r="E19" s="960"/>
      <c r="F19" s="959"/>
      <c r="G19" s="974" t="s">
        <v>1154</v>
      </c>
      <c r="H19" s="975"/>
      <c r="J19" s="959"/>
      <c r="K19" s="974" t="s">
        <v>1154</v>
      </c>
      <c r="L19" s="975"/>
      <c r="N19" s="959"/>
      <c r="O19" s="974" t="s">
        <v>1154</v>
      </c>
      <c r="P19" s="961">
        <v>3605000</v>
      </c>
      <c r="R19" s="964"/>
      <c r="S19" s="961"/>
      <c r="T19" s="961"/>
    </row>
    <row r="20" spans="2:20" s="962" customFormat="1" ht="15" x14ac:dyDescent="0.25">
      <c r="B20" s="959"/>
      <c r="C20" s="974"/>
      <c r="D20" s="975"/>
      <c r="E20" s="960"/>
      <c r="F20" s="959"/>
      <c r="G20" s="974"/>
      <c r="H20" s="975"/>
      <c r="J20" s="959"/>
      <c r="K20" s="974"/>
      <c r="L20" s="975"/>
      <c r="N20" s="959"/>
      <c r="O20" s="974"/>
      <c r="P20" s="975"/>
      <c r="R20" s="976"/>
      <c r="S20" s="975"/>
      <c r="T20" s="975"/>
    </row>
    <row r="21" spans="2:20" ht="15" x14ac:dyDescent="0.25">
      <c r="B21" s="954" t="s">
        <v>344</v>
      </c>
      <c r="C21" s="946"/>
      <c r="D21" s="955"/>
      <c r="E21" s="946"/>
      <c r="F21" s="954" t="s">
        <v>344</v>
      </c>
      <c r="G21" s="946"/>
      <c r="H21" s="955"/>
      <c r="J21" s="954" t="s">
        <v>344</v>
      </c>
      <c r="K21" s="946"/>
      <c r="L21" s="955"/>
      <c r="N21" s="954" t="s">
        <v>344</v>
      </c>
      <c r="O21" s="946"/>
      <c r="P21" s="955"/>
      <c r="R21" s="956"/>
      <c r="S21" s="955"/>
      <c r="T21" s="955"/>
    </row>
    <row r="22" spans="2:20" x14ac:dyDescent="0.2">
      <c r="B22" s="945"/>
      <c r="C22" s="946" t="s">
        <v>1150</v>
      </c>
      <c r="D22" s="957">
        <v>3959122</v>
      </c>
      <c r="E22" s="946"/>
      <c r="F22" s="945"/>
      <c r="G22" s="946" t="s">
        <v>1155</v>
      </c>
      <c r="H22" s="977">
        <v>4381411.66</v>
      </c>
      <c r="J22" s="945"/>
      <c r="K22" s="946" t="s">
        <v>1155</v>
      </c>
      <c r="L22" s="957">
        <v>5442000</v>
      </c>
      <c r="M22" s="315"/>
      <c r="N22" s="945"/>
      <c r="O22" s="946" t="s">
        <v>1150</v>
      </c>
      <c r="P22" s="957">
        <v>4000000</v>
      </c>
      <c r="R22" s="958">
        <v>4000000</v>
      </c>
      <c r="S22" s="957">
        <v>4000000</v>
      </c>
      <c r="T22" s="957">
        <v>4000000</v>
      </c>
    </row>
    <row r="23" spans="2:20" x14ac:dyDescent="0.2">
      <c r="B23" s="945"/>
      <c r="C23" s="946" t="s">
        <v>1155</v>
      </c>
      <c r="D23" s="957">
        <v>5190031.75</v>
      </c>
      <c r="E23" s="946"/>
      <c r="F23" s="945"/>
      <c r="G23" s="946" t="s">
        <v>1075</v>
      </c>
      <c r="H23" s="957"/>
      <c r="J23" s="945"/>
      <c r="K23" s="946" t="s">
        <v>1075</v>
      </c>
      <c r="L23" s="957">
        <v>153740</v>
      </c>
      <c r="M23" s="315"/>
      <c r="N23" s="945"/>
      <c r="O23" s="946" t="s">
        <v>1155</v>
      </c>
      <c r="P23" s="957">
        <v>8150000</v>
      </c>
      <c r="R23" s="958">
        <v>8150000</v>
      </c>
      <c r="S23" s="957">
        <v>8150000</v>
      </c>
      <c r="T23" s="957">
        <v>8150000</v>
      </c>
    </row>
    <row r="24" spans="2:20" x14ac:dyDescent="0.2">
      <c r="B24" s="945"/>
      <c r="C24" s="946" t="s">
        <v>1075</v>
      </c>
      <c r="D24" s="957">
        <v>177731</v>
      </c>
      <c r="E24" s="946"/>
      <c r="F24" s="945"/>
      <c r="G24" s="946" t="s">
        <v>1150</v>
      </c>
      <c r="H24" s="957"/>
      <c r="J24" s="945"/>
      <c r="K24" s="946" t="s">
        <v>242</v>
      </c>
      <c r="L24" s="957">
        <v>2772765.1</v>
      </c>
      <c r="M24" s="315"/>
      <c r="N24" s="945"/>
      <c r="O24" s="946" t="s">
        <v>1075</v>
      </c>
      <c r="P24" s="957">
        <v>450000</v>
      </c>
      <c r="R24" s="958">
        <v>450000</v>
      </c>
      <c r="S24" s="957">
        <v>450000</v>
      </c>
      <c r="T24" s="957">
        <v>450000</v>
      </c>
    </row>
    <row r="25" spans="2:20" s="971" customFormat="1" ht="15.75" thickBot="1" x14ac:dyDescent="0.3">
      <c r="B25" s="965" t="s">
        <v>2</v>
      </c>
      <c r="C25" s="966"/>
      <c r="D25" s="967">
        <f>SUM(D22:D24)</f>
        <v>9326884.75</v>
      </c>
      <c r="E25" s="968"/>
      <c r="F25" s="969" t="s">
        <v>2</v>
      </c>
      <c r="G25" s="968"/>
      <c r="H25" s="970">
        <f>SUM(H22:H24)</f>
        <v>4381411.66</v>
      </c>
      <c r="J25" s="969" t="s">
        <v>2</v>
      </c>
      <c r="K25" s="968"/>
      <c r="L25" s="970">
        <f>SUM(L22:L24)</f>
        <v>8368505.0999999996</v>
      </c>
      <c r="M25" s="972"/>
      <c r="N25" s="965" t="s">
        <v>2</v>
      </c>
      <c r="O25" s="966"/>
      <c r="P25" s="967">
        <f>SUM(P22:P24)</f>
        <v>12600000</v>
      </c>
      <c r="R25" s="973">
        <f>SUM(R22:R24)</f>
        <v>12600000</v>
      </c>
      <c r="S25" s="967">
        <f>SUM(S22:S24)</f>
        <v>12600000</v>
      </c>
      <c r="T25" s="967">
        <f>SUM(T22:T24)</f>
        <v>12600000</v>
      </c>
    </row>
    <row r="26" spans="2:20" x14ac:dyDescent="0.2">
      <c r="B26" s="945"/>
      <c r="C26" s="946"/>
      <c r="D26" s="955"/>
      <c r="E26" s="946"/>
      <c r="F26" s="945"/>
      <c r="G26" s="946"/>
      <c r="H26" s="955"/>
      <c r="J26" s="945"/>
      <c r="K26" s="946"/>
      <c r="L26" s="955"/>
      <c r="N26" s="945"/>
      <c r="O26" s="946"/>
      <c r="P26" s="955"/>
      <c r="R26" s="956"/>
      <c r="S26" s="955"/>
      <c r="T26" s="955"/>
    </row>
    <row r="27" spans="2:20" s="329" customFormat="1" ht="15" x14ac:dyDescent="0.25">
      <c r="B27" s="954" t="s">
        <v>1156</v>
      </c>
      <c r="C27" s="978"/>
      <c r="D27" s="979">
        <f>D25-D18</f>
        <v>-10413033.25</v>
      </c>
      <c r="E27" s="978"/>
      <c r="F27" s="954" t="s">
        <v>1156</v>
      </c>
      <c r="G27" s="978"/>
      <c r="H27" s="979">
        <f>H25-H18</f>
        <v>816080.66000000015</v>
      </c>
      <c r="J27" s="954"/>
      <c r="K27" s="978"/>
      <c r="L27" s="979">
        <f>L25-L18</f>
        <v>8368505.0999999996</v>
      </c>
      <c r="M27" s="980"/>
      <c r="N27" s="954"/>
      <c r="O27" s="978"/>
      <c r="P27" s="979">
        <f>P25-P18</f>
        <v>-13925416</v>
      </c>
      <c r="R27" s="981">
        <f>R25-R18</f>
        <v>-13067600</v>
      </c>
      <c r="S27" s="979">
        <f>S25-S18</f>
        <v>-13067600</v>
      </c>
      <c r="T27" s="979">
        <f>T25-T18</f>
        <v>-11617600</v>
      </c>
    </row>
    <row r="28" spans="2:20" s="962" customFormat="1" ht="15.75" thickBot="1" x14ac:dyDescent="0.3">
      <c r="B28" s="982"/>
      <c r="C28" s="983"/>
      <c r="D28" s="984"/>
      <c r="E28" s="960"/>
      <c r="F28" s="982"/>
      <c r="G28" s="983"/>
      <c r="H28" s="985"/>
      <c r="J28" s="982"/>
      <c r="K28" s="983"/>
      <c r="L28" s="985"/>
      <c r="M28" s="331"/>
      <c r="N28" s="982"/>
      <c r="O28" s="983"/>
      <c r="P28" s="985"/>
      <c r="R28" s="986"/>
      <c r="S28" s="985"/>
      <c r="T28" s="985"/>
    </row>
    <row r="29" spans="2:20" x14ac:dyDescent="0.2">
      <c r="J29" t="s">
        <v>1157</v>
      </c>
      <c r="K29" t="s">
        <v>1158</v>
      </c>
      <c r="O29" s="315"/>
    </row>
    <row r="30" spans="2:20" x14ac:dyDescent="0.2">
      <c r="G30" t="s">
        <v>1159</v>
      </c>
      <c r="K30" t="s">
        <v>1160</v>
      </c>
      <c r="P30" s="315"/>
    </row>
    <row r="31" spans="2:20" x14ac:dyDescent="0.2">
      <c r="C31" t="s">
        <v>1161</v>
      </c>
      <c r="K31" t="s">
        <v>1162</v>
      </c>
      <c r="P31" s="315">
        <f>P27-D27</f>
        <v>-3512382.75</v>
      </c>
      <c r="Q31" t="s">
        <v>1163</v>
      </c>
    </row>
    <row r="32" spans="2:20" x14ac:dyDescent="0.2">
      <c r="C32" t="s">
        <v>1164</v>
      </c>
      <c r="P32" s="315">
        <f>P19-D19</f>
        <v>781329</v>
      </c>
      <c r="Q32" t="s">
        <v>1165</v>
      </c>
    </row>
    <row r="33" spans="3:17" x14ac:dyDescent="0.2">
      <c r="P33" s="315"/>
    </row>
    <row r="34" spans="3:17" x14ac:dyDescent="0.2">
      <c r="C34" t="s">
        <v>7</v>
      </c>
      <c r="P34" s="315">
        <f>P31-P32</f>
        <v>-4293711.75</v>
      </c>
      <c r="Q34" t="s">
        <v>1166</v>
      </c>
    </row>
    <row r="35" spans="3:17" x14ac:dyDescent="0.2">
      <c r="P35" s="315"/>
      <c r="Q35" t="s">
        <v>1167</v>
      </c>
    </row>
    <row r="36" spans="3:17" x14ac:dyDescent="0.2">
      <c r="P36" s="315"/>
      <c r="Q36" t="s">
        <v>1168</v>
      </c>
    </row>
    <row r="37" spans="3:17" x14ac:dyDescent="0.2">
      <c r="C37" t="s">
        <v>1169</v>
      </c>
      <c r="P37" s="315">
        <f>SUM(P34:P36)</f>
        <v>-4293711.75</v>
      </c>
    </row>
    <row r="38" spans="3:17" x14ac:dyDescent="0.2">
      <c r="P38" s="315"/>
    </row>
    <row r="39" spans="3:17" x14ac:dyDescent="0.2">
      <c r="C39" t="s">
        <v>1170</v>
      </c>
      <c r="P39" s="315"/>
      <c r="Q39" t="s">
        <v>1171</v>
      </c>
    </row>
    <row r="40" spans="3:17" x14ac:dyDescent="0.2">
      <c r="P40" s="315"/>
      <c r="Q40" t="s">
        <v>1172</v>
      </c>
    </row>
    <row r="41" spans="3:17" x14ac:dyDescent="0.2">
      <c r="D41" s="987"/>
      <c r="E41" s="987"/>
      <c r="P41" s="315"/>
    </row>
    <row r="42" spans="3:17" ht="15" x14ac:dyDescent="0.25">
      <c r="C42" t="s">
        <v>1173</v>
      </c>
      <c r="P42" s="980">
        <f>SUM(P37:P40)</f>
        <v>-4293711.75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/>
  </sheetViews>
  <sheetFormatPr defaultRowHeight="12.75" x14ac:dyDescent="0.2"/>
  <cols>
    <col min="1" max="1" width="19.42578125" style="64" bestFit="1" customWidth="1"/>
    <col min="2" max="2" width="37.7109375" style="9" bestFit="1" customWidth="1"/>
    <col min="3" max="3" width="10.140625" style="9" bestFit="1" customWidth="1"/>
    <col min="4" max="4" width="11.7109375" style="9" customWidth="1"/>
    <col min="5" max="5" width="9.140625" style="9"/>
    <col min="6" max="6" width="10.140625" style="9" bestFit="1" customWidth="1"/>
    <col min="7" max="7" width="10" style="9" customWidth="1"/>
    <col min="8" max="16384" width="9.140625" style="9"/>
  </cols>
  <sheetData>
    <row r="1" spans="1:8" x14ac:dyDescent="0.2">
      <c r="A1" s="64" t="s">
        <v>509</v>
      </c>
    </row>
    <row r="3" spans="1:8" x14ac:dyDescent="0.2">
      <c r="C3" s="1949" t="s">
        <v>507</v>
      </c>
      <c r="D3" s="1949"/>
      <c r="E3" s="1949"/>
      <c r="F3" s="1949" t="s">
        <v>508</v>
      </c>
      <c r="G3" s="1949"/>
      <c r="H3" s="1949"/>
    </row>
    <row r="4" spans="1:8" x14ac:dyDescent="0.2">
      <c r="C4" s="34" t="s">
        <v>194</v>
      </c>
      <c r="D4" s="34" t="s">
        <v>528</v>
      </c>
      <c r="E4" s="34" t="s">
        <v>529</v>
      </c>
      <c r="F4" s="34" t="s">
        <v>194</v>
      </c>
      <c r="G4" s="34" t="s">
        <v>528</v>
      </c>
      <c r="H4" s="34" t="s">
        <v>529</v>
      </c>
    </row>
    <row r="5" spans="1:8" s="64" customFormat="1" x14ac:dyDescent="0.2">
      <c r="A5" s="64" t="s">
        <v>140</v>
      </c>
      <c r="C5" s="12">
        <f>SUM(C6:C9)</f>
        <v>3616303</v>
      </c>
      <c r="D5" s="12">
        <f>SUM(D6:D9)</f>
        <v>3793411</v>
      </c>
      <c r="E5" s="12"/>
      <c r="F5" s="12">
        <f>SUM(F6:F9)</f>
        <v>538674</v>
      </c>
      <c r="G5" s="12">
        <f>SUM(G6:G9)</f>
        <v>788064</v>
      </c>
      <c r="H5" s="12"/>
    </row>
    <row r="6" spans="1:8" x14ac:dyDescent="0.2">
      <c r="B6" s="9" t="s">
        <v>510</v>
      </c>
      <c r="C6" s="13"/>
      <c r="D6" s="13"/>
      <c r="E6" s="13"/>
      <c r="F6" s="13"/>
      <c r="G6" s="13"/>
      <c r="H6" s="13"/>
    </row>
    <row r="7" spans="1:8" x14ac:dyDescent="0.2">
      <c r="B7" s="9" t="s">
        <v>511</v>
      </c>
      <c r="C7" s="13">
        <v>3534245</v>
      </c>
      <c r="D7" s="13">
        <v>3634257</v>
      </c>
      <c r="E7" s="13"/>
      <c r="F7" s="13">
        <v>320174</v>
      </c>
      <c r="G7" s="13">
        <v>347735</v>
      </c>
      <c r="H7" s="13"/>
    </row>
    <row r="8" spans="1:8" x14ac:dyDescent="0.2">
      <c r="B8" s="9" t="s">
        <v>512</v>
      </c>
      <c r="C8" s="13">
        <v>1923</v>
      </c>
      <c r="D8" s="13">
        <v>0</v>
      </c>
      <c r="E8" s="13"/>
      <c r="F8" s="13">
        <v>190888</v>
      </c>
      <c r="G8" s="13">
        <v>324930</v>
      </c>
      <c r="H8" s="13"/>
    </row>
    <row r="9" spans="1:8" x14ac:dyDescent="0.2">
      <c r="B9" s="9" t="s">
        <v>513</v>
      </c>
      <c r="C9" s="13">
        <v>80135</v>
      </c>
      <c r="D9" s="13">
        <v>159154</v>
      </c>
      <c r="E9" s="13"/>
      <c r="F9" s="13">
        <v>27612</v>
      </c>
      <c r="G9" s="13">
        <v>115399</v>
      </c>
      <c r="H9" s="13"/>
    </row>
    <row r="10" spans="1:8" s="64" customFormat="1" x14ac:dyDescent="0.2">
      <c r="A10" s="64" t="s">
        <v>197</v>
      </c>
      <c r="C10" s="12">
        <f>SUM(C11:C12)</f>
        <v>23557</v>
      </c>
      <c r="D10" s="12">
        <f>SUM(D11:D12)</f>
        <v>32193</v>
      </c>
      <c r="E10" s="12"/>
      <c r="F10" s="12">
        <f>SUM(F11:F12)</f>
        <v>944734</v>
      </c>
      <c r="G10" s="12">
        <f>SUM(G11:G12)</f>
        <v>943726</v>
      </c>
      <c r="H10" s="12"/>
    </row>
    <row r="11" spans="1:8" x14ac:dyDescent="0.2">
      <c r="B11" s="9" t="s">
        <v>514</v>
      </c>
      <c r="C11" s="13">
        <v>23557</v>
      </c>
      <c r="D11" s="13">
        <v>32193</v>
      </c>
      <c r="E11" s="13"/>
      <c r="F11" s="13">
        <v>867977</v>
      </c>
      <c r="G11" s="13">
        <v>873365</v>
      </c>
      <c r="H11" s="13"/>
    </row>
    <row r="12" spans="1:8" x14ac:dyDescent="0.2">
      <c r="B12" s="9" t="s">
        <v>515</v>
      </c>
      <c r="C12" s="13"/>
      <c r="D12" s="13"/>
      <c r="E12" s="13"/>
      <c r="F12" s="13">
        <v>76757</v>
      </c>
      <c r="G12" s="13">
        <v>70361</v>
      </c>
      <c r="H12" s="13"/>
    </row>
    <row r="13" spans="1:8" s="64" customFormat="1" x14ac:dyDescent="0.2">
      <c r="A13" s="64" t="s">
        <v>196</v>
      </c>
      <c r="C13" s="12">
        <f>SUM(C14:C15)</f>
        <v>0</v>
      </c>
      <c r="D13" s="12">
        <f>SUM(D14:D15)</f>
        <v>0</v>
      </c>
      <c r="E13" s="12"/>
      <c r="F13" s="12">
        <f>SUM(F14:F15)</f>
        <v>0</v>
      </c>
      <c r="G13" s="12">
        <f>SUM(G14:G15)</f>
        <v>0</v>
      </c>
      <c r="H13" s="12"/>
    </row>
    <row r="14" spans="1:8" x14ac:dyDescent="0.2">
      <c r="B14" s="9" t="s">
        <v>516</v>
      </c>
      <c r="C14" s="13"/>
      <c r="D14" s="13"/>
      <c r="E14" s="13"/>
      <c r="F14" s="13"/>
      <c r="G14" s="13"/>
      <c r="H14" s="13"/>
    </row>
    <row r="15" spans="1:8" x14ac:dyDescent="0.2">
      <c r="B15" s="9" t="s">
        <v>517</v>
      </c>
      <c r="C15" s="13"/>
      <c r="D15" s="13"/>
      <c r="E15" s="13"/>
      <c r="F15" s="13"/>
      <c r="G15" s="13"/>
      <c r="H15" s="13"/>
    </row>
    <row r="16" spans="1:8" s="64" customFormat="1" x14ac:dyDescent="0.2">
      <c r="A16" s="64" t="s">
        <v>518</v>
      </c>
      <c r="C16" s="12">
        <f>SUM(C17:C22)</f>
        <v>1631000</v>
      </c>
      <c r="D16" s="12">
        <f>SUM(D17:D22)</f>
        <v>1367583</v>
      </c>
      <c r="E16" s="12"/>
      <c r="F16" s="12">
        <f>SUM(F17:F22)</f>
        <v>3863358</v>
      </c>
      <c r="G16" s="12">
        <f>SUM(G17:G22)</f>
        <v>3942970</v>
      </c>
      <c r="H16" s="12"/>
    </row>
    <row r="17" spans="1:8" x14ac:dyDescent="0.2">
      <c r="B17" s="9" t="s">
        <v>519</v>
      </c>
      <c r="C17" s="13"/>
      <c r="D17" s="13"/>
      <c r="E17" s="13"/>
      <c r="F17" s="13"/>
      <c r="G17" s="13"/>
      <c r="H17" s="13"/>
    </row>
    <row r="18" spans="1:8" x14ac:dyDescent="0.2">
      <c r="B18" s="9" t="s">
        <v>520</v>
      </c>
      <c r="C18" s="13">
        <v>563884</v>
      </c>
      <c r="D18" s="13">
        <v>293797</v>
      </c>
      <c r="E18" s="13"/>
      <c r="F18" s="13">
        <v>83038</v>
      </c>
      <c r="G18" s="13">
        <v>131451</v>
      </c>
      <c r="H18" s="13"/>
    </row>
    <row r="19" spans="1:8" x14ac:dyDescent="0.2">
      <c r="B19" s="9" t="s">
        <v>521</v>
      </c>
      <c r="C19" s="13">
        <v>927012</v>
      </c>
      <c r="D19" s="13">
        <v>927013</v>
      </c>
      <c r="E19" s="13"/>
      <c r="F19" s="13">
        <v>3348963</v>
      </c>
      <c r="G19" s="13">
        <v>3348963</v>
      </c>
      <c r="H19" s="13"/>
    </row>
    <row r="20" spans="1:8" x14ac:dyDescent="0.2">
      <c r="B20" s="9" t="s">
        <v>522</v>
      </c>
      <c r="C20" s="13"/>
      <c r="D20" s="13"/>
      <c r="E20" s="13"/>
      <c r="F20" s="13">
        <v>26984</v>
      </c>
      <c r="G20" s="13">
        <v>32694</v>
      </c>
      <c r="H20" s="13"/>
    </row>
    <row r="21" spans="1:8" x14ac:dyDescent="0.2">
      <c r="B21" s="9" t="s">
        <v>523</v>
      </c>
      <c r="C21" s="13">
        <v>140104</v>
      </c>
      <c r="D21" s="13">
        <v>146773</v>
      </c>
      <c r="E21" s="13"/>
      <c r="F21" s="13">
        <v>404373</v>
      </c>
      <c r="G21" s="13">
        <v>429862</v>
      </c>
      <c r="H21" s="13"/>
    </row>
    <row r="22" spans="1:8" x14ac:dyDescent="0.2">
      <c r="B22" s="9" t="s">
        <v>535</v>
      </c>
      <c r="C22" s="13"/>
      <c r="D22" s="13"/>
      <c r="E22" s="13"/>
      <c r="F22" s="13"/>
      <c r="G22" s="13"/>
      <c r="H22" s="13"/>
    </row>
    <row r="23" spans="1:8" s="64" customFormat="1" x14ac:dyDescent="0.2">
      <c r="A23" s="64" t="s">
        <v>524</v>
      </c>
      <c r="C23" s="12"/>
      <c r="D23" s="12"/>
      <c r="E23" s="12"/>
      <c r="F23" s="12"/>
      <c r="G23" s="12"/>
      <c r="H23" s="12"/>
    </row>
    <row r="24" spans="1:8" s="64" customFormat="1" x14ac:dyDescent="0.2">
      <c r="A24" s="64" t="s">
        <v>525</v>
      </c>
      <c r="C24" s="12"/>
      <c r="D24" s="12"/>
      <c r="E24" s="12"/>
      <c r="F24" s="12"/>
      <c r="G24" s="12"/>
      <c r="H24" s="12"/>
    </row>
    <row r="25" spans="1:8" s="64" customFormat="1" x14ac:dyDescent="0.2">
      <c r="A25" s="64" t="s">
        <v>526</v>
      </c>
      <c r="C25" s="12"/>
      <c r="D25" s="12"/>
      <c r="E25" s="12"/>
      <c r="F25" s="12"/>
      <c r="G25" s="12"/>
      <c r="H25" s="12"/>
    </row>
    <row r="26" spans="1:8" s="64" customFormat="1" x14ac:dyDescent="0.2">
      <c r="A26" s="64" t="s">
        <v>527</v>
      </c>
      <c r="C26" s="12">
        <f>+C5+C10+C13+C16+C23+C24+C25</f>
        <v>5270860</v>
      </c>
      <c r="D26" s="12">
        <f>+D5+D10+D13+D16+D23+D24+D25</f>
        <v>5193187</v>
      </c>
      <c r="E26" s="12"/>
      <c r="F26" s="12">
        <f>+F5+F10+F13+F16+F23+F24+F25</f>
        <v>5346766</v>
      </c>
      <c r="G26" s="12">
        <f>+G5+G10+G13+G16+G23+G24+G25</f>
        <v>5674760</v>
      </c>
      <c r="H26" s="12"/>
    </row>
    <row r="27" spans="1:8" x14ac:dyDescent="0.2">
      <c r="C27" s="13"/>
      <c r="D27" s="13"/>
      <c r="E27" s="13"/>
      <c r="F27" s="13"/>
      <c r="G27" s="13"/>
      <c r="H27" s="13"/>
    </row>
    <row r="28" spans="1:8" s="144" customFormat="1" x14ac:dyDescent="0.2">
      <c r="A28" s="390" t="s">
        <v>530</v>
      </c>
    </row>
    <row r="29" spans="1:8" s="144" customFormat="1" x14ac:dyDescent="0.2">
      <c r="A29" s="390"/>
      <c r="B29" s="144" t="s">
        <v>531</v>
      </c>
      <c r="C29" s="144">
        <v>212579</v>
      </c>
      <c r="D29" s="144">
        <v>198157</v>
      </c>
    </row>
    <row r="30" spans="1:8" s="144" customFormat="1" x14ac:dyDescent="0.2">
      <c r="A30" s="390"/>
      <c r="B30" s="144" t="s">
        <v>532</v>
      </c>
      <c r="F30" s="144">
        <v>204819</v>
      </c>
      <c r="G30" s="144">
        <v>191747</v>
      </c>
    </row>
    <row r="31" spans="1:8" s="144" customFormat="1" x14ac:dyDescent="0.2">
      <c r="A31" s="390"/>
    </row>
    <row r="32" spans="1:8" s="144" customFormat="1" x14ac:dyDescent="0.2">
      <c r="A32" s="390"/>
    </row>
    <row r="33" spans="1:7" s="144" customFormat="1" x14ac:dyDescent="0.2">
      <c r="A33" s="390"/>
      <c r="B33" s="144" t="s">
        <v>533</v>
      </c>
      <c r="C33" s="144">
        <v>262098</v>
      </c>
      <c r="D33" s="144">
        <v>236000</v>
      </c>
    </row>
    <row r="34" spans="1:7" s="144" customFormat="1" x14ac:dyDescent="0.2">
      <c r="A34" s="390"/>
      <c r="B34" s="144" t="s">
        <v>534</v>
      </c>
      <c r="F34" s="144">
        <v>9670</v>
      </c>
      <c r="G34" s="144">
        <v>10500</v>
      </c>
    </row>
    <row r="36" spans="1:7" s="64" customFormat="1" x14ac:dyDescent="0.2">
      <c r="B36" s="64" t="s">
        <v>536</v>
      </c>
      <c r="C36" s="391">
        <f>C26/C29</f>
        <v>24.794829216432479</v>
      </c>
      <c r="D36" s="391">
        <f>D26/D29</f>
        <v>26.20743652760185</v>
      </c>
      <c r="E36" s="391"/>
      <c r="F36" s="391">
        <f>F26/F30</f>
        <v>26.104834024187209</v>
      </c>
      <c r="G36" s="391">
        <f>G26/G30</f>
        <v>29.595039296573088</v>
      </c>
    </row>
    <row r="39" spans="1:7" x14ac:dyDescent="0.2">
      <c r="C39" s="377">
        <v>78.459999999999994</v>
      </c>
    </row>
    <row r="40" spans="1:7" x14ac:dyDescent="0.2">
      <c r="B40" s="9" t="s">
        <v>544</v>
      </c>
      <c r="C40" s="13">
        <f>C39*200000</f>
        <v>15691999.999999998</v>
      </c>
    </row>
    <row r="41" spans="1:7" x14ac:dyDescent="0.2">
      <c r="B41" s="9" t="s">
        <v>545</v>
      </c>
      <c r="C41" s="13">
        <f>'Sumář příjmů kapitol'!N75</f>
        <v>7256000</v>
      </c>
    </row>
    <row r="42" spans="1:7" x14ac:dyDescent="0.2">
      <c r="C42" s="13">
        <f>C40-C41</f>
        <v>8435999.9999999981</v>
      </c>
    </row>
    <row r="43" spans="1:7" x14ac:dyDescent="0.2">
      <c r="C43" s="9">
        <v>4000000</v>
      </c>
      <c r="D43" s="9" t="s">
        <v>542</v>
      </c>
    </row>
    <row r="44" spans="1:7" x14ac:dyDescent="0.2">
      <c r="C44" s="9">
        <v>1800000</v>
      </c>
      <c r="D44" s="9" t="s">
        <v>543</v>
      </c>
    </row>
    <row r="45" spans="1:7" x14ac:dyDescent="0.2">
      <c r="C45" s="9">
        <v>2636000</v>
      </c>
      <c r="D45" s="9" t="s">
        <v>469</v>
      </c>
    </row>
    <row r="46" spans="1:7" x14ac:dyDescent="0.2">
      <c r="C46" s="13">
        <f>C42-C43-C44-C45</f>
        <v>0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315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328" t="s">
        <v>476</v>
      </c>
      <c r="B1" s="329"/>
      <c r="C1" s="329"/>
      <c r="D1" s="344">
        <v>2016</v>
      </c>
      <c r="E1" s="344">
        <v>2017</v>
      </c>
      <c r="F1" s="344">
        <v>2018</v>
      </c>
    </row>
    <row r="2" spans="1:9" ht="15" customHeight="1" x14ac:dyDescent="0.2">
      <c r="B2"/>
      <c r="D2" s="315"/>
      <c r="E2" s="315"/>
    </row>
    <row r="3" spans="1:9" ht="15" x14ac:dyDescent="0.25">
      <c r="A3" s="341" t="s">
        <v>462</v>
      </c>
      <c r="B3" s="329"/>
      <c r="C3" s="329"/>
      <c r="D3" s="340">
        <f>+D4+D5</f>
        <v>20450000</v>
      </c>
      <c r="E3" s="340">
        <f>+E4+E5</f>
        <v>12389037</v>
      </c>
      <c r="F3" s="340">
        <f>+F4+F5</f>
        <v>10839037</v>
      </c>
    </row>
    <row r="4" spans="1:9" s="333" customFormat="1" ht="15" x14ac:dyDescent="0.25">
      <c r="B4" s="343" t="s">
        <v>483</v>
      </c>
      <c r="C4" s="334"/>
      <c r="D4" s="335">
        <f>'Sumář  výdaje kapitol'!Q44</f>
        <v>13600000</v>
      </c>
      <c r="E4" s="335">
        <v>9659037</v>
      </c>
      <c r="F4" s="335">
        <v>9659037</v>
      </c>
    </row>
    <row r="5" spans="1:9" s="333" customFormat="1" ht="15" x14ac:dyDescent="0.25">
      <c r="B5" s="1950" t="s">
        <v>484</v>
      </c>
      <c r="C5" s="334" t="s">
        <v>482</v>
      </c>
      <c r="D5" s="335">
        <f>+D7+D8+D9+D11+D13-D6</f>
        <v>6850000</v>
      </c>
      <c r="E5" s="335">
        <f>+E7+E8+E9+E11+E13-E6</f>
        <v>2730000</v>
      </c>
      <c r="F5" s="335">
        <f>+F7+F8+F9+F11+F13-F6</f>
        <v>1180000</v>
      </c>
      <c r="H5" s="392">
        <f>+D7+D8+D9+D11+D13</f>
        <v>11790000</v>
      </c>
    </row>
    <row r="6" spans="1:9" s="337" customFormat="1" ht="15" x14ac:dyDescent="0.25">
      <c r="B6" s="1951"/>
      <c r="C6" s="330" t="s">
        <v>466</v>
      </c>
      <c r="D6" s="331">
        <f>+D10+D12+D14</f>
        <v>4940000</v>
      </c>
      <c r="E6" s="331">
        <f>+E10+E12+E14</f>
        <v>10920000</v>
      </c>
      <c r="F6" s="331">
        <f>+F10+F12+F14</f>
        <v>4720000</v>
      </c>
      <c r="H6" s="393">
        <f>+D10+D12+D14</f>
        <v>4940000</v>
      </c>
    </row>
    <row r="7" spans="1:9" x14ac:dyDescent="0.2">
      <c r="B7"/>
      <c r="C7" t="s">
        <v>463</v>
      </c>
      <c r="D7" s="315">
        <v>2900000</v>
      </c>
      <c r="E7" s="315"/>
      <c r="F7" s="315"/>
    </row>
    <row r="8" spans="1:9" x14ac:dyDescent="0.2">
      <c r="B8"/>
      <c r="C8" t="s">
        <v>464</v>
      </c>
      <c r="D8" s="315">
        <v>500000</v>
      </c>
      <c r="E8" s="315"/>
      <c r="F8" s="315"/>
    </row>
    <row r="9" spans="1:9" x14ac:dyDescent="0.2">
      <c r="B9"/>
      <c r="C9" t="s">
        <v>465</v>
      </c>
      <c r="D9" s="315"/>
      <c r="E9" s="315">
        <v>5900000</v>
      </c>
      <c r="F9" s="315">
        <v>5900000</v>
      </c>
    </row>
    <row r="10" spans="1:9" ht="15" x14ac:dyDescent="0.25">
      <c r="B10"/>
      <c r="C10" s="330" t="s">
        <v>466</v>
      </c>
      <c r="D10" s="331">
        <v>0</v>
      </c>
      <c r="E10" s="331">
        <v>4720000</v>
      </c>
      <c r="F10" s="331">
        <v>4720000</v>
      </c>
    </row>
    <row r="11" spans="1:9" x14ac:dyDescent="0.2">
      <c r="B11"/>
      <c r="C11" t="s">
        <v>467</v>
      </c>
      <c r="D11" s="315">
        <f>2750000+440000</f>
        <v>3190000</v>
      </c>
      <c r="E11" s="315">
        <f>10500000-2750000</f>
        <v>7750000</v>
      </c>
      <c r="F11" s="315"/>
      <c r="G11" t="s">
        <v>546</v>
      </c>
    </row>
    <row r="12" spans="1:9" ht="15" x14ac:dyDescent="0.25">
      <c r="B12"/>
      <c r="C12" s="330" t="s">
        <v>466</v>
      </c>
      <c r="D12" s="331">
        <v>0</v>
      </c>
      <c r="E12" s="331">
        <v>6200000</v>
      </c>
      <c r="F12" s="315"/>
    </row>
    <row r="13" spans="1:9" x14ac:dyDescent="0.2">
      <c r="B13"/>
      <c r="C13" t="s">
        <v>468</v>
      </c>
      <c r="D13" s="315">
        <v>5200000</v>
      </c>
      <c r="E13" s="315"/>
      <c r="F13" s="315"/>
    </row>
    <row r="14" spans="1:9" ht="15" x14ac:dyDescent="0.25">
      <c r="B14"/>
      <c r="C14" s="330" t="s">
        <v>466</v>
      </c>
      <c r="D14" s="331">
        <v>4940000</v>
      </c>
      <c r="E14" s="331"/>
      <c r="F14" s="315"/>
    </row>
    <row r="15" spans="1:9" ht="15" x14ac:dyDescent="0.25">
      <c r="B15"/>
      <c r="C15" s="332"/>
      <c r="D15" s="331"/>
      <c r="E15" s="331"/>
      <c r="F15" s="315"/>
    </row>
    <row r="16" spans="1:9" ht="15" x14ac:dyDescent="0.25">
      <c r="A16" s="341" t="s">
        <v>461</v>
      </c>
      <c r="B16" s="329"/>
      <c r="C16" s="329"/>
      <c r="D16" s="340">
        <f>SUM(D17:D27)</f>
        <v>0</v>
      </c>
      <c r="E16" s="340">
        <f>SUM(E17:E27)</f>
        <v>0</v>
      </c>
      <c r="F16" s="340">
        <f>SUM(F17:F27)</f>
        <v>0</v>
      </c>
      <c r="I16" s="315"/>
    </row>
    <row r="17" spans="1:6" x14ac:dyDescent="0.2">
      <c r="B17" t="s">
        <v>485</v>
      </c>
      <c r="D17" s="315"/>
      <c r="E17" s="315"/>
      <c r="F17" s="315"/>
    </row>
    <row r="18" spans="1:6" x14ac:dyDescent="0.2">
      <c r="B18" t="s">
        <v>486</v>
      </c>
      <c r="D18" s="315"/>
      <c r="E18" s="315"/>
      <c r="F18" s="315"/>
    </row>
    <row r="19" spans="1:6" x14ac:dyDescent="0.2">
      <c r="B19" t="s">
        <v>487</v>
      </c>
      <c r="D19" s="315"/>
      <c r="E19" s="315"/>
      <c r="F19" s="315"/>
    </row>
    <row r="20" spans="1:6" x14ac:dyDescent="0.2">
      <c r="B20" t="s">
        <v>488</v>
      </c>
      <c r="D20" s="315"/>
      <c r="E20" s="315"/>
      <c r="F20" s="315"/>
    </row>
    <row r="21" spans="1:6" x14ac:dyDescent="0.2">
      <c r="B21" t="s">
        <v>489</v>
      </c>
      <c r="D21" s="315"/>
      <c r="E21" s="315"/>
      <c r="F21" s="315"/>
    </row>
    <row r="22" spans="1:6" x14ac:dyDescent="0.2">
      <c r="B22" t="s">
        <v>490</v>
      </c>
      <c r="D22" s="315"/>
      <c r="E22" s="315"/>
      <c r="F22" s="315"/>
    </row>
    <row r="23" spans="1:6" x14ac:dyDescent="0.2">
      <c r="B23" t="s">
        <v>537</v>
      </c>
      <c r="D23" s="315"/>
      <c r="E23" s="315"/>
      <c r="F23" s="315"/>
    </row>
    <row r="24" spans="1:6" x14ac:dyDescent="0.2">
      <c r="B24" t="s">
        <v>538</v>
      </c>
      <c r="D24" s="315"/>
      <c r="E24" s="315"/>
      <c r="F24" s="315"/>
    </row>
    <row r="25" spans="1:6" x14ac:dyDescent="0.2">
      <c r="B25" t="s">
        <v>539</v>
      </c>
      <c r="D25" s="315"/>
      <c r="E25" s="315"/>
      <c r="F25" s="315"/>
    </row>
    <row r="26" spans="1:6" x14ac:dyDescent="0.2">
      <c r="B26" t="s">
        <v>540</v>
      </c>
      <c r="D26" s="315"/>
      <c r="E26" s="315"/>
      <c r="F26" s="315"/>
    </row>
    <row r="27" spans="1:6" x14ac:dyDescent="0.2">
      <c r="B27"/>
      <c r="D27" s="315"/>
      <c r="E27" s="315"/>
      <c r="F27" s="315"/>
    </row>
    <row r="28" spans="1:6" x14ac:dyDescent="0.2">
      <c r="B28"/>
      <c r="D28" s="315"/>
      <c r="E28" s="315"/>
      <c r="F28" s="315"/>
    </row>
    <row r="29" spans="1:6" ht="15" x14ac:dyDescent="0.25">
      <c r="A29" s="341" t="s">
        <v>470</v>
      </c>
      <c r="B29" s="329"/>
      <c r="C29" s="329"/>
      <c r="D29" s="340">
        <f>+D30+D37+D40</f>
        <v>16041999.999999998</v>
      </c>
      <c r="E29" s="340">
        <f>+E30+E37+E40</f>
        <v>404990</v>
      </c>
      <c r="F29" s="340">
        <f>+F30+F37+F40</f>
        <v>404990</v>
      </c>
    </row>
    <row r="30" spans="1:6" x14ac:dyDescent="0.2">
      <c r="B30" s="342" t="s">
        <v>477</v>
      </c>
      <c r="D30" s="315">
        <f>SUM(D31:D35)</f>
        <v>0</v>
      </c>
      <c r="E30" s="315">
        <f>SUM(E31:E35)</f>
        <v>54990</v>
      </c>
      <c r="F30" s="315">
        <f>SUM(F31:F35)</f>
        <v>54990</v>
      </c>
    </row>
    <row r="31" spans="1:6" x14ac:dyDescent="0.2">
      <c r="B31"/>
      <c r="C31" t="s">
        <v>471</v>
      </c>
      <c r="D31" s="315"/>
      <c r="E31" s="315"/>
      <c r="F31" s="315"/>
    </row>
    <row r="32" spans="1:6" x14ac:dyDescent="0.2">
      <c r="B32"/>
      <c r="C32" t="s">
        <v>472</v>
      </c>
      <c r="D32" s="315"/>
      <c r="E32" s="315"/>
      <c r="F32" s="315"/>
    </row>
    <row r="33" spans="1:6" x14ac:dyDescent="0.2">
      <c r="B33"/>
      <c r="C33" t="s">
        <v>473</v>
      </c>
      <c r="D33" s="315"/>
      <c r="E33" s="315"/>
      <c r="F33" s="315"/>
    </row>
    <row r="34" spans="1:6" x14ac:dyDescent="0.2">
      <c r="B34"/>
      <c r="C34" t="s">
        <v>474</v>
      </c>
      <c r="D34" s="315"/>
      <c r="E34" s="315"/>
      <c r="F34" s="315"/>
    </row>
    <row r="35" spans="1:6" x14ac:dyDescent="0.2">
      <c r="B35"/>
      <c r="C35" t="s">
        <v>475</v>
      </c>
      <c r="D35" s="315"/>
      <c r="E35" s="315">
        <v>54990</v>
      </c>
      <c r="F35" s="315">
        <v>54990</v>
      </c>
    </row>
    <row r="36" spans="1:6" x14ac:dyDescent="0.2">
      <c r="B36"/>
      <c r="D36" s="315"/>
      <c r="E36" s="315"/>
      <c r="F36" s="315"/>
    </row>
    <row r="37" spans="1:6" x14ac:dyDescent="0.2">
      <c r="B37" s="342" t="s">
        <v>478</v>
      </c>
      <c r="D37" s="315">
        <f>SUM(D38:D39)</f>
        <v>15691999.999999998</v>
      </c>
      <c r="E37" s="315">
        <f>SUM(E38:E39)</f>
        <v>0</v>
      </c>
      <c r="F37" s="315">
        <f>SUM(F38:F39)</f>
        <v>0</v>
      </c>
    </row>
    <row r="38" spans="1:6" x14ac:dyDescent="0.2">
      <c r="B38"/>
      <c r="C38" t="s">
        <v>541</v>
      </c>
      <c r="D38" s="315">
        <f>'voda-kalkulace'!C40</f>
        <v>15691999.999999998</v>
      </c>
      <c r="E38" s="315"/>
      <c r="F38" s="315"/>
    </row>
    <row r="39" spans="1:6" x14ac:dyDescent="0.2">
      <c r="B39"/>
      <c r="D39" s="315"/>
      <c r="E39" s="315"/>
      <c r="F39" s="315"/>
    </row>
    <row r="40" spans="1:6" x14ac:dyDescent="0.2">
      <c r="B40" s="342" t="s">
        <v>479</v>
      </c>
      <c r="D40" s="315">
        <f>SUM(D41:D45)</f>
        <v>350000</v>
      </c>
      <c r="E40" s="315">
        <f>SUM(E41:E45)</f>
        <v>350000</v>
      </c>
      <c r="F40" s="315">
        <f>SUM(F41:F45)</f>
        <v>350000</v>
      </c>
    </row>
    <row r="41" spans="1:6" x14ac:dyDescent="0.2">
      <c r="B41"/>
      <c r="C41" t="s">
        <v>480</v>
      </c>
      <c r="D41" s="315">
        <v>350000</v>
      </c>
      <c r="E41" s="315">
        <v>350000</v>
      </c>
      <c r="F41" s="315">
        <v>350000</v>
      </c>
    </row>
    <row r="42" spans="1:6" x14ac:dyDescent="0.2">
      <c r="D42" s="315"/>
      <c r="E42" s="315"/>
      <c r="F42" s="315"/>
    </row>
    <row r="43" spans="1:6" x14ac:dyDescent="0.2">
      <c r="D43" s="315"/>
      <c r="E43" s="315"/>
      <c r="F43" s="315"/>
    </row>
    <row r="44" spans="1:6" x14ac:dyDescent="0.2">
      <c r="D44" s="315"/>
      <c r="E44" s="315"/>
      <c r="F44" s="315"/>
    </row>
    <row r="45" spans="1:6" x14ac:dyDescent="0.2">
      <c r="D45" s="315"/>
      <c r="E45" s="315"/>
      <c r="F45" s="315"/>
    </row>
    <row r="46" spans="1:6" x14ac:dyDescent="0.2">
      <c r="D46" s="315"/>
      <c r="E46" s="315"/>
      <c r="F46" s="315"/>
    </row>
    <row r="47" spans="1:6" s="314" customFormat="1" x14ac:dyDescent="0.2">
      <c r="A47" s="338" t="s">
        <v>481</v>
      </c>
      <c r="B47" s="339"/>
      <c r="C47" s="338"/>
      <c r="D47" s="339">
        <f>+D29+D16+D3</f>
        <v>36492000</v>
      </c>
      <c r="E47" s="339">
        <f>+E29+E16+E3</f>
        <v>12794027</v>
      </c>
      <c r="F47" s="339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2"/>
  <sheetViews>
    <sheetView workbookViewId="0"/>
  </sheetViews>
  <sheetFormatPr defaultRowHeight="12.75" x14ac:dyDescent="0.2"/>
  <cols>
    <col min="1" max="1" width="9.140625" style="9"/>
    <col min="2" max="2" width="40.5703125" style="9" customWidth="1"/>
    <col min="3" max="3" width="16.28515625" style="52" customWidth="1"/>
    <col min="4" max="5" width="16.85546875" style="13" customWidth="1"/>
    <col min="6" max="6" width="12.7109375" style="143" customWidth="1"/>
    <col min="7" max="16384" width="9.140625" style="9"/>
  </cols>
  <sheetData>
    <row r="1" spans="1:6" s="1" customFormat="1" ht="16.5" customHeight="1" x14ac:dyDescent="0.35">
      <c r="B1" s="3"/>
      <c r="C1" s="51"/>
      <c r="D1" s="2"/>
      <c r="E1" s="2"/>
      <c r="F1" s="142"/>
    </row>
    <row r="2" spans="1:6" s="1" customFormat="1" ht="24" customHeight="1" x14ac:dyDescent="0.35">
      <c r="B2" s="3" t="s">
        <v>390</v>
      </c>
      <c r="C2" s="51"/>
      <c r="D2" s="2"/>
      <c r="E2" s="2"/>
      <c r="F2" s="142"/>
    </row>
    <row r="3" spans="1:6" ht="15" customHeight="1" x14ac:dyDescent="0.2"/>
    <row r="4" spans="1:6" ht="20.25" customHeight="1" x14ac:dyDescent="0.3">
      <c r="B4" s="17" t="s">
        <v>9</v>
      </c>
    </row>
    <row r="5" spans="1:6" ht="15" customHeight="1" x14ac:dyDescent="0.3">
      <c r="B5" s="17"/>
    </row>
    <row r="6" spans="1:6" ht="15" customHeight="1" thickBot="1" x14ac:dyDescent="0.3">
      <c r="C6" s="53"/>
      <c r="D6" s="54"/>
      <c r="E6" s="54"/>
      <c r="F6" s="146" t="s">
        <v>272</v>
      </c>
    </row>
    <row r="7" spans="1:6" s="22" customFormat="1" ht="45.75" customHeight="1" thickBot="1" x14ac:dyDescent="0.3">
      <c r="A7" s="5" t="s">
        <v>17</v>
      </c>
      <c r="B7" s="6" t="s">
        <v>0</v>
      </c>
      <c r="C7" s="7" t="s">
        <v>392</v>
      </c>
      <c r="D7" s="55" t="s">
        <v>637</v>
      </c>
      <c r="E7" s="55" t="s">
        <v>799</v>
      </c>
      <c r="F7" s="147" t="s">
        <v>342</v>
      </c>
    </row>
    <row r="8" spans="1:6" ht="20.25" customHeight="1" x14ac:dyDescent="0.2">
      <c r="A8" s="116" t="s">
        <v>76</v>
      </c>
      <c r="B8" s="56" t="s">
        <v>77</v>
      </c>
      <c r="C8" s="57">
        <f>+'Sumář příjmů kapitol'!E71</f>
        <v>2267000</v>
      </c>
      <c r="D8" s="58"/>
      <c r="E8" s="58"/>
      <c r="F8" s="148" t="str">
        <f>IF(OR(C8=0,D8=0),"-",IF(C8&lt;0,(D8/C8-1)*-1,D8/C8-1))</f>
        <v>-</v>
      </c>
    </row>
    <row r="9" spans="1:6" ht="20.25" customHeight="1" x14ac:dyDescent="0.2">
      <c r="A9" s="117" t="s">
        <v>76</v>
      </c>
      <c r="B9" s="59" t="s">
        <v>79</v>
      </c>
      <c r="C9" s="60">
        <f>+'Sumář příjmů kapitol'!E72</f>
        <v>4989000</v>
      </c>
      <c r="D9" s="61"/>
      <c r="E9" s="61"/>
      <c r="F9" s="149" t="str">
        <f t="shared" ref="F9:F19" si="0">IF(OR(C9=0,D9=0),"-",IF(C9&lt;0,(D9/C9-1)*-1,D9/C9-1))</f>
        <v>-</v>
      </c>
    </row>
    <row r="10" spans="1:6" ht="20.25" customHeight="1" x14ac:dyDescent="0.2">
      <c r="A10" s="117" t="s">
        <v>76</v>
      </c>
      <c r="B10" s="59" t="s">
        <v>82</v>
      </c>
      <c r="C10" s="60">
        <f>+'Sumář příjmů kapitol'!E76</f>
        <v>154000</v>
      </c>
      <c r="D10" s="61"/>
      <c r="E10" s="61"/>
      <c r="F10" s="149" t="str">
        <f t="shared" si="0"/>
        <v>-</v>
      </c>
    </row>
    <row r="11" spans="1:6" ht="20.25" hidden="1" customHeight="1" x14ac:dyDescent="0.2">
      <c r="A11" s="117">
        <v>2132</v>
      </c>
      <c r="B11" s="59" t="s">
        <v>84</v>
      </c>
      <c r="C11" s="60">
        <f>+'Sumář příjmů kapitol'!E79</f>
        <v>0</v>
      </c>
      <c r="D11" s="61"/>
      <c r="E11" s="61"/>
      <c r="F11" s="149" t="str">
        <f t="shared" si="0"/>
        <v>-</v>
      </c>
    </row>
    <row r="12" spans="1:6" ht="20.25" hidden="1" customHeight="1" x14ac:dyDescent="0.2">
      <c r="A12" s="117">
        <v>2132</v>
      </c>
      <c r="B12" s="59" t="s">
        <v>89</v>
      </c>
      <c r="C12" s="60">
        <f>+'Sumář příjmů kapitol'!E85</f>
        <v>0</v>
      </c>
      <c r="D12" s="61"/>
      <c r="E12" s="61"/>
      <c r="F12" s="149" t="str">
        <f t="shared" si="0"/>
        <v>-</v>
      </c>
    </row>
    <row r="13" spans="1:6" ht="20.25" customHeight="1" x14ac:dyDescent="0.2">
      <c r="A13" s="117" t="s">
        <v>76</v>
      </c>
      <c r="B13" s="59" t="s">
        <v>91</v>
      </c>
      <c r="C13" s="60">
        <f>+'Sumář příjmů kapitol'!E87</f>
        <v>6000</v>
      </c>
      <c r="D13" s="61"/>
      <c r="E13" s="61"/>
      <c r="F13" s="149" t="str">
        <f t="shared" si="0"/>
        <v>-</v>
      </c>
    </row>
    <row r="14" spans="1:6" ht="20.25" customHeight="1" x14ac:dyDescent="0.2">
      <c r="A14" s="117">
        <v>2132</v>
      </c>
      <c r="B14" s="59" t="s">
        <v>95</v>
      </c>
      <c r="C14" s="60">
        <f>+'Sumář příjmů kapitol'!E90</f>
        <v>775800</v>
      </c>
      <c r="D14" s="61"/>
      <c r="E14" s="61"/>
      <c r="F14" s="149" t="str">
        <f t="shared" si="0"/>
        <v>-</v>
      </c>
    </row>
    <row r="15" spans="1:6" ht="20.25" customHeight="1" x14ac:dyDescent="0.2">
      <c r="A15" s="117">
        <v>2132</v>
      </c>
      <c r="B15" s="59" t="s">
        <v>98</v>
      </c>
      <c r="C15" s="60">
        <f>+'Sumář příjmů kapitol'!E93</f>
        <v>3010000</v>
      </c>
      <c r="D15" s="61"/>
      <c r="E15" s="61"/>
      <c r="F15" s="149" t="str">
        <f t="shared" si="0"/>
        <v>-</v>
      </c>
    </row>
    <row r="16" spans="1:6" ht="20.25" customHeight="1" x14ac:dyDescent="0.2">
      <c r="A16" s="117">
        <v>2132</v>
      </c>
      <c r="B16" s="59" t="s">
        <v>103</v>
      </c>
      <c r="C16" s="60">
        <f>+'Sumář příjmů kapitol'!E100</f>
        <v>400000</v>
      </c>
      <c r="D16" s="61"/>
      <c r="E16" s="61"/>
      <c r="F16" s="149" t="str">
        <f t="shared" si="0"/>
        <v>-</v>
      </c>
    </row>
    <row r="17" spans="1:6" ht="20.25" customHeight="1" x14ac:dyDescent="0.2">
      <c r="A17" s="117">
        <v>2132</v>
      </c>
      <c r="B17" s="59" t="s">
        <v>110</v>
      </c>
      <c r="C17" s="60">
        <f>+'Sumář příjmů kapitol'!E109</f>
        <v>24000</v>
      </c>
      <c r="D17" s="61"/>
      <c r="E17" s="61"/>
      <c r="F17" s="149" t="str">
        <f t="shared" si="0"/>
        <v>-</v>
      </c>
    </row>
    <row r="18" spans="1:6" ht="20.25" customHeight="1" thickBot="1" x14ac:dyDescent="0.25">
      <c r="A18" s="117" t="s">
        <v>119</v>
      </c>
      <c r="B18" s="59" t="s">
        <v>120</v>
      </c>
      <c r="C18" s="60">
        <f>+'Sumář příjmů kapitol'!E127</f>
        <v>33910</v>
      </c>
      <c r="D18" s="61"/>
      <c r="E18" s="61"/>
      <c r="F18" s="149" t="str">
        <f t="shared" si="0"/>
        <v>-</v>
      </c>
    </row>
    <row r="19" spans="1:6" s="33" customFormat="1" ht="23.25" customHeight="1" thickBot="1" x14ac:dyDescent="0.3">
      <c r="A19" s="1952" t="s">
        <v>10</v>
      </c>
      <c r="B19" s="1953"/>
      <c r="C19" s="62">
        <f>SUM(C8:C18)</f>
        <v>11659710</v>
      </c>
      <c r="D19" s="63">
        <f>SUM(D8:D18)</f>
        <v>0</v>
      </c>
      <c r="E19" s="63">
        <f>SUM(E8:E18)</f>
        <v>0</v>
      </c>
      <c r="F19" s="150" t="str">
        <f t="shared" si="0"/>
        <v>-</v>
      </c>
    </row>
    <row r="20" spans="1:6" x14ac:dyDescent="0.2">
      <c r="B20" s="64"/>
      <c r="C20" s="53"/>
      <c r="D20" s="65"/>
      <c r="E20" s="65"/>
    </row>
    <row r="21" spans="1:6" ht="15.75" customHeight="1" thickBot="1" x14ac:dyDescent="0.25">
      <c r="B21" s="66"/>
      <c r="C21" s="53"/>
      <c r="D21" s="67"/>
      <c r="E21" s="67"/>
    </row>
    <row r="22" spans="1:6" ht="16.5" thickBot="1" x14ac:dyDescent="0.3">
      <c r="A22" s="171" t="s">
        <v>291</v>
      </c>
      <c r="B22" s="172"/>
      <c r="C22" s="173"/>
      <c r="D22" s="175"/>
      <c r="E22" s="175"/>
      <c r="F22" s="174"/>
    </row>
    <row r="23" spans="1:6" ht="15.75" x14ac:dyDescent="0.25">
      <c r="B23" s="69"/>
      <c r="C23" s="70"/>
      <c r="D23" s="70"/>
      <c r="E23" s="70"/>
    </row>
    <row r="24" spans="1:6" x14ac:dyDescent="0.2">
      <c r="B24" s="71"/>
      <c r="C24" s="67"/>
      <c r="D24" s="67"/>
      <c r="E24" s="67"/>
    </row>
    <row r="25" spans="1:6" x14ac:dyDescent="0.2">
      <c r="B25" s="71"/>
      <c r="C25" s="67"/>
      <c r="D25" s="67"/>
      <c r="E25" s="67"/>
    </row>
    <row r="26" spans="1:6" x14ac:dyDescent="0.2">
      <c r="B26" s="71"/>
      <c r="C26" s="67"/>
      <c r="D26" s="67"/>
      <c r="E26" s="67"/>
    </row>
    <row r="27" spans="1:6" ht="15" x14ac:dyDescent="0.25">
      <c r="B27" s="72"/>
      <c r="C27" s="73"/>
      <c r="D27" s="73"/>
      <c r="E27" s="73"/>
    </row>
    <row r="28" spans="1:6" ht="15" x14ac:dyDescent="0.25">
      <c r="B28" s="72"/>
      <c r="C28" s="73"/>
      <c r="D28" s="73"/>
      <c r="E28" s="73"/>
    </row>
    <row r="29" spans="1:6" x14ac:dyDescent="0.2">
      <c r="B29" s="71"/>
      <c r="C29" s="67"/>
      <c r="D29" s="67"/>
      <c r="E29" s="67"/>
    </row>
    <row r="30" spans="1:6" x14ac:dyDescent="0.2">
      <c r="B30" s="71"/>
      <c r="C30" s="53"/>
      <c r="D30" s="65"/>
      <c r="E30" s="65"/>
    </row>
    <row r="31" spans="1:6" x14ac:dyDescent="0.2">
      <c r="B31" s="71"/>
      <c r="C31" s="67"/>
      <c r="D31" s="67"/>
      <c r="E31" s="67"/>
    </row>
    <row r="32" spans="1:6" ht="15.75" x14ac:dyDescent="0.25">
      <c r="B32" s="69"/>
      <c r="C32" s="74"/>
      <c r="D32" s="74"/>
      <c r="E32" s="74"/>
    </row>
    <row r="33" spans="2:5" ht="15.75" x14ac:dyDescent="0.25">
      <c r="B33" s="69"/>
      <c r="C33" s="74"/>
      <c r="D33" s="74"/>
      <c r="E33" s="74"/>
    </row>
    <row r="34" spans="2:5" ht="15.75" x14ac:dyDescent="0.25">
      <c r="B34" s="69"/>
      <c r="C34" s="74"/>
      <c r="D34" s="74"/>
      <c r="E34" s="74"/>
    </row>
    <row r="35" spans="2:5" ht="15.75" x14ac:dyDescent="0.25">
      <c r="B35" s="69"/>
      <c r="C35" s="74"/>
      <c r="D35" s="74"/>
      <c r="E35" s="74"/>
    </row>
    <row r="36" spans="2:5" ht="15.75" x14ac:dyDescent="0.25">
      <c r="B36" s="69"/>
      <c r="C36" s="74"/>
      <c r="D36" s="74"/>
      <c r="E36" s="74"/>
    </row>
    <row r="37" spans="2:5" ht="15.75" x14ac:dyDescent="0.25">
      <c r="B37" s="69"/>
      <c r="C37" s="74"/>
      <c r="D37" s="74"/>
      <c r="E37" s="74"/>
    </row>
    <row r="38" spans="2:5" ht="15.75" x14ac:dyDescent="0.25">
      <c r="B38" s="69"/>
      <c r="C38" s="74"/>
      <c r="D38" s="74"/>
      <c r="E38" s="74"/>
    </row>
    <row r="39" spans="2:5" ht="15.75" x14ac:dyDescent="0.25">
      <c r="B39" s="69"/>
      <c r="C39" s="67"/>
      <c r="D39" s="67"/>
      <c r="E39" s="67"/>
    </row>
    <row r="40" spans="2:5" ht="15.75" x14ac:dyDescent="0.25">
      <c r="B40" s="71"/>
      <c r="C40" s="53"/>
      <c r="D40" s="75"/>
      <c r="E40" s="75"/>
    </row>
    <row r="41" spans="2:5" ht="18.75" x14ac:dyDescent="0.3">
      <c r="B41" s="76"/>
      <c r="C41" s="53"/>
      <c r="D41" s="65"/>
      <c r="E41" s="65"/>
    </row>
    <row r="42" spans="2:5" x14ac:dyDescent="0.2">
      <c r="B42" s="71"/>
      <c r="C42" s="53"/>
      <c r="D42" s="65"/>
      <c r="E42" s="65"/>
    </row>
    <row r="43" spans="2:5" ht="18.75" x14ac:dyDescent="0.3">
      <c r="B43" s="76"/>
      <c r="C43" s="53"/>
      <c r="D43" s="65"/>
      <c r="E43" s="65"/>
    </row>
    <row r="44" spans="2:5" x14ac:dyDescent="0.2">
      <c r="B44" s="71"/>
      <c r="C44" s="53"/>
      <c r="D44" s="67"/>
      <c r="E44" s="67"/>
    </row>
    <row r="45" spans="2:5" ht="15.75" x14ac:dyDescent="0.25">
      <c r="B45" s="69"/>
      <c r="C45" s="68"/>
      <c r="D45" s="68"/>
      <c r="E45" s="68"/>
    </row>
    <row r="46" spans="2:5" ht="15.75" x14ac:dyDescent="0.25">
      <c r="B46" s="69"/>
      <c r="C46" s="70"/>
      <c r="D46" s="70"/>
      <c r="E46" s="70"/>
    </row>
    <row r="47" spans="2:5" x14ac:dyDescent="0.2">
      <c r="B47" s="71"/>
      <c r="C47" s="67"/>
      <c r="D47" s="67"/>
      <c r="E47" s="67"/>
    </row>
    <row r="48" spans="2:5" x14ac:dyDescent="0.2">
      <c r="B48" s="71"/>
      <c r="C48" s="67"/>
      <c r="D48" s="67"/>
      <c r="E48" s="67"/>
    </row>
    <row r="49" spans="2:5" x14ac:dyDescent="0.2">
      <c r="B49" s="71"/>
      <c r="C49" s="67"/>
      <c r="D49" s="67"/>
      <c r="E49" s="67"/>
    </row>
    <row r="50" spans="2:5" ht="15" x14ac:dyDescent="0.25">
      <c r="B50" s="72"/>
      <c r="C50" s="73"/>
      <c r="D50" s="73"/>
      <c r="E50" s="73"/>
    </row>
    <row r="51" spans="2:5" ht="15" x14ac:dyDescent="0.25">
      <c r="B51" s="72"/>
      <c r="C51" s="73"/>
      <c r="D51" s="73"/>
      <c r="E51" s="73"/>
    </row>
    <row r="52" spans="2:5" x14ac:dyDescent="0.2">
      <c r="B52" s="71"/>
      <c r="C52" s="67"/>
      <c r="D52" s="67"/>
      <c r="E52" s="67"/>
    </row>
    <row r="53" spans="2:5" x14ac:dyDescent="0.2">
      <c r="B53" s="71"/>
      <c r="C53" s="53"/>
      <c r="D53" s="65"/>
      <c r="E53" s="65"/>
    </row>
    <row r="54" spans="2:5" x14ac:dyDescent="0.2">
      <c r="B54" s="71"/>
      <c r="C54" s="67"/>
      <c r="D54" s="67"/>
      <c r="E54" s="67"/>
    </row>
    <row r="55" spans="2:5" ht="15.75" x14ac:dyDescent="0.25">
      <c r="B55" s="69"/>
      <c r="C55" s="74"/>
      <c r="D55" s="74"/>
      <c r="E55" s="74"/>
    </row>
    <row r="56" spans="2:5" ht="15.75" x14ac:dyDescent="0.25">
      <c r="B56" s="69"/>
      <c r="C56" s="74"/>
      <c r="D56" s="74"/>
      <c r="E56" s="74"/>
    </row>
    <row r="57" spans="2:5" ht="15.75" x14ac:dyDescent="0.25">
      <c r="B57" s="69"/>
      <c r="C57" s="67"/>
      <c r="D57" s="67"/>
      <c r="E57" s="67"/>
    </row>
    <row r="58" spans="2:5" x14ac:dyDescent="0.2">
      <c r="B58" s="71"/>
      <c r="C58" s="53"/>
      <c r="D58" s="65"/>
      <c r="E58" s="65"/>
    </row>
    <row r="59" spans="2:5" x14ac:dyDescent="0.2">
      <c r="B59" s="71"/>
      <c r="C59" s="53"/>
      <c r="D59" s="65"/>
      <c r="E59" s="65"/>
    </row>
    <row r="60" spans="2:5" x14ac:dyDescent="0.2">
      <c r="B60" s="71"/>
      <c r="C60" s="53"/>
      <c r="D60" s="65"/>
      <c r="E60" s="65"/>
    </row>
    <row r="61" spans="2:5" x14ac:dyDescent="0.2">
      <c r="B61" s="71"/>
      <c r="C61" s="53"/>
      <c r="D61" s="65"/>
      <c r="E61" s="65"/>
    </row>
    <row r="62" spans="2:5" x14ac:dyDescent="0.2">
      <c r="B62" s="71"/>
      <c r="C62" s="53"/>
      <c r="D62" s="65"/>
      <c r="E62" s="65"/>
    </row>
    <row r="63" spans="2:5" x14ac:dyDescent="0.2">
      <c r="B63" s="71"/>
      <c r="C63" s="53"/>
      <c r="D63" s="65"/>
      <c r="E63" s="65"/>
    </row>
    <row r="64" spans="2:5" x14ac:dyDescent="0.2">
      <c r="B64" s="71"/>
      <c r="C64" s="53"/>
      <c r="D64" s="65"/>
      <c r="E64" s="65"/>
    </row>
    <row r="65" spans="2:5" x14ac:dyDescent="0.2">
      <c r="B65" s="71"/>
      <c r="C65" s="67"/>
      <c r="D65" s="65"/>
      <c r="E65" s="65"/>
    </row>
    <row r="66" spans="2:5" ht="15" x14ac:dyDescent="0.25">
      <c r="B66" s="72"/>
      <c r="C66" s="77"/>
      <c r="D66" s="78"/>
      <c r="E66" s="78"/>
    </row>
    <row r="67" spans="2:5" x14ac:dyDescent="0.2">
      <c r="B67" s="71"/>
      <c r="C67" s="53"/>
      <c r="D67" s="65"/>
      <c r="E67" s="65"/>
    </row>
    <row r="68" spans="2:5" x14ac:dyDescent="0.2">
      <c r="B68" s="71"/>
      <c r="C68" s="53"/>
      <c r="D68" s="65"/>
      <c r="E68" s="65"/>
    </row>
    <row r="69" spans="2:5" x14ac:dyDescent="0.2">
      <c r="B69" s="71"/>
      <c r="C69" s="67"/>
      <c r="D69" s="65"/>
      <c r="E69" s="65"/>
    </row>
    <row r="70" spans="2:5" x14ac:dyDescent="0.2">
      <c r="B70" s="71"/>
      <c r="C70" s="67"/>
      <c r="D70" s="65"/>
      <c r="E70" s="65"/>
    </row>
    <row r="71" spans="2:5" ht="15.75" x14ac:dyDescent="0.25">
      <c r="B71" s="69"/>
      <c r="C71" s="79"/>
      <c r="D71" s="75"/>
      <c r="E71" s="75"/>
    </row>
    <row r="72" spans="2:5" ht="15.75" x14ac:dyDescent="0.25">
      <c r="B72" s="69"/>
      <c r="C72" s="79"/>
      <c r="D72" s="75"/>
      <c r="E72" s="75"/>
    </row>
    <row r="73" spans="2:5" ht="15.75" x14ac:dyDescent="0.25">
      <c r="B73" s="69"/>
      <c r="C73" s="79"/>
      <c r="D73" s="75"/>
      <c r="E73" s="75"/>
    </row>
    <row r="74" spans="2:5" x14ac:dyDescent="0.2">
      <c r="B74" s="71"/>
      <c r="C74" s="53"/>
      <c r="D74" s="65"/>
      <c r="E74" s="65"/>
    </row>
    <row r="75" spans="2:5" x14ac:dyDescent="0.2">
      <c r="B75" s="71"/>
      <c r="C75" s="67"/>
      <c r="D75" s="80"/>
      <c r="E75" s="80"/>
    </row>
    <row r="76" spans="2:5" x14ac:dyDescent="0.2">
      <c r="B76" s="71"/>
      <c r="C76" s="53"/>
      <c r="D76" s="65"/>
      <c r="E76" s="65"/>
    </row>
    <row r="77" spans="2:5" ht="15.75" x14ac:dyDescent="0.25">
      <c r="B77" s="69"/>
      <c r="C77" s="79"/>
      <c r="D77" s="75"/>
      <c r="E77" s="75"/>
    </row>
    <row r="78" spans="2:5" x14ac:dyDescent="0.2">
      <c r="B78" s="81"/>
      <c r="C78" s="53"/>
      <c r="D78" s="65"/>
      <c r="E78" s="65"/>
    </row>
    <row r="79" spans="2:5" ht="15.75" x14ac:dyDescent="0.25">
      <c r="B79" s="69"/>
      <c r="C79" s="79"/>
      <c r="D79" s="75"/>
      <c r="E79" s="75"/>
    </row>
    <row r="80" spans="2:5" ht="15.75" x14ac:dyDescent="0.25">
      <c r="B80" s="69"/>
      <c r="C80" s="79"/>
      <c r="D80" s="75"/>
      <c r="E80" s="75"/>
    </row>
    <row r="81" spans="2:5" ht="15.75" x14ac:dyDescent="0.25">
      <c r="B81" s="69"/>
      <c r="C81" s="79"/>
      <c r="D81" s="75"/>
      <c r="E81" s="75"/>
    </row>
    <row r="82" spans="2:5" ht="15.75" x14ac:dyDescent="0.25">
      <c r="B82" s="69"/>
      <c r="C82" s="79"/>
      <c r="D82" s="75"/>
      <c r="E82" s="75"/>
    </row>
  </sheetData>
  <mergeCells count="1">
    <mergeCell ref="A19:B19"/>
  </mergeCells>
  <phoneticPr fontId="5" type="noConversion"/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133"/>
  <sheetViews>
    <sheetView topLeftCell="A4" workbookViewId="0"/>
  </sheetViews>
  <sheetFormatPr defaultRowHeight="12.75" outlineLevelRow="1" outlineLevelCol="1" x14ac:dyDescent="0.2"/>
  <cols>
    <col min="1" max="1" width="6.42578125" style="1699" customWidth="1"/>
    <col min="2" max="2" width="38" style="1682" customWidth="1"/>
    <col min="3" max="3" width="16.28515625" style="1682" hidden="1" customWidth="1"/>
    <col min="4" max="4" width="2.28515625" style="1808" hidden="1" customWidth="1"/>
    <col min="5" max="5" width="16.42578125" style="1693" bestFit="1" customWidth="1"/>
    <col min="6" max="6" width="12" style="1808" customWidth="1" outlineLevel="1"/>
    <col min="7" max="7" width="11.28515625" style="1808" bestFit="1" customWidth="1" outlineLevel="1"/>
    <col min="8" max="8" width="10.85546875" style="1808" bestFit="1" customWidth="1" outlineLevel="1"/>
    <col min="9" max="9" width="13.140625" style="1808" customWidth="1" outlineLevel="1"/>
    <col min="10" max="10" width="10.140625" style="1808" customWidth="1" outlineLevel="1"/>
    <col min="11" max="11" width="11.28515625" style="1808" customWidth="1" outlineLevel="1"/>
    <col min="12" max="13" width="11.28515625" style="1808" bestFit="1" customWidth="1" outlineLevel="1"/>
    <col min="14" max="14" width="11.28515625" style="1808" customWidth="1" outlineLevel="1"/>
    <col min="15" max="15" width="9.140625" style="1808"/>
    <col min="16" max="16" width="10.140625" style="1808" bestFit="1" customWidth="1"/>
    <col min="17" max="17" width="10.7109375" style="1808" bestFit="1" customWidth="1"/>
    <col min="18" max="16384" width="9.140625" style="1808"/>
  </cols>
  <sheetData>
    <row r="1" spans="1:17" x14ac:dyDescent="0.2">
      <c r="A1" s="34"/>
      <c r="B1" s="9"/>
      <c r="C1" s="9"/>
      <c r="D1"/>
      <c r="E1" s="9"/>
      <c r="F1"/>
      <c r="G1"/>
      <c r="H1"/>
      <c r="I1"/>
      <c r="J1"/>
      <c r="K1"/>
      <c r="L1"/>
      <c r="M1"/>
      <c r="N1"/>
    </row>
    <row r="2" spans="1:17" ht="23.25" x14ac:dyDescent="0.35">
      <c r="A2" s="3" t="s">
        <v>1402</v>
      </c>
      <c r="B2" s="9"/>
      <c r="C2" s="9"/>
      <c r="D2"/>
      <c r="E2" s="9"/>
      <c r="F2"/>
      <c r="G2"/>
      <c r="H2"/>
      <c r="I2"/>
      <c r="J2"/>
      <c r="K2"/>
      <c r="L2"/>
      <c r="M2"/>
      <c r="N2"/>
    </row>
    <row r="3" spans="1:17" x14ac:dyDescent="0.2">
      <c r="A3" s="34"/>
      <c r="B3" s="9"/>
      <c r="C3" s="9"/>
      <c r="D3"/>
      <c r="E3" s="9"/>
      <c r="F3"/>
      <c r="G3"/>
      <c r="H3"/>
      <c r="I3"/>
      <c r="J3"/>
      <c r="K3"/>
      <c r="L3"/>
      <c r="M3"/>
      <c r="N3"/>
    </row>
    <row r="4" spans="1:17" ht="19.5" thickBot="1" x14ac:dyDescent="0.35">
      <c r="A4" s="17" t="s">
        <v>549</v>
      </c>
      <c r="B4" s="9"/>
      <c r="C4" s="9"/>
      <c r="D4"/>
      <c r="E4" s="651"/>
      <c r="F4" s="394"/>
      <c r="G4" s="394"/>
      <c r="H4" s="394"/>
      <c r="I4" s="394"/>
      <c r="J4" s="394"/>
      <c r="K4" s="394"/>
      <c r="L4" s="394"/>
      <c r="M4" s="394"/>
      <c r="N4" s="394"/>
    </row>
    <row r="5" spans="1:17" ht="33.75" customHeight="1" thickBot="1" x14ac:dyDescent="0.25">
      <c r="A5" s="6" t="s">
        <v>818</v>
      </c>
      <c r="B5" s="669" t="s">
        <v>0</v>
      </c>
      <c r="C5" s="395" t="s">
        <v>422</v>
      </c>
      <c r="D5"/>
      <c r="E5" s="271" t="s">
        <v>1370</v>
      </c>
      <c r="F5" s="402" t="s">
        <v>623</v>
      </c>
      <c r="G5" s="599" t="s">
        <v>608</v>
      </c>
      <c r="H5" s="628" t="s">
        <v>232</v>
      </c>
      <c r="I5" s="638" t="s">
        <v>222</v>
      </c>
      <c r="J5" s="628" t="s">
        <v>1120</v>
      </c>
      <c r="K5" s="616" t="s">
        <v>1121</v>
      </c>
      <c r="L5" s="608" t="s">
        <v>547</v>
      </c>
      <c r="M5" s="402" t="s">
        <v>235</v>
      </c>
      <c r="N5" s="412" t="s">
        <v>237</v>
      </c>
    </row>
    <row r="6" spans="1:17" s="1823" customFormat="1" x14ac:dyDescent="0.2">
      <c r="A6" s="861"/>
      <c r="B6" s="862" t="s">
        <v>1115</v>
      </c>
      <c r="C6" s="396">
        <v>10270000</v>
      </c>
      <c r="D6" s="314"/>
      <c r="E6" s="612">
        <f t="shared" ref="E6:N6" si="0">+E7+E8+E15+E21</f>
        <v>25230000</v>
      </c>
      <c r="F6" s="403">
        <f t="shared" si="0"/>
        <v>3298500</v>
      </c>
      <c r="G6" s="600">
        <f t="shared" si="0"/>
        <v>21931500</v>
      </c>
      <c r="H6" s="629">
        <f t="shared" si="0"/>
        <v>2010000</v>
      </c>
      <c r="I6" s="639">
        <f t="shared" si="0"/>
        <v>620000</v>
      </c>
      <c r="J6" s="629">
        <f t="shared" si="0"/>
        <v>8370000</v>
      </c>
      <c r="K6" s="617">
        <f t="shared" si="0"/>
        <v>10931500</v>
      </c>
      <c r="L6" s="396">
        <f t="shared" si="0"/>
        <v>0</v>
      </c>
      <c r="M6" s="403">
        <f t="shared" si="0"/>
        <v>0</v>
      </c>
      <c r="N6" s="413">
        <f t="shared" si="0"/>
        <v>0</v>
      </c>
      <c r="P6" s="1824"/>
    </row>
    <row r="7" spans="1:17" x14ac:dyDescent="0.2">
      <c r="A7" s="1954" t="s">
        <v>974</v>
      </c>
      <c r="B7" s="680" t="s">
        <v>1116</v>
      </c>
      <c r="C7" s="397">
        <v>8000000</v>
      </c>
      <c r="D7"/>
      <c r="E7" s="613">
        <f>+G7+L7+F7</f>
        <v>13600000</v>
      </c>
      <c r="F7" s="404">
        <v>3298500</v>
      </c>
      <c r="G7" s="601">
        <f>J7+H7+I7+K7</f>
        <v>10301500</v>
      </c>
      <c r="H7" s="630">
        <v>750000</v>
      </c>
      <c r="I7" s="640">
        <v>500000</v>
      </c>
      <c r="J7" s="630">
        <v>1750000</v>
      </c>
      <c r="K7" s="618">
        <v>7301500</v>
      </c>
      <c r="L7" s="397">
        <f>+M7+N7</f>
        <v>0</v>
      </c>
      <c r="M7" s="404">
        <v>0</v>
      </c>
      <c r="N7" s="414">
        <v>0</v>
      </c>
      <c r="Q7" s="1825"/>
    </row>
    <row r="8" spans="1:17" ht="13.5" customHeight="1" x14ac:dyDescent="0.2">
      <c r="A8" s="1955"/>
      <c r="B8" s="681" t="s">
        <v>433</v>
      </c>
      <c r="C8" s="397">
        <v>2270000</v>
      </c>
      <c r="D8"/>
      <c r="E8" s="613">
        <f t="shared" ref="E8:N8" si="1">SUM(E9:E14)</f>
        <v>3640000</v>
      </c>
      <c r="F8" s="404">
        <f t="shared" si="1"/>
        <v>0</v>
      </c>
      <c r="G8" s="601">
        <f t="shared" si="1"/>
        <v>3640000</v>
      </c>
      <c r="H8" s="630">
        <f t="shared" si="1"/>
        <v>840000</v>
      </c>
      <c r="I8" s="640">
        <f t="shared" si="1"/>
        <v>0</v>
      </c>
      <c r="J8" s="630">
        <f t="shared" si="1"/>
        <v>950000</v>
      </c>
      <c r="K8" s="618">
        <f t="shared" si="1"/>
        <v>1850000</v>
      </c>
      <c r="L8" s="397">
        <f t="shared" si="1"/>
        <v>0</v>
      </c>
      <c r="M8" s="404">
        <f t="shared" si="1"/>
        <v>0</v>
      </c>
      <c r="N8" s="414">
        <f t="shared" si="1"/>
        <v>0</v>
      </c>
    </row>
    <row r="9" spans="1:17" outlineLevel="1" x14ac:dyDescent="0.2">
      <c r="A9" s="1955"/>
      <c r="B9" s="682" t="s">
        <v>609</v>
      </c>
      <c r="C9" s="366">
        <v>900000</v>
      </c>
      <c r="D9"/>
      <c r="E9" s="614">
        <f t="shared" ref="E9:E14" si="2">+G9+L9+F9</f>
        <v>950000</v>
      </c>
      <c r="F9" s="405">
        <v>0</v>
      </c>
      <c r="G9" s="602">
        <f t="shared" ref="G9:G14" si="3">+J9+H9+I9+K9</f>
        <v>950000</v>
      </c>
      <c r="H9" s="631">
        <v>0</v>
      </c>
      <c r="I9" s="641">
        <v>0</v>
      </c>
      <c r="J9" s="631">
        <f>[5]TSÚ!$D$12</f>
        <v>950000</v>
      </c>
      <c r="K9" s="619">
        <v>0</v>
      </c>
      <c r="L9" s="609">
        <f t="shared" ref="L9:L14" si="4">+M9+N9</f>
        <v>0</v>
      </c>
      <c r="M9" s="405">
        <v>0</v>
      </c>
      <c r="N9" s="415">
        <v>0</v>
      </c>
      <c r="O9" s="1825"/>
    </row>
    <row r="10" spans="1:17" outlineLevel="1" x14ac:dyDescent="0.2">
      <c r="A10" s="1955"/>
      <c r="B10" s="682" t="s">
        <v>822</v>
      </c>
      <c r="C10" s="366"/>
      <c r="D10"/>
      <c r="E10" s="614">
        <f t="shared" si="2"/>
        <v>450000</v>
      </c>
      <c r="F10" s="405">
        <v>0</v>
      </c>
      <c r="G10" s="602">
        <f t="shared" si="3"/>
        <v>450000</v>
      </c>
      <c r="H10" s="631">
        <v>0</v>
      </c>
      <c r="I10" s="641">
        <v>0</v>
      </c>
      <c r="J10" s="631">
        <v>0</v>
      </c>
      <c r="K10" s="619">
        <f>[5]TSÚ!$B$13</f>
        <v>450000</v>
      </c>
      <c r="L10" s="609">
        <f t="shared" si="4"/>
        <v>0</v>
      </c>
      <c r="M10" s="405">
        <v>0</v>
      </c>
      <c r="N10" s="415">
        <v>0</v>
      </c>
    </row>
    <row r="11" spans="1:17" outlineLevel="1" x14ac:dyDescent="0.2">
      <c r="A11" s="1955"/>
      <c r="B11" s="682" t="s">
        <v>875</v>
      </c>
      <c r="C11" s="366"/>
      <c r="D11"/>
      <c r="E11" s="614">
        <f t="shared" si="2"/>
        <v>840000</v>
      </c>
      <c r="F11" s="405">
        <v>0</v>
      </c>
      <c r="G11" s="602">
        <f t="shared" si="3"/>
        <v>840000</v>
      </c>
      <c r="H11" s="631">
        <f>[5]TSÚ!$B$14</f>
        <v>840000</v>
      </c>
      <c r="I11" s="641">
        <v>0</v>
      </c>
      <c r="J11" s="631">
        <v>0</v>
      </c>
      <c r="K11" s="619">
        <v>0</v>
      </c>
      <c r="L11" s="609">
        <f t="shared" si="4"/>
        <v>0</v>
      </c>
      <c r="M11" s="405">
        <v>0</v>
      </c>
      <c r="N11" s="415">
        <v>0</v>
      </c>
    </row>
    <row r="12" spans="1:17" outlineLevel="1" x14ac:dyDescent="0.2">
      <c r="A12" s="1955"/>
      <c r="B12" s="682" t="s">
        <v>1412</v>
      </c>
      <c r="C12" s="366"/>
      <c r="D12"/>
      <c r="E12" s="614">
        <f t="shared" si="2"/>
        <v>250000</v>
      </c>
      <c r="F12" s="405">
        <v>0</v>
      </c>
      <c r="G12" s="602">
        <f t="shared" si="3"/>
        <v>250000</v>
      </c>
      <c r="H12" s="631">
        <v>0</v>
      </c>
      <c r="I12" s="641">
        <v>0</v>
      </c>
      <c r="J12" s="631">
        <v>0</v>
      </c>
      <c r="K12" s="619">
        <f>[5]TSÚ!$B$15</f>
        <v>250000</v>
      </c>
      <c r="L12" s="609">
        <f t="shared" si="4"/>
        <v>0</v>
      </c>
      <c r="M12" s="405">
        <v>0</v>
      </c>
      <c r="N12" s="415">
        <v>0</v>
      </c>
    </row>
    <row r="13" spans="1:17" outlineLevel="1" x14ac:dyDescent="0.2">
      <c r="A13" s="1955"/>
      <c r="B13" s="682" t="s">
        <v>1413</v>
      </c>
      <c r="C13" s="366"/>
      <c r="D13"/>
      <c r="E13" s="614">
        <f t="shared" si="2"/>
        <v>300000</v>
      </c>
      <c r="F13" s="405">
        <v>0</v>
      </c>
      <c r="G13" s="602">
        <f t="shared" si="3"/>
        <v>300000</v>
      </c>
      <c r="H13" s="631">
        <v>0</v>
      </c>
      <c r="I13" s="641">
        <v>0</v>
      </c>
      <c r="J13" s="631">
        <v>0</v>
      </c>
      <c r="K13" s="619">
        <f>[5]TSÚ!$B$16</f>
        <v>300000</v>
      </c>
      <c r="L13" s="609">
        <f t="shared" si="4"/>
        <v>0</v>
      </c>
      <c r="M13" s="405">
        <v>0</v>
      </c>
      <c r="N13" s="415">
        <v>0</v>
      </c>
    </row>
    <row r="14" spans="1:17" outlineLevel="1" x14ac:dyDescent="0.2">
      <c r="A14" s="1955"/>
      <c r="B14" s="682" t="s">
        <v>1414</v>
      </c>
      <c r="C14" s="366"/>
      <c r="D14"/>
      <c r="E14" s="614">
        <f t="shared" si="2"/>
        <v>850000</v>
      </c>
      <c r="F14" s="405">
        <v>0</v>
      </c>
      <c r="G14" s="602">
        <f t="shared" si="3"/>
        <v>850000</v>
      </c>
      <c r="H14" s="631">
        <v>0</v>
      </c>
      <c r="I14" s="641">
        <v>0</v>
      </c>
      <c r="J14" s="634">
        <v>0</v>
      </c>
      <c r="K14" s="619">
        <f>[5]TSÚ!$B$17</f>
        <v>850000</v>
      </c>
      <c r="L14" s="609">
        <f t="shared" si="4"/>
        <v>0</v>
      </c>
      <c r="M14" s="405">
        <v>0</v>
      </c>
      <c r="N14" s="415">
        <v>0</v>
      </c>
    </row>
    <row r="15" spans="1:17" s="1823" customFormat="1" x14ac:dyDescent="0.2">
      <c r="A15" s="1955"/>
      <c r="B15" s="683" t="s">
        <v>970</v>
      </c>
      <c r="C15" s="397">
        <f>8567000+500000</f>
        <v>9067000</v>
      </c>
      <c r="D15" s="314"/>
      <c r="E15" s="601">
        <f t="shared" ref="E15:N15" si="5">SUM(E16:E20)</f>
        <v>7590000</v>
      </c>
      <c r="F15" s="404">
        <f>SUM(F16:F20)</f>
        <v>0</v>
      </c>
      <c r="G15" s="601">
        <f t="shared" si="5"/>
        <v>7590000</v>
      </c>
      <c r="H15" s="630">
        <f t="shared" si="5"/>
        <v>320000</v>
      </c>
      <c r="I15" s="640">
        <f t="shared" si="5"/>
        <v>120000</v>
      </c>
      <c r="J15" s="630">
        <f>SUM(J16:J20)</f>
        <v>5670000</v>
      </c>
      <c r="K15" s="618">
        <f t="shared" si="5"/>
        <v>1480000</v>
      </c>
      <c r="L15" s="397">
        <f t="shared" si="5"/>
        <v>0</v>
      </c>
      <c r="M15" s="404">
        <f t="shared" si="5"/>
        <v>0</v>
      </c>
      <c r="N15" s="414">
        <f t="shared" si="5"/>
        <v>0</v>
      </c>
    </row>
    <row r="16" spans="1:17" ht="12.75" customHeight="1" outlineLevel="1" x14ac:dyDescent="0.2">
      <c r="A16" s="1955"/>
      <c r="B16" s="682" t="s">
        <v>971</v>
      </c>
      <c r="C16" s="366">
        <v>250000</v>
      </c>
      <c r="D16"/>
      <c r="E16" s="614">
        <f>+G16+L16+F16</f>
        <v>320000</v>
      </c>
      <c r="F16" s="405">
        <v>0</v>
      </c>
      <c r="G16" s="602">
        <f>+J16+H16+I16+K16</f>
        <v>320000</v>
      </c>
      <c r="H16" s="631">
        <v>320000</v>
      </c>
      <c r="I16" s="641">
        <v>0</v>
      </c>
      <c r="J16" s="631">
        <v>0</v>
      </c>
      <c r="K16" s="619">
        <v>0</v>
      </c>
      <c r="L16" s="609">
        <f>+M16+N16</f>
        <v>0</v>
      </c>
      <c r="M16" s="405">
        <v>0</v>
      </c>
      <c r="N16" s="415">
        <v>0</v>
      </c>
    </row>
    <row r="17" spans="1:14" outlineLevel="1" x14ac:dyDescent="0.2">
      <c r="A17" s="1955"/>
      <c r="B17" s="682" t="s">
        <v>972</v>
      </c>
      <c r="C17" s="366">
        <v>1467000</v>
      </c>
      <c r="D17"/>
      <c r="E17" s="614">
        <f>+G17+L17+F17</f>
        <v>1150000</v>
      </c>
      <c r="F17" s="405">
        <v>0</v>
      </c>
      <c r="G17" s="602">
        <f>+J17+H17+I17+K17</f>
        <v>1150000</v>
      </c>
      <c r="H17" s="631">
        <v>0</v>
      </c>
      <c r="I17" s="641">
        <v>120000</v>
      </c>
      <c r="J17" s="632">
        <v>0</v>
      </c>
      <c r="K17" s="620">
        <v>1030000</v>
      </c>
      <c r="L17" s="609">
        <f>+M17+N17</f>
        <v>0</v>
      </c>
      <c r="M17" s="405">
        <v>0</v>
      </c>
      <c r="N17" s="415">
        <v>0</v>
      </c>
    </row>
    <row r="18" spans="1:14" outlineLevel="1" x14ac:dyDescent="0.2">
      <c r="A18" s="1955"/>
      <c r="B18" s="682" t="s">
        <v>1528</v>
      </c>
      <c r="C18" s="366"/>
      <c r="D18"/>
      <c r="E18" s="614">
        <f>+G18+L18+F18</f>
        <v>5020000</v>
      </c>
      <c r="F18" s="405">
        <v>0</v>
      </c>
      <c r="G18" s="602">
        <f>H18+I18+J18+K18</f>
        <v>5020000</v>
      </c>
      <c r="H18" s="631">
        <v>0</v>
      </c>
      <c r="I18" s="641">
        <v>0</v>
      </c>
      <c r="J18" s="631">
        <f>+'Sumář  výdaje kapitol'!CE34+'Sumář  výdaje kapitol'!CK34</f>
        <v>5020000</v>
      </c>
      <c r="K18" s="619">
        <v>0</v>
      </c>
      <c r="L18" s="609">
        <f>+M18+N18</f>
        <v>0</v>
      </c>
      <c r="M18" s="405">
        <v>0</v>
      </c>
      <c r="N18" s="415">
        <v>0</v>
      </c>
    </row>
    <row r="19" spans="1:14" outlineLevel="1" x14ac:dyDescent="0.2">
      <c r="A19" s="1955"/>
      <c r="B19" s="682" t="s">
        <v>607</v>
      </c>
      <c r="C19" s="366">
        <v>500000</v>
      </c>
      <c r="D19"/>
      <c r="E19" s="614">
        <f>+G19+L19+F19</f>
        <v>450000</v>
      </c>
      <c r="F19" s="405">
        <v>0</v>
      </c>
      <c r="G19" s="602">
        <f>+J19+H19+I19+K19</f>
        <v>450000</v>
      </c>
      <c r="H19" s="631">
        <v>0</v>
      </c>
      <c r="I19" s="641">
        <v>0</v>
      </c>
      <c r="J19" s="631">
        <v>0</v>
      </c>
      <c r="K19" s="619">
        <f>'Sumář  výdaje kapitol'!BS35</f>
        <v>450000</v>
      </c>
      <c r="L19" s="609">
        <f>+M19+N19</f>
        <v>0</v>
      </c>
      <c r="M19" s="405">
        <v>0</v>
      </c>
      <c r="N19" s="415">
        <v>0</v>
      </c>
    </row>
    <row r="20" spans="1:14" outlineLevel="1" x14ac:dyDescent="0.2">
      <c r="A20" s="1955"/>
      <c r="B20" s="682" t="s">
        <v>969</v>
      </c>
      <c r="C20" s="366">
        <v>500000</v>
      </c>
      <c r="D20"/>
      <c r="E20" s="614">
        <f>+G20+L20+F20</f>
        <v>650000</v>
      </c>
      <c r="F20" s="405">
        <v>0</v>
      </c>
      <c r="G20" s="602">
        <f>+J20+H20+I20+K20</f>
        <v>650000</v>
      </c>
      <c r="H20" s="631">
        <v>0</v>
      </c>
      <c r="I20" s="641">
        <v>0</v>
      </c>
      <c r="J20" s="631">
        <f>'Sumář  výdaje kapitol'!CJ34</f>
        <v>650000</v>
      </c>
      <c r="K20" s="619">
        <v>0</v>
      </c>
      <c r="L20" s="609">
        <f>+M20+N20</f>
        <v>0</v>
      </c>
      <c r="M20" s="405">
        <v>0</v>
      </c>
      <c r="N20" s="415">
        <v>0</v>
      </c>
    </row>
    <row r="21" spans="1:14" s="1823" customFormat="1" x14ac:dyDescent="0.2">
      <c r="A21" s="1955"/>
      <c r="B21" s="683" t="s">
        <v>461</v>
      </c>
      <c r="C21" s="397">
        <f>8567000+500000</f>
        <v>9067000</v>
      </c>
      <c r="D21" s="314"/>
      <c r="E21" s="601">
        <f t="shared" ref="E21:N21" si="6">SUM(E22:E23)</f>
        <v>400000</v>
      </c>
      <c r="F21" s="404">
        <f t="shared" si="6"/>
        <v>0</v>
      </c>
      <c r="G21" s="601">
        <f t="shared" si="6"/>
        <v>400000</v>
      </c>
      <c r="H21" s="630">
        <f t="shared" si="6"/>
        <v>100000</v>
      </c>
      <c r="I21" s="640">
        <f t="shared" si="6"/>
        <v>0</v>
      </c>
      <c r="J21" s="630">
        <f t="shared" si="6"/>
        <v>0</v>
      </c>
      <c r="K21" s="618">
        <f t="shared" si="6"/>
        <v>300000</v>
      </c>
      <c r="L21" s="397">
        <f t="shared" si="6"/>
        <v>0</v>
      </c>
      <c r="M21" s="404">
        <f t="shared" si="6"/>
        <v>0</v>
      </c>
      <c r="N21" s="414">
        <f t="shared" si="6"/>
        <v>0</v>
      </c>
    </row>
    <row r="22" spans="1:14" outlineLevel="1" x14ac:dyDescent="0.2">
      <c r="A22" s="1955"/>
      <c r="B22" s="682" t="s">
        <v>606</v>
      </c>
      <c r="C22" s="366">
        <v>600000</v>
      </c>
      <c r="D22"/>
      <c r="E22" s="614">
        <f>+G22+L22+F22</f>
        <v>100000</v>
      </c>
      <c r="F22" s="405">
        <v>0</v>
      </c>
      <c r="G22" s="602">
        <f>+J22+H22+I22+K22</f>
        <v>100000</v>
      </c>
      <c r="H22" s="631">
        <v>100000</v>
      </c>
      <c r="I22" s="641">
        <v>0</v>
      </c>
      <c r="J22" s="631">
        <v>0</v>
      </c>
      <c r="K22" s="619">
        <v>0</v>
      </c>
      <c r="L22" s="609">
        <f>+M22+N22</f>
        <v>0</v>
      </c>
      <c r="M22" s="405">
        <v>0</v>
      </c>
      <c r="N22" s="415">
        <v>0</v>
      </c>
    </row>
    <row r="23" spans="1:14" outlineLevel="1" x14ac:dyDescent="0.2">
      <c r="A23" s="1955"/>
      <c r="B23" s="682" t="s">
        <v>1429</v>
      </c>
      <c r="C23" s="366">
        <v>2650000</v>
      </c>
      <c r="D23"/>
      <c r="E23" s="614">
        <f>+G23+L23+F23</f>
        <v>300000</v>
      </c>
      <c r="F23" s="405">
        <v>0</v>
      </c>
      <c r="G23" s="602">
        <f>+J23+H23+I23+K23</f>
        <v>300000</v>
      </c>
      <c r="H23" s="631">
        <v>0</v>
      </c>
      <c r="I23" s="641">
        <v>0</v>
      </c>
      <c r="J23" s="631">
        <v>0</v>
      </c>
      <c r="K23" s="619">
        <v>300000</v>
      </c>
      <c r="L23" s="609">
        <f>+M23+N23</f>
        <v>0</v>
      </c>
      <c r="M23" s="405">
        <v>0</v>
      </c>
      <c r="N23" s="415">
        <v>0</v>
      </c>
    </row>
    <row r="24" spans="1:14" x14ac:dyDescent="0.2">
      <c r="A24" s="863"/>
      <c r="B24" s="326" t="s">
        <v>470</v>
      </c>
      <c r="C24" s="397">
        <v>1890000</v>
      </c>
      <c r="D24"/>
      <c r="E24" s="601">
        <f t="shared" ref="E24:N24" si="7">SUM(E25:E25)</f>
        <v>500000</v>
      </c>
      <c r="F24" s="404">
        <f t="shared" si="7"/>
        <v>0</v>
      </c>
      <c r="G24" s="601">
        <f t="shared" si="7"/>
        <v>500000</v>
      </c>
      <c r="H24" s="630">
        <f t="shared" si="7"/>
        <v>0</v>
      </c>
      <c r="I24" s="640">
        <f t="shared" si="7"/>
        <v>0</v>
      </c>
      <c r="J24" s="630">
        <f t="shared" si="7"/>
        <v>500000</v>
      </c>
      <c r="K24" s="618">
        <f t="shared" si="7"/>
        <v>0</v>
      </c>
      <c r="L24" s="397">
        <f t="shared" si="7"/>
        <v>0</v>
      </c>
      <c r="M24" s="404">
        <f t="shared" si="7"/>
        <v>0</v>
      </c>
      <c r="N24" s="414">
        <f t="shared" si="7"/>
        <v>0</v>
      </c>
    </row>
    <row r="25" spans="1:14" outlineLevel="1" x14ac:dyDescent="0.2">
      <c r="A25" s="864"/>
      <c r="B25" s="365" t="s">
        <v>1529</v>
      </c>
      <c r="C25" s="367">
        <v>0</v>
      </c>
      <c r="D25"/>
      <c r="E25" s="376">
        <f>+G25+L25+F25</f>
        <v>500000</v>
      </c>
      <c r="F25" s="406">
        <v>0</v>
      </c>
      <c r="G25" s="603">
        <f>+J25+H25+I25+K25</f>
        <v>500000</v>
      </c>
      <c r="H25" s="632">
        <v>0</v>
      </c>
      <c r="I25" s="642">
        <v>0</v>
      </c>
      <c r="J25" s="632">
        <v>500000</v>
      </c>
      <c r="K25" s="620">
        <v>0</v>
      </c>
      <c r="L25" s="399">
        <f>+M25+N25</f>
        <v>0</v>
      </c>
      <c r="M25" s="406">
        <v>0</v>
      </c>
      <c r="N25" s="416">
        <v>0</v>
      </c>
    </row>
    <row r="26" spans="1:14" s="1823" customFormat="1" x14ac:dyDescent="0.2">
      <c r="A26" s="863"/>
      <c r="B26" s="326" t="s">
        <v>432</v>
      </c>
      <c r="C26" s="397">
        <v>18601000</v>
      </c>
      <c r="D26" s="314"/>
      <c r="E26" s="601">
        <f t="shared" ref="E26:N26" si="8">SUM(E27:E28)</f>
        <v>24975018</v>
      </c>
      <c r="F26" s="404">
        <f>SUM(F27:F28)</f>
        <v>0</v>
      </c>
      <c r="G26" s="601">
        <f t="shared" si="8"/>
        <v>0</v>
      </c>
      <c r="H26" s="630">
        <f t="shared" si="8"/>
        <v>0</v>
      </c>
      <c r="I26" s="640">
        <f t="shared" si="8"/>
        <v>0</v>
      </c>
      <c r="J26" s="630">
        <f>SUM(J27:J28)</f>
        <v>0</v>
      </c>
      <c r="K26" s="618">
        <f t="shared" si="8"/>
        <v>0</v>
      </c>
      <c r="L26" s="397">
        <f t="shared" si="8"/>
        <v>24975018</v>
      </c>
      <c r="M26" s="404">
        <f t="shared" si="8"/>
        <v>12760000</v>
      </c>
      <c r="N26" s="414">
        <f t="shared" si="8"/>
        <v>12215018</v>
      </c>
    </row>
    <row r="27" spans="1:14" x14ac:dyDescent="0.2">
      <c r="A27" s="864"/>
      <c r="B27" s="365" t="s">
        <v>1118</v>
      </c>
      <c r="C27" s="367">
        <v>18601000</v>
      </c>
      <c r="D27"/>
      <c r="E27" s="376">
        <f>+G27+L27+F27</f>
        <v>20075018</v>
      </c>
      <c r="F27" s="406">
        <v>0</v>
      </c>
      <c r="G27" s="603">
        <f>+J27+H27+I27+K27</f>
        <v>0</v>
      </c>
      <c r="H27" s="632">
        <v>0</v>
      </c>
      <c r="I27" s="642">
        <v>0</v>
      </c>
      <c r="J27" s="632">
        <v>0</v>
      </c>
      <c r="K27" s="620">
        <v>0</v>
      </c>
      <c r="L27" s="399">
        <f>+M27+N27</f>
        <v>20075018</v>
      </c>
      <c r="M27" s="406">
        <v>9360000</v>
      </c>
      <c r="N27" s="416">
        <v>10715018</v>
      </c>
    </row>
    <row r="28" spans="1:14" x14ac:dyDescent="0.2">
      <c r="A28" s="864"/>
      <c r="B28" s="365" t="s">
        <v>1530</v>
      </c>
      <c r="C28" s="367">
        <v>0</v>
      </c>
      <c r="D28"/>
      <c r="E28" s="376">
        <f>+G28+L28+F28</f>
        <v>4900000</v>
      </c>
      <c r="F28" s="406">
        <v>0</v>
      </c>
      <c r="G28" s="603">
        <f>+J28+H28+I28+K28</f>
        <v>0</v>
      </c>
      <c r="H28" s="632">
        <v>0</v>
      </c>
      <c r="I28" s="642">
        <v>0</v>
      </c>
      <c r="J28" s="632">
        <v>0</v>
      </c>
      <c r="K28" s="620">
        <v>0</v>
      </c>
      <c r="L28" s="399">
        <f>+M28+N28</f>
        <v>4900000</v>
      </c>
      <c r="M28" s="406">
        <v>3400000</v>
      </c>
      <c r="N28" s="416">
        <v>1500000</v>
      </c>
    </row>
    <row r="29" spans="1:14" s="1823" customFormat="1" x14ac:dyDescent="0.2">
      <c r="A29" s="863"/>
      <c r="B29" s="325" t="s">
        <v>428</v>
      </c>
      <c r="C29" s="401">
        <v>0</v>
      </c>
      <c r="D29" s="314"/>
      <c r="E29" s="601">
        <f>+G29+L29+F29</f>
        <v>0</v>
      </c>
      <c r="F29" s="404">
        <v>0</v>
      </c>
      <c r="G29" s="601">
        <f>+J29+H29+I29+K29</f>
        <v>0</v>
      </c>
      <c r="H29" s="630">
        <v>0</v>
      </c>
      <c r="I29" s="640">
        <v>0</v>
      </c>
      <c r="J29" s="630">
        <v>0</v>
      </c>
      <c r="K29" s="618">
        <v>0</v>
      </c>
      <c r="L29" s="397">
        <f>+M29+N29</f>
        <v>0</v>
      </c>
      <c r="M29" s="404">
        <v>0</v>
      </c>
      <c r="N29" s="414">
        <v>0</v>
      </c>
    </row>
    <row r="30" spans="1:14" s="1823" customFormat="1" x14ac:dyDescent="0.2">
      <c r="A30" s="863"/>
      <c r="B30" s="325" t="s">
        <v>429</v>
      </c>
      <c r="C30" s="401">
        <v>0</v>
      </c>
      <c r="D30" s="314"/>
      <c r="E30" s="601">
        <f>+G30+L30+F30</f>
        <v>0</v>
      </c>
      <c r="F30" s="404">
        <v>0</v>
      </c>
      <c r="G30" s="601">
        <f>+J30+H30+I30+K30</f>
        <v>0</v>
      </c>
      <c r="H30" s="630">
        <v>0</v>
      </c>
      <c r="I30" s="640">
        <v>0</v>
      </c>
      <c r="J30" s="630">
        <v>0</v>
      </c>
      <c r="K30" s="618">
        <v>0</v>
      </c>
      <c r="L30" s="397">
        <f>+M30+N30</f>
        <v>0</v>
      </c>
      <c r="M30" s="404">
        <v>0</v>
      </c>
      <c r="N30" s="414">
        <v>0</v>
      </c>
    </row>
    <row r="31" spans="1:14" s="1823" customFormat="1" x14ac:dyDescent="0.2">
      <c r="A31" s="863"/>
      <c r="B31" s="325" t="s">
        <v>430</v>
      </c>
      <c r="C31" s="401">
        <v>0</v>
      </c>
      <c r="D31" s="314"/>
      <c r="E31" s="601">
        <f t="shared" ref="E31:N31" si="9">SUM(E32:E35)</f>
        <v>160000</v>
      </c>
      <c r="F31" s="404">
        <f t="shared" si="9"/>
        <v>0</v>
      </c>
      <c r="G31" s="601">
        <f t="shared" si="9"/>
        <v>130000</v>
      </c>
      <c r="H31" s="630">
        <f t="shared" si="9"/>
        <v>50000</v>
      </c>
      <c r="I31" s="640">
        <f t="shared" si="9"/>
        <v>0</v>
      </c>
      <c r="J31" s="630">
        <f t="shared" si="9"/>
        <v>0</v>
      </c>
      <c r="K31" s="618">
        <f t="shared" si="9"/>
        <v>80000</v>
      </c>
      <c r="L31" s="397">
        <f t="shared" si="9"/>
        <v>30000</v>
      </c>
      <c r="M31" s="404">
        <f t="shared" si="9"/>
        <v>30000</v>
      </c>
      <c r="N31" s="414">
        <f t="shared" si="9"/>
        <v>0</v>
      </c>
    </row>
    <row r="32" spans="1:14" outlineLevel="1" x14ac:dyDescent="0.2">
      <c r="A32" s="864"/>
      <c r="B32" s="365" t="s">
        <v>1531</v>
      </c>
      <c r="C32" s="367"/>
      <c r="D32"/>
      <c r="E32" s="614">
        <f>+G32+L32+F32</f>
        <v>30000</v>
      </c>
      <c r="F32" s="405">
        <v>0</v>
      </c>
      <c r="G32" s="602">
        <f>+J32+H32+I32+K32</f>
        <v>30000</v>
      </c>
      <c r="H32" s="631">
        <v>0</v>
      </c>
      <c r="I32" s="641">
        <v>0</v>
      </c>
      <c r="J32" s="631">
        <v>0</v>
      </c>
      <c r="K32" s="619">
        <v>30000</v>
      </c>
      <c r="L32" s="609">
        <f>+M32+N32</f>
        <v>0</v>
      </c>
      <c r="M32" s="405">
        <v>0</v>
      </c>
      <c r="N32" s="415">
        <v>0</v>
      </c>
    </row>
    <row r="33" spans="1:16" outlineLevel="1" x14ac:dyDescent="0.2">
      <c r="A33" s="864"/>
      <c r="B33" s="365" t="s">
        <v>873</v>
      </c>
      <c r="C33" s="367"/>
      <c r="D33"/>
      <c r="E33" s="614">
        <f>+G33+L33+F33</f>
        <v>30000</v>
      </c>
      <c r="F33" s="405">
        <v>0</v>
      </c>
      <c r="G33" s="602">
        <f>+J33+H33+I33+K33</f>
        <v>0</v>
      </c>
      <c r="H33" s="631">
        <v>0</v>
      </c>
      <c r="I33" s="641">
        <v>0</v>
      </c>
      <c r="J33" s="631">
        <v>0</v>
      </c>
      <c r="K33" s="619">
        <v>0</v>
      </c>
      <c r="L33" s="609">
        <f>+M33+N33</f>
        <v>30000</v>
      </c>
      <c r="M33" s="405">
        <v>30000</v>
      </c>
      <c r="N33" s="415">
        <v>0</v>
      </c>
    </row>
    <row r="34" spans="1:16" outlineLevel="1" x14ac:dyDescent="0.2">
      <c r="A34" s="864"/>
      <c r="B34" s="365" t="s">
        <v>874</v>
      </c>
      <c r="C34" s="367"/>
      <c r="D34"/>
      <c r="E34" s="614">
        <f>+G34+L34+F34</f>
        <v>50000</v>
      </c>
      <c r="F34" s="405">
        <v>0</v>
      </c>
      <c r="G34" s="602">
        <f>+J34+H34+I34+K34</f>
        <v>50000</v>
      </c>
      <c r="H34" s="631">
        <v>50000</v>
      </c>
      <c r="I34" s="641">
        <v>0</v>
      </c>
      <c r="J34" s="631">
        <v>0</v>
      </c>
      <c r="K34" s="619">
        <v>0</v>
      </c>
      <c r="L34" s="609">
        <f>+M34+N34</f>
        <v>0</v>
      </c>
      <c r="M34" s="405">
        <v>0</v>
      </c>
      <c r="N34" s="415">
        <v>0</v>
      </c>
    </row>
    <row r="35" spans="1:16" outlineLevel="1" x14ac:dyDescent="0.2">
      <c r="A35" s="864"/>
      <c r="B35" s="365" t="s">
        <v>610</v>
      </c>
      <c r="C35" s="367"/>
      <c r="D35"/>
      <c r="E35" s="614">
        <f>+G35+L35+F35</f>
        <v>50000</v>
      </c>
      <c r="F35" s="405">
        <v>0</v>
      </c>
      <c r="G35" s="602">
        <f>+J35+H35+I35+K35</f>
        <v>50000</v>
      </c>
      <c r="H35" s="631">
        <v>0</v>
      </c>
      <c r="I35" s="641">
        <v>0</v>
      </c>
      <c r="J35" s="631">
        <v>0</v>
      </c>
      <c r="K35" s="619">
        <v>50000</v>
      </c>
      <c r="L35" s="609">
        <f>+M35+N35</f>
        <v>0</v>
      </c>
      <c r="M35" s="405">
        <v>0</v>
      </c>
      <c r="N35" s="415">
        <v>0</v>
      </c>
    </row>
    <row r="36" spans="1:16" ht="16.5" thickBot="1" x14ac:dyDescent="0.3">
      <c r="A36" s="1956" t="s">
        <v>370</v>
      </c>
      <c r="B36" s="1957"/>
      <c r="C36" s="398">
        <v>45828000</v>
      </c>
      <c r="D36"/>
      <c r="E36" s="604">
        <f>E6+E24+E26+E29+E30+E31</f>
        <v>50865018</v>
      </c>
      <c r="F36" s="604">
        <f t="shared" ref="F36:N36" si="10">F6+F24+F26+F29+F30+F31</f>
        <v>3298500</v>
      </c>
      <c r="G36" s="604">
        <f t="shared" si="10"/>
        <v>22561500</v>
      </c>
      <c r="H36" s="604">
        <f t="shared" si="10"/>
        <v>2060000</v>
      </c>
      <c r="I36" s="604">
        <f t="shared" si="10"/>
        <v>620000</v>
      </c>
      <c r="J36" s="604">
        <f t="shared" si="10"/>
        <v>8870000</v>
      </c>
      <c r="K36" s="604">
        <f t="shared" si="10"/>
        <v>11011500</v>
      </c>
      <c r="L36" s="604">
        <f t="shared" si="10"/>
        <v>25005018</v>
      </c>
      <c r="M36" s="604">
        <f t="shared" si="10"/>
        <v>12790000</v>
      </c>
      <c r="N36" s="604">
        <f t="shared" si="10"/>
        <v>12215018</v>
      </c>
    </row>
    <row r="37" spans="1:16" ht="19.5" thickBot="1" x14ac:dyDescent="0.35">
      <c r="A37" s="17" t="s">
        <v>548</v>
      </c>
      <c r="B37" s="9"/>
      <c r="C37" s="13"/>
      <c r="D37"/>
      <c r="E37" s="13"/>
      <c r="F37" s="13"/>
      <c r="G37" s="13"/>
      <c r="H37" s="633"/>
      <c r="I37" s="644"/>
      <c r="J37" s="13"/>
      <c r="K37" s="13"/>
      <c r="L37" s="13"/>
      <c r="M37" s="13"/>
      <c r="N37" s="627"/>
    </row>
    <row r="38" spans="1:16" s="1826" customFormat="1" x14ac:dyDescent="0.2">
      <c r="A38" s="861">
        <v>5011</v>
      </c>
      <c r="B38" s="891" t="s">
        <v>126</v>
      </c>
      <c r="C38" s="696">
        <v>6695875</v>
      </c>
      <c r="D38" s="697"/>
      <c r="E38" s="892">
        <f t="shared" ref="E38:E45" si="11">+G38+L38+F38</f>
        <v>10345780</v>
      </c>
      <c r="F38" s="893">
        <v>1465000</v>
      </c>
      <c r="G38" s="894">
        <f t="shared" ref="G38:G45" si="12">+J38+H38+I38+K38</f>
        <v>6669380</v>
      </c>
      <c r="H38" s="895">
        <v>711940</v>
      </c>
      <c r="I38" s="896">
        <v>320040</v>
      </c>
      <c r="J38" s="895">
        <v>1273400</v>
      </c>
      <c r="K38" s="897">
        <v>4364000</v>
      </c>
      <c r="L38" s="898">
        <f t="shared" ref="L38:L45" si="13">+M38+N38</f>
        <v>2211400</v>
      </c>
      <c r="M38" s="897">
        <v>1884760</v>
      </c>
      <c r="N38" s="899">
        <v>326640</v>
      </c>
    </row>
    <row r="39" spans="1:16" s="1826" customFormat="1" x14ac:dyDescent="0.2">
      <c r="A39" s="863">
        <v>5021</v>
      </c>
      <c r="B39" s="27" t="s">
        <v>127</v>
      </c>
      <c r="C39" s="698">
        <v>685000</v>
      </c>
      <c r="D39" s="697"/>
      <c r="E39" s="376">
        <f t="shared" si="11"/>
        <v>920400</v>
      </c>
      <c r="F39" s="408">
        <v>228000</v>
      </c>
      <c r="G39" s="603">
        <f t="shared" si="12"/>
        <v>384000</v>
      </c>
      <c r="H39" s="634">
        <v>0</v>
      </c>
      <c r="I39" s="645">
        <v>0</v>
      </c>
      <c r="J39" s="634">
        <v>0</v>
      </c>
      <c r="K39" s="622">
        <v>384000</v>
      </c>
      <c r="L39" s="399">
        <f t="shared" si="13"/>
        <v>308400</v>
      </c>
      <c r="M39" s="622">
        <v>308400</v>
      </c>
      <c r="N39" s="418">
        <v>0</v>
      </c>
    </row>
    <row r="40" spans="1:16" s="1826" customFormat="1" x14ac:dyDescent="0.2">
      <c r="A40" s="863">
        <v>5024</v>
      </c>
      <c r="B40" s="27" t="s">
        <v>427</v>
      </c>
      <c r="C40" s="698">
        <v>0</v>
      </c>
      <c r="D40" s="697"/>
      <c r="E40" s="376">
        <f t="shared" si="11"/>
        <v>0</v>
      </c>
      <c r="F40" s="408">
        <v>0</v>
      </c>
      <c r="G40" s="603">
        <f t="shared" si="12"/>
        <v>0</v>
      </c>
      <c r="H40" s="634">
        <v>0</v>
      </c>
      <c r="I40" s="645">
        <v>0</v>
      </c>
      <c r="J40" s="634">
        <v>0</v>
      </c>
      <c r="K40" s="622">
        <v>0</v>
      </c>
      <c r="L40" s="399">
        <f t="shared" si="13"/>
        <v>0</v>
      </c>
      <c r="M40" s="622">
        <v>0</v>
      </c>
      <c r="N40" s="418">
        <v>0</v>
      </c>
    </row>
    <row r="41" spans="1:16" s="1826" customFormat="1" x14ac:dyDescent="0.2">
      <c r="A41" s="863">
        <v>5029</v>
      </c>
      <c r="B41" s="27" t="s">
        <v>130</v>
      </c>
      <c r="C41" s="698">
        <v>0</v>
      </c>
      <c r="D41" s="697"/>
      <c r="E41" s="376">
        <f t="shared" si="11"/>
        <v>0</v>
      </c>
      <c r="F41" s="408">
        <v>0</v>
      </c>
      <c r="G41" s="603">
        <f t="shared" si="12"/>
        <v>0</v>
      </c>
      <c r="H41" s="634">
        <v>0</v>
      </c>
      <c r="I41" s="645">
        <v>0</v>
      </c>
      <c r="J41" s="634">
        <v>0</v>
      </c>
      <c r="K41" s="622">
        <v>0</v>
      </c>
      <c r="L41" s="399">
        <f t="shared" si="13"/>
        <v>0</v>
      </c>
      <c r="M41" s="622">
        <v>0</v>
      </c>
      <c r="N41" s="418">
        <v>0</v>
      </c>
    </row>
    <row r="42" spans="1:16" s="1826" customFormat="1" x14ac:dyDescent="0.2">
      <c r="A42" s="863">
        <v>5031</v>
      </c>
      <c r="B42" s="27" t="s">
        <v>131</v>
      </c>
      <c r="C42" s="698">
        <v>1673968</v>
      </c>
      <c r="D42" s="697"/>
      <c r="E42" s="376">
        <f t="shared" si="11"/>
        <v>2586445</v>
      </c>
      <c r="F42" s="408">
        <f>(F38)*0.25</f>
        <v>366250</v>
      </c>
      <c r="G42" s="603">
        <f t="shared" si="12"/>
        <v>1667345</v>
      </c>
      <c r="H42" s="634">
        <f>(H38)*0.25</f>
        <v>177985</v>
      </c>
      <c r="I42" s="645">
        <f>(I38)*0.25</f>
        <v>80010</v>
      </c>
      <c r="J42" s="634">
        <f>(J38)*0.25</f>
        <v>318350</v>
      </c>
      <c r="K42" s="622">
        <f>(K38)*0.25</f>
        <v>1091000</v>
      </c>
      <c r="L42" s="399">
        <f t="shared" si="13"/>
        <v>552850</v>
      </c>
      <c r="M42" s="622">
        <f>(M38)*0.25</f>
        <v>471190</v>
      </c>
      <c r="N42" s="418">
        <f>(N38)*0.25</f>
        <v>81660</v>
      </c>
    </row>
    <row r="43" spans="1:16" s="1826" customFormat="1" x14ac:dyDescent="0.2">
      <c r="A43" s="863">
        <v>5032</v>
      </c>
      <c r="B43" s="27" t="s">
        <v>132</v>
      </c>
      <c r="C43" s="698">
        <v>602707</v>
      </c>
      <c r="D43" s="697"/>
      <c r="E43" s="376">
        <f t="shared" si="11"/>
        <v>931120.2</v>
      </c>
      <c r="F43" s="408">
        <f>(F38)*0.09</f>
        <v>131850</v>
      </c>
      <c r="G43" s="603">
        <f t="shared" si="12"/>
        <v>600244.19999999995</v>
      </c>
      <c r="H43" s="634">
        <f>(H38)*0.09</f>
        <v>64074.6</v>
      </c>
      <c r="I43" s="645">
        <f>(I38)*0.09</f>
        <v>28803.599999999999</v>
      </c>
      <c r="J43" s="634">
        <f>(J38)*0.09</f>
        <v>114606</v>
      </c>
      <c r="K43" s="622">
        <f>(K38)*0.09</f>
        <v>392760</v>
      </c>
      <c r="L43" s="399">
        <f t="shared" si="13"/>
        <v>199026</v>
      </c>
      <c r="M43" s="622">
        <f>(M38)*0.09</f>
        <v>169628.4</v>
      </c>
      <c r="N43" s="418">
        <f>(N38)*0.09</f>
        <v>29397.599999999999</v>
      </c>
    </row>
    <row r="44" spans="1:16" s="1826" customFormat="1" x14ac:dyDescent="0.2">
      <c r="A44" s="863"/>
      <c r="B44" s="27" t="s">
        <v>567</v>
      </c>
      <c r="C44" s="698"/>
      <c r="D44" s="697"/>
      <c r="E44" s="376">
        <f t="shared" si="11"/>
        <v>206916</v>
      </c>
      <c r="F44" s="408">
        <v>29300</v>
      </c>
      <c r="G44" s="603">
        <f t="shared" si="12"/>
        <v>133388</v>
      </c>
      <c r="H44" s="634">
        <v>14239</v>
      </c>
      <c r="I44" s="645">
        <v>6401</v>
      </c>
      <c r="J44" s="634">
        <v>25468</v>
      </c>
      <c r="K44" s="622">
        <v>87280</v>
      </c>
      <c r="L44" s="399">
        <f t="shared" si="13"/>
        <v>44228</v>
      </c>
      <c r="M44" s="622">
        <v>37695</v>
      </c>
      <c r="N44" s="418">
        <v>6533</v>
      </c>
    </row>
    <row r="45" spans="1:16" s="1826" customFormat="1" x14ac:dyDescent="0.2">
      <c r="A45" s="863">
        <v>5038</v>
      </c>
      <c r="B45" s="27" t="s">
        <v>133</v>
      </c>
      <c r="C45" s="698">
        <v>142000</v>
      </c>
      <c r="D45" s="697"/>
      <c r="E45" s="376">
        <f t="shared" si="11"/>
        <v>103457</v>
      </c>
      <c r="F45" s="408">
        <v>14650</v>
      </c>
      <c r="G45" s="603">
        <f t="shared" si="12"/>
        <v>66693</v>
      </c>
      <c r="H45" s="634">
        <v>7119</v>
      </c>
      <c r="I45" s="645">
        <v>3200</v>
      </c>
      <c r="J45" s="634">
        <v>12734</v>
      </c>
      <c r="K45" s="622">
        <v>43640</v>
      </c>
      <c r="L45" s="399">
        <f t="shared" si="13"/>
        <v>22114</v>
      </c>
      <c r="M45" s="622">
        <v>18848</v>
      </c>
      <c r="N45" s="418">
        <v>3266</v>
      </c>
    </row>
    <row r="46" spans="1:16" ht="16.5" thickBot="1" x14ac:dyDescent="0.3">
      <c r="A46" s="151" t="s">
        <v>134</v>
      </c>
      <c r="B46" s="152" t="s">
        <v>192</v>
      </c>
      <c r="C46" s="398">
        <v>9799550</v>
      </c>
      <c r="D46"/>
      <c r="E46" s="604">
        <f>SUM(F46+G46+L46)</f>
        <v>15094118.199999999</v>
      </c>
      <c r="F46" s="407">
        <f>SUM(F38:F45)</f>
        <v>2235050</v>
      </c>
      <c r="G46" s="604">
        <f t="shared" ref="G46:M46" si="14">SUM(G38:G45)</f>
        <v>9521050.1999999993</v>
      </c>
      <c r="H46" s="203">
        <f t="shared" si="14"/>
        <v>975357.6</v>
      </c>
      <c r="I46" s="643">
        <f t="shared" si="14"/>
        <v>438454.6</v>
      </c>
      <c r="J46" s="203">
        <f>SUM(J38:J45)</f>
        <v>1744558</v>
      </c>
      <c r="K46" s="621">
        <f t="shared" si="14"/>
        <v>6362680</v>
      </c>
      <c r="L46" s="398">
        <f t="shared" si="14"/>
        <v>3338018</v>
      </c>
      <c r="M46" s="621">
        <f t="shared" si="14"/>
        <v>2890521.4</v>
      </c>
      <c r="N46" s="417">
        <f>SUM(N38:N45)</f>
        <v>447496.6</v>
      </c>
      <c r="P46" s="1825"/>
    </row>
    <row r="47" spans="1:16" x14ac:dyDescent="0.2">
      <c r="A47" s="125">
        <v>5178</v>
      </c>
      <c r="B47" s="27" t="s">
        <v>1119</v>
      </c>
      <c r="C47" s="399">
        <v>1000000</v>
      </c>
      <c r="D47"/>
      <c r="E47" s="605">
        <f t="shared" ref="E47:N47" si="15">SUM(E48:E53)</f>
        <v>3640000</v>
      </c>
      <c r="F47" s="409">
        <f t="shared" si="15"/>
        <v>0</v>
      </c>
      <c r="G47" s="605">
        <f t="shared" si="15"/>
        <v>3640000</v>
      </c>
      <c r="H47" s="635">
        <f t="shared" si="15"/>
        <v>840000</v>
      </c>
      <c r="I47" s="646">
        <f t="shared" si="15"/>
        <v>0</v>
      </c>
      <c r="J47" s="635">
        <f t="shared" si="15"/>
        <v>950000</v>
      </c>
      <c r="K47" s="623">
        <f t="shared" si="15"/>
        <v>1850000</v>
      </c>
      <c r="L47" s="611">
        <f t="shared" si="15"/>
        <v>0</v>
      </c>
      <c r="M47" s="623">
        <f t="shared" si="15"/>
        <v>0</v>
      </c>
      <c r="N47" s="419">
        <f t="shared" si="15"/>
        <v>0</v>
      </c>
    </row>
    <row r="48" spans="1:16" outlineLevel="1" x14ac:dyDescent="0.2">
      <c r="A48" s="323"/>
      <c r="B48" s="324" t="s">
        <v>609</v>
      </c>
      <c r="C48" s="38"/>
      <c r="D48"/>
      <c r="E48" s="376">
        <f t="shared" ref="E48:E57" si="16">+G48+L48+F48</f>
        <v>840000</v>
      </c>
      <c r="F48" s="408">
        <v>0</v>
      </c>
      <c r="G48" s="603">
        <f t="shared" ref="G48:G57" si="17">+J48+H48+I48+K48</f>
        <v>840000</v>
      </c>
      <c r="H48" s="634">
        <v>840000</v>
      </c>
      <c r="I48" s="645">
        <v>0</v>
      </c>
      <c r="J48" s="634">
        <v>0</v>
      </c>
      <c r="K48" s="622">
        <v>0</v>
      </c>
      <c r="L48" s="399">
        <f t="shared" ref="L48:L57" si="18">+M48+N48</f>
        <v>0</v>
      </c>
      <c r="M48" s="622">
        <v>0</v>
      </c>
      <c r="N48" s="418">
        <v>0</v>
      </c>
    </row>
    <row r="49" spans="1:14" outlineLevel="1" x14ac:dyDescent="0.2">
      <c r="A49" s="323"/>
      <c r="B49" s="324" t="s">
        <v>822</v>
      </c>
      <c r="C49" s="38"/>
      <c r="D49"/>
      <c r="E49" s="376">
        <f t="shared" si="16"/>
        <v>950000</v>
      </c>
      <c r="F49" s="408">
        <v>0</v>
      </c>
      <c r="G49" s="603">
        <f t="shared" si="17"/>
        <v>950000</v>
      </c>
      <c r="H49" s="634">
        <v>0</v>
      </c>
      <c r="I49" s="645">
        <v>0</v>
      </c>
      <c r="J49" s="634">
        <v>950000</v>
      </c>
      <c r="K49" s="622">
        <v>0</v>
      </c>
      <c r="L49" s="399">
        <f t="shared" si="18"/>
        <v>0</v>
      </c>
      <c r="M49" s="622">
        <v>0</v>
      </c>
      <c r="N49" s="418">
        <v>0</v>
      </c>
    </row>
    <row r="50" spans="1:14" outlineLevel="1" x14ac:dyDescent="0.2">
      <c r="A50" s="323"/>
      <c r="B50" s="324" t="s">
        <v>875</v>
      </c>
      <c r="C50" s="38"/>
      <c r="D50"/>
      <c r="E50" s="376">
        <f t="shared" si="16"/>
        <v>450000</v>
      </c>
      <c r="F50" s="408">
        <v>0</v>
      </c>
      <c r="G50" s="603">
        <f t="shared" si="17"/>
        <v>450000</v>
      </c>
      <c r="H50" s="634">
        <v>0</v>
      </c>
      <c r="I50" s="645">
        <v>0</v>
      </c>
      <c r="J50" s="634">
        <v>0</v>
      </c>
      <c r="K50" s="622">
        <v>450000</v>
      </c>
      <c r="L50" s="399">
        <f t="shared" si="18"/>
        <v>0</v>
      </c>
      <c r="M50" s="622">
        <v>0</v>
      </c>
      <c r="N50" s="418">
        <v>0</v>
      </c>
    </row>
    <row r="51" spans="1:14" outlineLevel="1" x14ac:dyDescent="0.2">
      <c r="A51" s="323"/>
      <c r="B51" s="324" t="s">
        <v>1412</v>
      </c>
      <c r="C51" s="38"/>
      <c r="D51"/>
      <c r="E51" s="376">
        <f t="shared" si="16"/>
        <v>250000</v>
      </c>
      <c r="F51" s="408">
        <v>0</v>
      </c>
      <c r="G51" s="603">
        <f t="shared" si="17"/>
        <v>250000</v>
      </c>
      <c r="H51" s="634">
        <v>0</v>
      </c>
      <c r="I51" s="645">
        <v>0</v>
      </c>
      <c r="J51" s="634">
        <v>0</v>
      </c>
      <c r="K51" s="622">
        <v>250000</v>
      </c>
      <c r="L51" s="399">
        <f t="shared" si="18"/>
        <v>0</v>
      </c>
      <c r="M51" s="622">
        <v>0</v>
      </c>
      <c r="N51" s="418">
        <v>0</v>
      </c>
    </row>
    <row r="52" spans="1:14" outlineLevel="1" x14ac:dyDescent="0.2">
      <c r="A52" s="323"/>
      <c r="B52" s="324" t="s">
        <v>1413</v>
      </c>
      <c r="C52" s="38"/>
      <c r="D52"/>
      <c r="E52" s="376">
        <f t="shared" si="16"/>
        <v>300000</v>
      </c>
      <c r="F52" s="408">
        <v>0</v>
      </c>
      <c r="G52" s="603">
        <f t="shared" si="17"/>
        <v>300000</v>
      </c>
      <c r="H52" s="634">
        <v>0</v>
      </c>
      <c r="I52" s="645">
        <v>0</v>
      </c>
      <c r="J52" s="634">
        <v>0</v>
      </c>
      <c r="K52" s="622">
        <v>300000</v>
      </c>
      <c r="L52" s="399">
        <f t="shared" si="18"/>
        <v>0</v>
      </c>
      <c r="M52" s="622">
        <v>0</v>
      </c>
      <c r="N52" s="418">
        <v>0</v>
      </c>
    </row>
    <row r="53" spans="1:14" outlineLevel="1" x14ac:dyDescent="0.2">
      <c r="A53" s="323"/>
      <c r="B53" s="324" t="s">
        <v>1414</v>
      </c>
      <c r="C53" s="38"/>
      <c r="D53"/>
      <c r="E53" s="376">
        <f t="shared" si="16"/>
        <v>850000</v>
      </c>
      <c r="F53" s="408">
        <v>0</v>
      </c>
      <c r="G53" s="603">
        <f t="shared" si="17"/>
        <v>850000</v>
      </c>
      <c r="H53" s="634">
        <v>0</v>
      </c>
      <c r="I53" s="645">
        <v>0</v>
      </c>
      <c r="J53" s="634">
        <v>0</v>
      </c>
      <c r="K53" s="622">
        <v>850000</v>
      </c>
      <c r="L53" s="399">
        <f t="shared" si="18"/>
        <v>0</v>
      </c>
      <c r="M53" s="622">
        <v>0</v>
      </c>
      <c r="N53" s="418">
        <v>0</v>
      </c>
    </row>
    <row r="54" spans="1:14" x14ac:dyDescent="0.2">
      <c r="A54" s="125">
        <v>5132</v>
      </c>
      <c r="B54" s="27" t="s">
        <v>136</v>
      </c>
      <c r="C54" s="399">
        <v>186000</v>
      </c>
      <c r="D54"/>
      <c r="E54" s="605">
        <f t="shared" si="16"/>
        <v>26000</v>
      </c>
      <c r="F54" s="409">
        <v>0</v>
      </c>
      <c r="G54" s="605">
        <f t="shared" si="17"/>
        <v>20000</v>
      </c>
      <c r="H54" s="635">
        <v>1000</v>
      </c>
      <c r="I54" s="646">
        <v>500</v>
      </c>
      <c r="J54" s="635">
        <v>2000</v>
      </c>
      <c r="K54" s="623">
        <v>16500</v>
      </c>
      <c r="L54" s="611">
        <f t="shared" si="18"/>
        <v>6000</v>
      </c>
      <c r="M54" s="623">
        <v>4000</v>
      </c>
      <c r="N54" s="419">
        <v>2000</v>
      </c>
    </row>
    <row r="55" spans="1:14" x14ac:dyDescent="0.2">
      <c r="A55" s="125">
        <v>5134</v>
      </c>
      <c r="B55" s="27" t="s">
        <v>137</v>
      </c>
      <c r="C55" s="399">
        <v>150000</v>
      </c>
      <c r="D55"/>
      <c r="E55" s="605">
        <f t="shared" si="16"/>
        <v>95000</v>
      </c>
      <c r="F55" s="409">
        <v>0</v>
      </c>
      <c r="G55" s="605">
        <f t="shared" si="17"/>
        <v>80000</v>
      </c>
      <c r="H55" s="635">
        <v>8000</v>
      </c>
      <c r="I55" s="646">
        <v>4000</v>
      </c>
      <c r="J55" s="635">
        <v>16000</v>
      </c>
      <c r="K55" s="623">
        <v>52000</v>
      </c>
      <c r="L55" s="611">
        <f t="shared" si="18"/>
        <v>15000</v>
      </c>
      <c r="M55" s="623">
        <v>10000</v>
      </c>
      <c r="N55" s="419">
        <v>5000</v>
      </c>
    </row>
    <row r="56" spans="1:14" x14ac:dyDescent="0.2">
      <c r="A56" s="125">
        <v>5136</v>
      </c>
      <c r="B56" s="27" t="s">
        <v>138</v>
      </c>
      <c r="C56" s="399">
        <v>9000</v>
      </c>
      <c r="D56"/>
      <c r="E56" s="605">
        <f t="shared" si="16"/>
        <v>5000</v>
      </c>
      <c r="F56" s="409">
        <v>5000</v>
      </c>
      <c r="G56" s="605">
        <f t="shared" si="17"/>
        <v>0</v>
      </c>
      <c r="H56" s="635">
        <v>0</v>
      </c>
      <c r="I56" s="646">
        <v>0</v>
      </c>
      <c r="J56" s="635">
        <v>0</v>
      </c>
      <c r="K56" s="623">
        <v>0</v>
      </c>
      <c r="L56" s="611">
        <f t="shared" si="18"/>
        <v>0</v>
      </c>
      <c r="M56" s="623">
        <v>0</v>
      </c>
      <c r="N56" s="419">
        <v>0</v>
      </c>
    </row>
    <row r="57" spans="1:14" x14ac:dyDescent="0.2">
      <c r="A57" s="125">
        <v>5137</v>
      </c>
      <c r="B57" s="27" t="s">
        <v>139</v>
      </c>
      <c r="C57" s="399">
        <v>425000</v>
      </c>
      <c r="D57"/>
      <c r="E57" s="605">
        <f t="shared" si="16"/>
        <v>572800</v>
      </c>
      <c r="F57" s="409">
        <v>37800</v>
      </c>
      <c r="G57" s="605">
        <f t="shared" si="17"/>
        <v>500000</v>
      </c>
      <c r="H57" s="635">
        <v>50000</v>
      </c>
      <c r="I57" s="646">
        <v>5000</v>
      </c>
      <c r="J57" s="635">
        <v>245000</v>
      </c>
      <c r="K57" s="623">
        <v>200000</v>
      </c>
      <c r="L57" s="611">
        <f t="shared" si="18"/>
        <v>35000</v>
      </c>
      <c r="M57" s="623">
        <v>20000</v>
      </c>
      <c r="N57" s="419">
        <v>15000</v>
      </c>
    </row>
    <row r="58" spans="1:14" s="1823" customFormat="1" x14ac:dyDescent="0.2">
      <c r="A58" s="124">
        <v>5139</v>
      </c>
      <c r="B58" s="325" t="s">
        <v>140</v>
      </c>
      <c r="C58" s="397">
        <v>2437000</v>
      </c>
      <c r="D58" s="314"/>
      <c r="E58" s="601">
        <f>SUM(E59:E83)</f>
        <v>3748200</v>
      </c>
      <c r="F58" s="404">
        <f t="shared" ref="F58:N58" si="19">SUM(F59:F83)</f>
        <v>53200</v>
      </c>
      <c r="G58" s="601">
        <f t="shared" si="19"/>
        <v>1359000</v>
      </c>
      <c r="H58" s="630">
        <f t="shared" si="19"/>
        <v>174500</v>
      </c>
      <c r="I58" s="640">
        <f t="shared" si="19"/>
        <v>57000</v>
      </c>
      <c r="J58" s="630">
        <f t="shared" si="19"/>
        <v>23500</v>
      </c>
      <c r="K58" s="618">
        <f t="shared" si="19"/>
        <v>1104000</v>
      </c>
      <c r="L58" s="397">
        <f t="shared" si="19"/>
        <v>2336000</v>
      </c>
      <c r="M58" s="618">
        <f t="shared" si="19"/>
        <v>1721500</v>
      </c>
      <c r="N58" s="414">
        <f t="shared" si="19"/>
        <v>614500</v>
      </c>
    </row>
    <row r="59" spans="1:14" outlineLevel="1" x14ac:dyDescent="0.2">
      <c r="A59" s="323"/>
      <c r="B59" s="324" t="s">
        <v>551</v>
      </c>
      <c r="C59" s="38">
        <v>70000</v>
      </c>
      <c r="D59"/>
      <c r="E59" s="376">
        <f t="shared" ref="E59:E94" si="20">+G59+L59+F59</f>
        <v>25500</v>
      </c>
      <c r="F59" s="408">
        <v>12000</v>
      </c>
      <c r="G59" s="603">
        <f t="shared" ref="G59:G94" si="21">+J59+H59+I59+K59</f>
        <v>12000</v>
      </c>
      <c r="H59" s="634">
        <v>1500</v>
      </c>
      <c r="I59" s="645">
        <v>0</v>
      </c>
      <c r="J59" s="634">
        <v>1500</v>
      </c>
      <c r="K59" s="622">
        <v>9000</v>
      </c>
      <c r="L59" s="399">
        <f t="shared" ref="L59:L94" si="22">+M59+N59</f>
        <v>1500</v>
      </c>
      <c r="M59" s="622">
        <v>1000</v>
      </c>
      <c r="N59" s="418">
        <v>500</v>
      </c>
    </row>
    <row r="60" spans="1:14" outlineLevel="1" x14ac:dyDescent="0.2">
      <c r="A60" s="323"/>
      <c r="B60" s="324" t="s">
        <v>552</v>
      </c>
      <c r="C60" s="38">
        <v>200000</v>
      </c>
      <c r="D60"/>
      <c r="E60" s="376">
        <f t="shared" si="20"/>
        <v>120000</v>
      </c>
      <c r="F60" s="408">
        <v>0</v>
      </c>
      <c r="G60" s="603">
        <f t="shared" si="21"/>
        <v>0</v>
      </c>
      <c r="H60" s="634">
        <v>0</v>
      </c>
      <c r="I60" s="645">
        <v>0</v>
      </c>
      <c r="J60" s="634">
        <v>0</v>
      </c>
      <c r="K60" s="622">
        <v>0</v>
      </c>
      <c r="L60" s="399">
        <f t="shared" si="22"/>
        <v>120000</v>
      </c>
      <c r="M60" s="622">
        <v>0</v>
      </c>
      <c r="N60" s="418">
        <v>120000</v>
      </c>
    </row>
    <row r="61" spans="1:14" outlineLevel="1" x14ac:dyDescent="0.2">
      <c r="A61" s="323"/>
      <c r="B61" s="324" t="s">
        <v>553</v>
      </c>
      <c r="C61" s="38">
        <v>65000</v>
      </c>
      <c r="D61"/>
      <c r="E61" s="376">
        <f t="shared" si="20"/>
        <v>20000</v>
      </c>
      <c r="F61" s="408">
        <v>0</v>
      </c>
      <c r="G61" s="603">
        <f t="shared" si="21"/>
        <v>0</v>
      </c>
      <c r="H61" s="634">
        <v>0</v>
      </c>
      <c r="I61" s="645">
        <v>0</v>
      </c>
      <c r="J61" s="634">
        <v>0</v>
      </c>
      <c r="K61" s="622">
        <v>0</v>
      </c>
      <c r="L61" s="399">
        <f t="shared" si="22"/>
        <v>20000</v>
      </c>
      <c r="M61" s="622">
        <v>0</v>
      </c>
      <c r="N61" s="418">
        <v>20000</v>
      </c>
    </row>
    <row r="62" spans="1:14" outlineLevel="1" x14ac:dyDescent="0.2">
      <c r="A62" s="323"/>
      <c r="B62" s="324" t="s">
        <v>554</v>
      </c>
      <c r="C62" s="38">
        <v>10000</v>
      </c>
      <c r="D62"/>
      <c r="E62" s="376">
        <f t="shared" si="20"/>
        <v>15000</v>
      </c>
      <c r="F62" s="408">
        <v>0</v>
      </c>
      <c r="G62" s="603">
        <f t="shared" si="21"/>
        <v>0</v>
      </c>
      <c r="H62" s="634">
        <v>0</v>
      </c>
      <c r="I62" s="645">
        <v>0</v>
      </c>
      <c r="J62" s="634">
        <v>0</v>
      </c>
      <c r="K62" s="622">
        <v>0</v>
      </c>
      <c r="L62" s="399">
        <f t="shared" si="22"/>
        <v>15000</v>
      </c>
      <c r="M62" s="622">
        <v>15000</v>
      </c>
      <c r="N62" s="418">
        <v>0</v>
      </c>
    </row>
    <row r="63" spans="1:14" outlineLevel="1" x14ac:dyDescent="0.2">
      <c r="A63" s="323"/>
      <c r="B63" s="324" t="s">
        <v>555</v>
      </c>
      <c r="C63" s="38">
        <v>700000</v>
      </c>
      <c r="D63"/>
      <c r="E63" s="376">
        <f t="shared" si="20"/>
        <v>1600000</v>
      </c>
      <c r="F63" s="408">
        <v>0</v>
      </c>
      <c r="G63" s="603">
        <f t="shared" si="21"/>
        <v>0</v>
      </c>
      <c r="H63" s="634">
        <v>0</v>
      </c>
      <c r="I63" s="645">
        <v>0</v>
      </c>
      <c r="J63" s="634">
        <v>0</v>
      </c>
      <c r="K63" s="622">
        <v>0</v>
      </c>
      <c r="L63" s="399">
        <f t="shared" si="22"/>
        <v>1600000</v>
      </c>
      <c r="M63" s="622">
        <v>1200000</v>
      </c>
      <c r="N63" s="418">
        <v>400000</v>
      </c>
    </row>
    <row r="64" spans="1:14" outlineLevel="1" x14ac:dyDescent="0.2">
      <c r="A64" s="323"/>
      <c r="B64" s="324" t="s">
        <v>556</v>
      </c>
      <c r="C64" s="38">
        <v>300000</v>
      </c>
      <c r="D64"/>
      <c r="E64" s="376">
        <f t="shared" si="20"/>
        <v>400000</v>
      </c>
      <c r="F64" s="408">
        <v>0</v>
      </c>
      <c r="G64" s="603">
        <f t="shared" si="21"/>
        <v>0</v>
      </c>
      <c r="H64" s="634">
        <v>0</v>
      </c>
      <c r="I64" s="645">
        <v>0</v>
      </c>
      <c r="J64" s="634">
        <v>0</v>
      </c>
      <c r="K64" s="622">
        <v>0</v>
      </c>
      <c r="L64" s="399">
        <f t="shared" si="22"/>
        <v>400000</v>
      </c>
      <c r="M64" s="622">
        <v>400000</v>
      </c>
      <c r="N64" s="418">
        <v>0</v>
      </c>
    </row>
    <row r="65" spans="1:14" outlineLevel="1" x14ac:dyDescent="0.2">
      <c r="A65" s="323"/>
      <c r="B65" s="324" t="s">
        <v>878</v>
      </c>
      <c r="C65" s="38">
        <v>237000</v>
      </c>
      <c r="D65"/>
      <c r="E65" s="376">
        <f t="shared" si="20"/>
        <v>78000</v>
      </c>
      <c r="F65" s="408">
        <v>40000</v>
      </c>
      <c r="G65" s="603">
        <f t="shared" si="21"/>
        <v>20000</v>
      </c>
      <c r="H65" s="634">
        <v>1000</v>
      </c>
      <c r="I65" s="645">
        <v>0</v>
      </c>
      <c r="J65" s="634">
        <v>2000</v>
      </c>
      <c r="K65" s="622">
        <v>17000</v>
      </c>
      <c r="L65" s="399">
        <f t="shared" si="22"/>
        <v>18000</v>
      </c>
      <c r="M65" s="622">
        <v>12000</v>
      </c>
      <c r="N65" s="418">
        <v>6000</v>
      </c>
    </row>
    <row r="66" spans="1:14" outlineLevel="1" x14ac:dyDescent="0.2">
      <c r="A66" s="323"/>
      <c r="B66" s="324" t="s">
        <v>1077</v>
      </c>
      <c r="C66" s="38"/>
      <c r="D66"/>
      <c r="E66" s="376">
        <f t="shared" si="20"/>
        <v>150000</v>
      </c>
      <c r="F66" s="408">
        <v>0</v>
      </c>
      <c r="G66" s="603">
        <f t="shared" si="21"/>
        <v>150000</v>
      </c>
      <c r="H66" s="634">
        <v>0</v>
      </c>
      <c r="I66" s="645">
        <v>0</v>
      </c>
      <c r="J66" s="634">
        <v>0</v>
      </c>
      <c r="K66" s="622">
        <v>150000</v>
      </c>
      <c r="L66" s="399">
        <f t="shared" si="22"/>
        <v>0</v>
      </c>
      <c r="M66" s="622">
        <v>0</v>
      </c>
      <c r="N66" s="418">
        <v>0</v>
      </c>
    </row>
    <row r="67" spans="1:14" outlineLevel="1" x14ac:dyDescent="0.2">
      <c r="A67" s="323"/>
      <c r="B67" s="324" t="s">
        <v>557</v>
      </c>
      <c r="C67" s="38">
        <v>550000</v>
      </c>
      <c r="D67"/>
      <c r="E67" s="376">
        <f t="shared" si="20"/>
        <v>150000</v>
      </c>
      <c r="F67" s="408">
        <v>0</v>
      </c>
      <c r="G67" s="603">
        <f t="shared" si="21"/>
        <v>150000</v>
      </c>
      <c r="H67" s="634">
        <v>0</v>
      </c>
      <c r="I67" s="645">
        <v>0</v>
      </c>
      <c r="J67" s="634">
        <v>0</v>
      </c>
      <c r="K67" s="622">
        <v>150000</v>
      </c>
      <c r="L67" s="399">
        <f t="shared" si="22"/>
        <v>0</v>
      </c>
      <c r="M67" s="622">
        <v>0</v>
      </c>
      <c r="N67" s="418">
        <v>0</v>
      </c>
    </row>
    <row r="68" spans="1:14" outlineLevel="1" x14ac:dyDescent="0.2">
      <c r="A68" s="323"/>
      <c r="B68" s="324" t="s">
        <v>1078</v>
      </c>
      <c r="C68" s="38"/>
      <c r="D68"/>
      <c r="E68" s="376">
        <f t="shared" si="20"/>
        <v>30000</v>
      </c>
      <c r="F68" s="408">
        <v>0</v>
      </c>
      <c r="G68" s="603">
        <f t="shared" si="21"/>
        <v>30000</v>
      </c>
      <c r="H68" s="634">
        <v>0</v>
      </c>
      <c r="I68" s="645">
        <v>0</v>
      </c>
      <c r="J68" s="634">
        <v>0</v>
      </c>
      <c r="K68" s="622">
        <v>30000</v>
      </c>
      <c r="L68" s="399">
        <f t="shared" si="22"/>
        <v>0</v>
      </c>
      <c r="M68" s="622">
        <v>0</v>
      </c>
      <c r="N68" s="418">
        <v>0</v>
      </c>
    </row>
    <row r="69" spans="1:14" outlineLevel="1" x14ac:dyDescent="0.2">
      <c r="A69" s="323"/>
      <c r="B69" s="324" t="s">
        <v>1079</v>
      </c>
      <c r="C69" s="38"/>
      <c r="D69"/>
      <c r="E69" s="376">
        <f t="shared" si="20"/>
        <v>30000</v>
      </c>
      <c r="F69" s="408">
        <v>0</v>
      </c>
      <c r="G69" s="603">
        <f t="shared" si="21"/>
        <v>30000</v>
      </c>
      <c r="H69" s="634">
        <v>0</v>
      </c>
      <c r="I69" s="645">
        <v>0</v>
      </c>
      <c r="J69" s="634">
        <v>0</v>
      </c>
      <c r="K69" s="622">
        <v>30000</v>
      </c>
      <c r="L69" s="399">
        <f t="shared" si="22"/>
        <v>0</v>
      </c>
      <c r="M69" s="622">
        <v>0</v>
      </c>
      <c r="N69" s="418">
        <v>0</v>
      </c>
    </row>
    <row r="70" spans="1:14" outlineLevel="1" x14ac:dyDescent="0.2">
      <c r="A70" s="323"/>
      <c r="B70" s="324" t="s">
        <v>1080</v>
      </c>
      <c r="C70" s="38"/>
      <c r="D70"/>
      <c r="E70" s="376">
        <f t="shared" si="20"/>
        <v>40000</v>
      </c>
      <c r="F70" s="408">
        <v>0</v>
      </c>
      <c r="G70" s="603">
        <f t="shared" si="21"/>
        <v>40000</v>
      </c>
      <c r="H70" s="634">
        <v>0</v>
      </c>
      <c r="I70" s="645">
        <v>0</v>
      </c>
      <c r="J70" s="634">
        <v>0</v>
      </c>
      <c r="K70" s="622">
        <v>40000</v>
      </c>
      <c r="L70" s="399">
        <f t="shared" si="22"/>
        <v>0</v>
      </c>
      <c r="M70" s="622">
        <v>0</v>
      </c>
      <c r="N70" s="418">
        <v>0</v>
      </c>
    </row>
    <row r="71" spans="1:14" outlineLevel="1" x14ac:dyDescent="0.2">
      <c r="A71" s="323"/>
      <c r="B71" s="324" t="s">
        <v>1081</v>
      </c>
      <c r="C71" s="38"/>
      <c r="D71"/>
      <c r="E71" s="376">
        <f t="shared" si="20"/>
        <v>80000</v>
      </c>
      <c r="F71" s="408">
        <v>0</v>
      </c>
      <c r="G71" s="603">
        <f t="shared" si="21"/>
        <v>80000</v>
      </c>
      <c r="H71" s="634">
        <v>0</v>
      </c>
      <c r="I71" s="645">
        <v>0</v>
      </c>
      <c r="J71" s="634">
        <v>0</v>
      </c>
      <c r="K71" s="622">
        <v>80000</v>
      </c>
      <c r="L71" s="399">
        <f t="shared" si="22"/>
        <v>0</v>
      </c>
      <c r="M71" s="622">
        <v>0</v>
      </c>
      <c r="N71" s="418">
        <v>0</v>
      </c>
    </row>
    <row r="72" spans="1:14" outlineLevel="1" x14ac:dyDescent="0.2">
      <c r="A72" s="323"/>
      <c r="B72" s="324" t="s">
        <v>1082</v>
      </c>
      <c r="C72" s="38"/>
      <c r="D72"/>
      <c r="E72" s="376">
        <f t="shared" si="20"/>
        <v>80000</v>
      </c>
      <c r="F72" s="408">
        <v>0</v>
      </c>
      <c r="G72" s="603">
        <f t="shared" si="21"/>
        <v>80000</v>
      </c>
      <c r="H72" s="634">
        <v>0</v>
      </c>
      <c r="I72" s="645">
        <v>0</v>
      </c>
      <c r="J72" s="634">
        <v>0</v>
      </c>
      <c r="K72" s="622">
        <v>80000</v>
      </c>
      <c r="L72" s="399">
        <f t="shared" si="22"/>
        <v>0</v>
      </c>
      <c r="M72" s="622">
        <v>0</v>
      </c>
      <c r="N72" s="418">
        <v>0</v>
      </c>
    </row>
    <row r="73" spans="1:14" outlineLevel="1" x14ac:dyDescent="0.2">
      <c r="A73" s="323"/>
      <c r="B73" s="324" t="s">
        <v>1083</v>
      </c>
      <c r="C73" s="38"/>
      <c r="D73"/>
      <c r="E73" s="376">
        <f t="shared" si="20"/>
        <v>50000</v>
      </c>
      <c r="F73" s="408">
        <v>0</v>
      </c>
      <c r="G73" s="603">
        <f t="shared" si="21"/>
        <v>50000</v>
      </c>
      <c r="H73" s="634">
        <v>0</v>
      </c>
      <c r="I73" s="645">
        <v>50000</v>
      </c>
      <c r="J73" s="634">
        <v>0</v>
      </c>
      <c r="K73" s="622">
        <v>0</v>
      </c>
      <c r="L73" s="399">
        <f t="shared" si="22"/>
        <v>0</v>
      </c>
      <c r="M73" s="622">
        <v>0</v>
      </c>
      <c r="N73" s="418">
        <v>0</v>
      </c>
    </row>
    <row r="74" spans="1:14" outlineLevel="1" x14ac:dyDescent="0.2">
      <c r="A74" s="323"/>
      <c r="B74" s="324" t="s">
        <v>1084</v>
      </c>
      <c r="C74" s="38"/>
      <c r="D74"/>
      <c r="E74" s="376">
        <f t="shared" si="20"/>
        <v>150000</v>
      </c>
      <c r="F74" s="408">
        <v>0</v>
      </c>
      <c r="G74" s="603">
        <f t="shared" si="21"/>
        <v>150000</v>
      </c>
      <c r="H74" s="634">
        <v>150000</v>
      </c>
      <c r="I74" s="645">
        <v>0</v>
      </c>
      <c r="J74" s="634">
        <v>0</v>
      </c>
      <c r="K74" s="622">
        <v>0</v>
      </c>
      <c r="L74" s="399">
        <f t="shared" si="22"/>
        <v>0</v>
      </c>
      <c r="M74" s="622">
        <v>0</v>
      </c>
      <c r="N74" s="418">
        <v>0</v>
      </c>
    </row>
    <row r="75" spans="1:14" hidden="1" outlineLevel="1" x14ac:dyDescent="0.2">
      <c r="A75" s="323"/>
      <c r="B75" s="324" t="s">
        <v>1123</v>
      </c>
      <c r="C75" s="38"/>
      <c r="D75"/>
      <c r="E75" s="376">
        <f t="shared" si="20"/>
        <v>0</v>
      </c>
      <c r="F75" s="408"/>
      <c r="G75" s="603">
        <f t="shared" si="21"/>
        <v>0</v>
      </c>
      <c r="H75" s="634"/>
      <c r="I75" s="645"/>
      <c r="J75" s="634"/>
      <c r="K75" s="622"/>
      <c r="L75" s="399"/>
      <c r="M75" s="622"/>
      <c r="N75" s="418"/>
    </row>
    <row r="76" spans="1:14" outlineLevel="1" x14ac:dyDescent="0.2">
      <c r="A76" s="323"/>
      <c r="B76" s="324" t="s">
        <v>1415</v>
      </c>
      <c r="C76" s="38">
        <v>80000</v>
      </c>
      <c r="D76"/>
      <c r="E76" s="376">
        <f t="shared" si="20"/>
        <v>37500</v>
      </c>
      <c r="F76" s="408">
        <v>0</v>
      </c>
      <c r="G76" s="603">
        <f t="shared" si="21"/>
        <v>35000</v>
      </c>
      <c r="H76" s="634">
        <v>0</v>
      </c>
      <c r="I76" s="645">
        <v>0</v>
      </c>
      <c r="J76" s="634">
        <v>0</v>
      </c>
      <c r="K76" s="622">
        <v>35000</v>
      </c>
      <c r="L76" s="399">
        <f t="shared" si="22"/>
        <v>2500</v>
      </c>
      <c r="M76" s="622">
        <v>1500</v>
      </c>
      <c r="N76" s="418">
        <v>1000</v>
      </c>
    </row>
    <row r="77" spans="1:14" outlineLevel="1" x14ac:dyDescent="0.2">
      <c r="A77" s="323"/>
      <c r="B77" s="324" t="s">
        <v>1416</v>
      </c>
      <c r="C77" s="38"/>
      <c r="D77"/>
      <c r="E77" s="376">
        <f t="shared" si="20"/>
        <v>71000</v>
      </c>
      <c r="F77" s="428">
        <v>0</v>
      </c>
      <c r="G77" s="603">
        <f t="shared" si="21"/>
        <v>62000</v>
      </c>
      <c r="H77" s="636">
        <v>5000</v>
      </c>
      <c r="I77" s="647">
        <v>2000</v>
      </c>
      <c r="J77" s="636">
        <v>5000</v>
      </c>
      <c r="K77" s="624">
        <v>50000</v>
      </c>
      <c r="L77" s="399">
        <f t="shared" si="22"/>
        <v>9000</v>
      </c>
      <c r="M77" s="624">
        <v>7000</v>
      </c>
      <c r="N77" s="429">
        <v>2000</v>
      </c>
    </row>
    <row r="78" spans="1:14" outlineLevel="1" x14ac:dyDescent="0.2">
      <c r="A78" s="323"/>
      <c r="B78" s="324" t="s">
        <v>1417</v>
      </c>
      <c r="C78" s="38"/>
      <c r="D78"/>
      <c r="E78" s="376">
        <f t="shared" si="20"/>
        <v>50000</v>
      </c>
      <c r="F78" s="428">
        <v>0</v>
      </c>
      <c r="G78" s="603">
        <f t="shared" si="21"/>
        <v>50000</v>
      </c>
      <c r="H78" s="636">
        <v>0</v>
      </c>
      <c r="I78" s="647">
        <v>0</v>
      </c>
      <c r="J78" s="636">
        <v>0</v>
      </c>
      <c r="K78" s="624">
        <v>50000</v>
      </c>
      <c r="L78" s="399">
        <f t="shared" si="22"/>
        <v>0</v>
      </c>
      <c r="M78" s="624">
        <v>0</v>
      </c>
      <c r="N78" s="429">
        <v>0</v>
      </c>
    </row>
    <row r="79" spans="1:14" outlineLevel="1" x14ac:dyDescent="0.2">
      <c r="A79" s="323"/>
      <c r="B79" s="324" t="s">
        <v>1418</v>
      </c>
      <c r="C79" s="38"/>
      <c r="D79"/>
      <c r="E79" s="376">
        <f t="shared" si="20"/>
        <v>50000</v>
      </c>
      <c r="F79" s="428">
        <v>0</v>
      </c>
      <c r="G79" s="603">
        <f t="shared" si="21"/>
        <v>50000</v>
      </c>
      <c r="H79" s="636">
        <v>0</v>
      </c>
      <c r="I79" s="647">
        <v>0</v>
      </c>
      <c r="J79" s="636">
        <v>0</v>
      </c>
      <c r="K79" s="624">
        <v>50000</v>
      </c>
      <c r="L79" s="399">
        <f t="shared" si="22"/>
        <v>0</v>
      </c>
      <c r="M79" s="624">
        <v>0</v>
      </c>
      <c r="N79" s="429">
        <v>0</v>
      </c>
    </row>
    <row r="80" spans="1:14" outlineLevel="1" x14ac:dyDescent="0.2">
      <c r="A80" s="323"/>
      <c r="B80" s="324" t="s">
        <v>1419</v>
      </c>
      <c r="C80" s="38"/>
      <c r="D80"/>
      <c r="E80" s="376">
        <f t="shared" si="20"/>
        <v>80000</v>
      </c>
      <c r="F80" s="428">
        <v>0</v>
      </c>
      <c r="G80" s="603">
        <f t="shared" si="21"/>
        <v>80000</v>
      </c>
      <c r="H80" s="636">
        <v>0</v>
      </c>
      <c r="I80" s="647">
        <v>0</v>
      </c>
      <c r="J80" s="636">
        <v>0</v>
      </c>
      <c r="K80" s="624">
        <v>80000</v>
      </c>
      <c r="L80" s="399">
        <f t="shared" si="22"/>
        <v>0</v>
      </c>
      <c r="M80" s="624">
        <v>0</v>
      </c>
      <c r="N80" s="429">
        <v>0</v>
      </c>
    </row>
    <row r="81" spans="1:14" outlineLevel="1" x14ac:dyDescent="0.2">
      <c r="A81" s="323"/>
      <c r="B81" s="324" t="s">
        <v>1420</v>
      </c>
      <c r="C81" s="38"/>
      <c r="D81"/>
      <c r="E81" s="376">
        <f t="shared" si="20"/>
        <v>180000</v>
      </c>
      <c r="F81" s="428">
        <v>0</v>
      </c>
      <c r="G81" s="603">
        <f t="shared" si="21"/>
        <v>170000</v>
      </c>
      <c r="H81" s="636">
        <v>10000</v>
      </c>
      <c r="I81" s="647">
        <v>0</v>
      </c>
      <c r="J81" s="636">
        <v>10000</v>
      </c>
      <c r="K81" s="624">
        <v>150000</v>
      </c>
      <c r="L81" s="399">
        <f t="shared" si="22"/>
        <v>10000</v>
      </c>
      <c r="M81" s="624">
        <v>5000</v>
      </c>
      <c r="N81" s="429">
        <v>5000</v>
      </c>
    </row>
    <row r="82" spans="1:14" outlineLevel="1" x14ac:dyDescent="0.2">
      <c r="A82" s="323"/>
      <c r="B82" s="324" t="s">
        <v>1421</v>
      </c>
      <c r="C82" s="38"/>
      <c r="D82"/>
      <c r="E82" s="376">
        <f t="shared" si="20"/>
        <v>60000</v>
      </c>
      <c r="F82" s="428">
        <v>0</v>
      </c>
      <c r="G82" s="603">
        <f t="shared" si="21"/>
        <v>20000</v>
      </c>
      <c r="H82" s="636">
        <v>2000</v>
      </c>
      <c r="I82" s="647">
        <v>0</v>
      </c>
      <c r="J82" s="636">
        <v>0</v>
      </c>
      <c r="K82" s="624">
        <v>18000</v>
      </c>
      <c r="L82" s="399">
        <f t="shared" si="22"/>
        <v>40000</v>
      </c>
      <c r="M82" s="624">
        <v>30000</v>
      </c>
      <c r="N82" s="429">
        <v>10000</v>
      </c>
    </row>
    <row r="83" spans="1:14" outlineLevel="1" x14ac:dyDescent="0.2">
      <c r="A83" s="323"/>
      <c r="B83" s="324" t="s">
        <v>1532</v>
      </c>
      <c r="C83" s="38"/>
      <c r="D83"/>
      <c r="E83" s="376">
        <f t="shared" si="20"/>
        <v>201200</v>
      </c>
      <c r="F83" s="428">
        <v>1200</v>
      </c>
      <c r="G83" s="603">
        <f t="shared" si="21"/>
        <v>100000</v>
      </c>
      <c r="H83" s="636">
        <v>5000</v>
      </c>
      <c r="I83" s="647">
        <v>5000</v>
      </c>
      <c r="J83" s="636">
        <v>5000</v>
      </c>
      <c r="K83" s="624">
        <v>85000</v>
      </c>
      <c r="L83" s="399">
        <f t="shared" si="22"/>
        <v>100000</v>
      </c>
      <c r="M83" s="624">
        <v>50000</v>
      </c>
      <c r="N83" s="429">
        <v>50000</v>
      </c>
    </row>
    <row r="84" spans="1:14" x14ac:dyDescent="0.2">
      <c r="A84" s="125">
        <v>5151</v>
      </c>
      <c r="B84" s="27" t="s">
        <v>141</v>
      </c>
      <c r="C84" s="399">
        <v>110000</v>
      </c>
      <c r="D84"/>
      <c r="E84" s="605">
        <f t="shared" si="20"/>
        <v>25000</v>
      </c>
      <c r="F84" s="409">
        <v>10000</v>
      </c>
      <c r="G84" s="605">
        <f t="shared" si="21"/>
        <v>15000</v>
      </c>
      <c r="H84" s="635">
        <v>0</v>
      </c>
      <c r="I84" s="646">
        <v>0</v>
      </c>
      <c r="J84" s="635">
        <v>0</v>
      </c>
      <c r="K84" s="623">
        <v>15000</v>
      </c>
      <c r="L84" s="611">
        <f t="shared" si="22"/>
        <v>0</v>
      </c>
      <c r="M84" s="623">
        <v>0</v>
      </c>
      <c r="N84" s="419">
        <v>0</v>
      </c>
    </row>
    <row r="85" spans="1:14" x14ac:dyDescent="0.2">
      <c r="A85" s="125">
        <v>5153</v>
      </c>
      <c r="B85" s="27" t="s">
        <v>142</v>
      </c>
      <c r="C85" s="399">
        <v>165000</v>
      </c>
      <c r="D85"/>
      <c r="E85" s="605">
        <f t="shared" si="20"/>
        <v>425000</v>
      </c>
      <c r="F85" s="409">
        <v>80000</v>
      </c>
      <c r="G85" s="605">
        <f t="shared" si="21"/>
        <v>45000</v>
      </c>
      <c r="H85" s="635">
        <v>0</v>
      </c>
      <c r="I85" s="646">
        <v>0</v>
      </c>
      <c r="J85" s="635">
        <v>0</v>
      </c>
      <c r="K85" s="623">
        <v>45000</v>
      </c>
      <c r="L85" s="611">
        <f t="shared" si="22"/>
        <v>300000</v>
      </c>
      <c r="M85" s="623">
        <v>0</v>
      </c>
      <c r="N85" s="419">
        <v>300000</v>
      </c>
    </row>
    <row r="86" spans="1:14" x14ac:dyDescent="0.2">
      <c r="A86" s="125">
        <v>5154</v>
      </c>
      <c r="B86" s="27" t="s">
        <v>143</v>
      </c>
      <c r="C86" s="399">
        <v>1174000</v>
      </c>
      <c r="D86"/>
      <c r="E86" s="605">
        <f t="shared" si="20"/>
        <v>1140000</v>
      </c>
      <c r="F86" s="409">
        <v>40000</v>
      </c>
      <c r="G86" s="605">
        <f t="shared" si="21"/>
        <v>50000</v>
      </c>
      <c r="H86" s="635">
        <v>0</v>
      </c>
      <c r="I86" s="646">
        <v>0</v>
      </c>
      <c r="J86" s="635">
        <v>0</v>
      </c>
      <c r="K86" s="623">
        <v>50000</v>
      </c>
      <c r="L86" s="611">
        <f t="shared" si="22"/>
        <v>1050000</v>
      </c>
      <c r="M86" s="623">
        <v>250000</v>
      </c>
      <c r="N86" s="419">
        <v>800000</v>
      </c>
    </row>
    <row r="87" spans="1:14" x14ac:dyDescent="0.2">
      <c r="A87" s="125">
        <v>5156</v>
      </c>
      <c r="B87" s="27" t="s">
        <v>144</v>
      </c>
      <c r="C87" s="399">
        <v>900000</v>
      </c>
      <c r="D87"/>
      <c r="E87" s="605">
        <f>+G87+L87+F87</f>
        <v>876001</v>
      </c>
      <c r="F87" s="409">
        <v>30000</v>
      </c>
      <c r="G87" s="605">
        <f t="shared" si="21"/>
        <v>766001</v>
      </c>
      <c r="H87" s="635">
        <v>30000</v>
      </c>
      <c r="I87" s="646">
        <v>12000</v>
      </c>
      <c r="J87" s="635">
        <v>319000</v>
      </c>
      <c r="K87" s="623">
        <v>405001</v>
      </c>
      <c r="L87" s="611">
        <f t="shared" si="22"/>
        <v>80000</v>
      </c>
      <c r="M87" s="623">
        <v>80000</v>
      </c>
      <c r="N87" s="419">
        <v>0</v>
      </c>
    </row>
    <row r="88" spans="1:14" x14ac:dyDescent="0.2">
      <c r="A88" s="125">
        <v>5161</v>
      </c>
      <c r="B88" s="27" t="s">
        <v>145</v>
      </c>
      <c r="C88" s="399">
        <v>120000</v>
      </c>
      <c r="D88"/>
      <c r="E88" s="605">
        <f t="shared" si="20"/>
        <v>47500</v>
      </c>
      <c r="F88" s="409">
        <v>6500</v>
      </c>
      <c r="G88" s="605">
        <f t="shared" si="21"/>
        <v>1000</v>
      </c>
      <c r="H88" s="635">
        <v>0</v>
      </c>
      <c r="I88" s="646">
        <v>0</v>
      </c>
      <c r="J88" s="635">
        <v>0</v>
      </c>
      <c r="K88" s="623">
        <v>1000</v>
      </c>
      <c r="L88" s="611">
        <f t="shared" si="22"/>
        <v>40000</v>
      </c>
      <c r="M88" s="623">
        <v>20000</v>
      </c>
      <c r="N88" s="419">
        <v>20000</v>
      </c>
    </row>
    <row r="89" spans="1:14" x14ac:dyDescent="0.2">
      <c r="A89" s="125">
        <v>5162</v>
      </c>
      <c r="B89" s="27" t="s">
        <v>146</v>
      </c>
      <c r="C89" s="399">
        <v>41529</v>
      </c>
      <c r="D89"/>
      <c r="E89" s="605">
        <f t="shared" si="20"/>
        <v>56600</v>
      </c>
      <c r="F89" s="409">
        <v>10000</v>
      </c>
      <c r="G89" s="605">
        <f t="shared" si="21"/>
        <v>35600</v>
      </c>
      <c r="H89" s="635">
        <v>1800</v>
      </c>
      <c r="I89" s="646">
        <v>1800</v>
      </c>
      <c r="J89" s="635">
        <v>6000</v>
      </c>
      <c r="K89" s="623">
        <v>26000</v>
      </c>
      <c r="L89" s="611">
        <f t="shared" si="22"/>
        <v>11000</v>
      </c>
      <c r="M89" s="623">
        <v>6000</v>
      </c>
      <c r="N89" s="419">
        <v>5000</v>
      </c>
    </row>
    <row r="90" spans="1:14" x14ac:dyDescent="0.2">
      <c r="A90" s="125">
        <v>5163</v>
      </c>
      <c r="B90" s="27" t="s">
        <v>147</v>
      </c>
      <c r="C90" s="399">
        <v>300000</v>
      </c>
      <c r="D90"/>
      <c r="E90" s="605">
        <f t="shared" si="20"/>
        <v>352000</v>
      </c>
      <c r="F90" s="409">
        <v>15000</v>
      </c>
      <c r="G90" s="605">
        <f t="shared" si="21"/>
        <v>322000</v>
      </c>
      <c r="H90" s="635">
        <v>110000</v>
      </c>
      <c r="I90" s="646">
        <v>0</v>
      </c>
      <c r="J90" s="635">
        <v>132000</v>
      </c>
      <c r="K90" s="623">
        <v>80000</v>
      </c>
      <c r="L90" s="611">
        <f t="shared" si="22"/>
        <v>15000</v>
      </c>
      <c r="M90" s="623">
        <v>15000</v>
      </c>
      <c r="N90" s="419">
        <v>0</v>
      </c>
    </row>
    <row r="91" spans="1:14" x14ac:dyDescent="0.2">
      <c r="A91" s="125">
        <v>5164</v>
      </c>
      <c r="B91" s="27" t="s">
        <v>148</v>
      </c>
      <c r="C91" s="399">
        <v>7256000</v>
      </c>
      <c r="D91"/>
      <c r="E91" s="605">
        <f t="shared" si="20"/>
        <v>7484000</v>
      </c>
      <c r="F91" s="409">
        <v>0</v>
      </c>
      <c r="G91" s="605">
        <f t="shared" si="21"/>
        <v>100000</v>
      </c>
      <c r="H91" s="635">
        <v>82000</v>
      </c>
      <c r="I91" s="646">
        <v>0</v>
      </c>
      <c r="J91" s="635">
        <v>18000</v>
      </c>
      <c r="K91" s="623">
        <v>0</v>
      </c>
      <c r="L91" s="611">
        <f t="shared" si="22"/>
        <v>7384000</v>
      </c>
      <c r="M91" s="623">
        <v>3184000</v>
      </c>
      <c r="N91" s="419">
        <v>4200000</v>
      </c>
    </row>
    <row r="92" spans="1:14" x14ac:dyDescent="0.2">
      <c r="A92" s="125">
        <v>5166</v>
      </c>
      <c r="B92" s="27" t="s">
        <v>149</v>
      </c>
      <c r="C92" s="399">
        <v>50000</v>
      </c>
      <c r="D92"/>
      <c r="E92" s="605">
        <f t="shared" si="20"/>
        <v>160000</v>
      </c>
      <c r="F92" s="409">
        <v>120000</v>
      </c>
      <c r="G92" s="605">
        <f t="shared" si="21"/>
        <v>30000</v>
      </c>
      <c r="H92" s="635">
        <v>0</v>
      </c>
      <c r="I92" s="646">
        <v>0</v>
      </c>
      <c r="J92" s="635">
        <v>0</v>
      </c>
      <c r="K92" s="623">
        <v>30000</v>
      </c>
      <c r="L92" s="611">
        <f t="shared" si="22"/>
        <v>10000</v>
      </c>
      <c r="M92" s="623">
        <v>5000</v>
      </c>
      <c r="N92" s="419">
        <v>5000</v>
      </c>
    </row>
    <row r="93" spans="1:14" x14ac:dyDescent="0.2">
      <c r="A93" s="125">
        <v>5167</v>
      </c>
      <c r="B93" s="27" t="s">
        <v>150</v>
      </c>
      <c r="C93" s="399">
        <v>115000</v>
      </c>
      <c r="D93"/>
      <c r="E93" s="605">
        <f t="shared" si="20"/>
        <v>64000</v>
      </c>
      <c r="F93" s="409">
        <v>10000</v>
      </c>
      <c r="G93" s="605">
        <f t="shared" si="21"/>
        <v>54000</v>
      </c>
      <c r="H93" s="635">
        <v>2500</v>
      </c>
      <c r="I93" s="646">
        <v>0</v>
      </c>
      <c r="J93" s="635">
        <v>2500</v>
      </c>
      <c r="K93" s="623">
        <v>49000</v>
      </c>
      <c r="L93" s="611">
        <f t="shared" si="22"/>
        <v>0</v>
      </c>
      <c r="M93" s="623">
        <v>0</v>
      </c>
      <c r="N93" s="419">
        <v>0</v>
      </c>
    </row>
    <row r="94" spans="1:14" x14ac:dyDescent="0.2">
      <c r="A94" s="125">
        <v>5168</v>
      </c>
      <c r="B94" s="27" t="s">
        <v>879</v>
      </c>
      <c r="C94" s="399">
        <v>45000</v>
      </c>
      <c r="D94"/>
      <c r="E94" s="605">
        <f t="shared" si="20"/>
        <v>171000</v>
      </c>
      <c r="F94" s="409">
        <v>38000</v>
      </c>
      <c r="G94" s="605">
        <f t="shared" si="21"/>
        <v>96000</v>
      </c>
      <c r="H94" s="635">
        <v>20000</v>
      </c>
      <c r="I94" s="646">
        <v>0</v>
      </c>
      <c r="J94" s="635">
        <v>45000</v>
      </c>
      <c r="K94" s="623">
        <v>31000</v>
      </c>
      <c r="L94" s="611">
        <f t="shared" si="22"/>
        <v>37000</v>
      </c>
      <c r="M94" s="623">
        <v>20000</v>
      </c>
      <c r="N94" s="419">
        <v>17000</v>
      </c>
    </row>
    <row r="95" spans="1:14" s="1823" customFormat="1" x14ac:dyDescent="0.2">
      <c r="A95" s="124">
        <v>5169</v>
      </c>
      <c r="B95" s="325" t="s">
        <v>152</v>
      </c>
      <c r="C95" s="397">
        <v>8420000</v>
      </c>
      <c r="D95" s="314"/>
      <c r="E95" s="601">
        <f>SUM(E96:E112)</f>
        <v>9688500</v>
      </c>
      <c r="F95" s="404">
        <f t="shared" ref="F95:N95" si="23">SUM(F96:F112)</f>
        <v>207000</v>
      </c>
      <c r="G95" s="601">
        <f t="shared" si="23"/>
        <v>3032500</v>
      </c>
      <c r="H95" s="630">
        <f t="shared" si="23"/>
        <v>80000</v>
      </c>
      <c r="I95" s="640">
        <f t="shared" si="23"/>
        <v>22500</v>
      </c>
      <c r="J95" s="630">
        <f t="shared" si="23"/>
        <v>1819000</v>
      </c>
      <c r="K95" s="618">
        <f t="shared" si="23"/>
        <v>1111000</v>
      </c>
      <c r="L95" s="397">
        <f t="shared" si="23"/>
        <v>6449000</v>
      </c>
      <c r="M95" s="618">
        <f t="shared" si="23"/>
        <v>5375000</v>
      </c>
      <c r="N95" s="414">
        <f t="shared" si="23"/>
        <v>1074000</v>
      </c>
    </row>
    <row r="96" spans="1:14" s="1827" customFormat="1" outlineLevel="1" x14ac:dyDescent="0.2">
      <c r="A96" s="323"/>
      <c r="B96" s="324" t="s">
        <v>542</v>
      </c>
      <c r="C96" s="38">
        <v>4000000</v>
      </c>
      <c r="D96" s="333"/>
      <c r="E96" s="376">
        <f t="shared" ref="E96:E112" si="24">+G96+L96+F96</f>
        <v>4400000</v>
      </c>
      <c r="F96" s="408">
        <v>0</v>
      </c>
      <c r="G96" s="603">
        <f t="shared" ref="G96:G112" si="25">+J96+H96+I96+K96</f>
        <v>0</v>
      </c>
      <c r="H96" s="634">
        <v>0</v>
      </c>
      <c r="I96" s="645">
        <v>0</v>
      </c>
      <c r="J96" s="634">
        <v>0</v>
      </c>
      <c r="K96" s="622">
        <v>0</v>
      </c>
      <c r="L96" s="399">
        <f t="shared" ref="L96:L112" si="26">+M96+N96</f>
        <v>4400000</v>
      </c>
      <c r="M96" s="622">
        <v>4400000</v>
      </c>
      <c r="N96" s="418">
        <v>0</v>
      </c>
    </row>
    <row r="97" spans="1:14" s="1827" customFormat="1" outlineLevel="1" x14ac:dyDescent="0.2">
      <c r="A97" s="323"/>
      <c r="B97" s="324" t="s">
        <v>1533</v>
      </c>
      <c r="C97" s="38"/>
      <c r="D97" s="333"/>
      <c r="E97" s="376">
        <f t="shared" si="24"/>
        <v>500000</v>
      </c>
      <c r="F97" s="408">
        <v>0</v>
      </c>
      <c r="G97" s="603">
        <f t="shared" si="25"/>
        <v>0</v>
      </c>
      <c r="H97" s="634">
        <v>0</v>
      </c>
      <c r="I97" s="645">
        <v>0</v>
      </c>
      <c r="J97" s="634">
        <v>0</v>
      </c>
      <c r="K97" s="622">
        <v>0</v>
      </c>
      <c r="L97" s="399">
        <f t="shared" si="26"/>
        <v>500000</v>
      </c>
      <c r="M97" s="622">
        <v>0</v>
      </c>
      <c r="N97" s="418">
        <v>500000</v>
      </c>
    </row>
    <row r="98" spans="1:14" ht="14.25" customHeight="1" outlineLevel="1" x14ac:dyDescent="0.2">
      <c r="A98" s="323"/>
      <c r="B98" s="324" t="s">
        <v>1124</v>
      </c>
      <c r="C98" s="38">
        <v>1400000</v>
      </c>
      <c r="D98"/>
      <c r="E98" s="376">
        <f t="shared" si="24"/>
        <v>1000000</v>
      </c>
      <c r="F98" s="408">
        <v>0</v>
      </c>
      <c r="G98" s="603">
        <f t="shared" si="25"/>
        <v>0</v>
      </c>
      <c r="H98" s="634">
        <v>0</v>
      </c>
      <c r="I98" s="645">
        <v>0</v>
      </c>
      <c r="J98" s="634">
        <v>0</v>
      </c>
      <c r="K98" s="622">
        <v>0</v>
      </c>
      <c r="L98" s="399">
        <f t="shared" si="26"/>
        <v>1000000</v>
      </c>
      <c r="M98" s="620">
        <v>700000</v>
      </c>
      <c r="N98" s="416">
        <v>300000</v>
      </c>
    </row>
    <row r="99" spans="1:14" outlineLevel="1" x14ac:dyDescent="0.2">
      <c r="A99" s="323"/>
      <c r="B99" s="324" t="s">
        <v>558</v>
      </c>
      <c r="C99" s="38">
        <v>600000</v>
      </c>
      <c r="D99"/>
      <c r="E99" s="376">
        <f t="shared" si="24"/>
        <v>165000</v>
      </c>
      <c r="F99" s="408">
        <v>45000</v>
      </c>
      <c r="G99" s="603">
        <f t="shared" si="25"/>
        <v>80000</v>
      </c>
      <c r="H99" s="634">
        <v>8000</v>
      </c>
      <c r="I99" s="645">
        <v>2000</v>
      </c>
      <c r="J99" s="634">
        <v>10000</v>
      </c>
      <c r="K99" s="622">
        <v>60000</v>
      </c>
      <c r="L99" s="399">
        <f t="shared" si="26"/>
        <v>40000</v>
      </c>
      <c r="M99" s="622">
        <v>22000</v>
      </c>
      <c r="N99" s="418">
        <v>18000</v>
      </c>
    </row>
    <row r="100" spans="1:14" outlineLevel="1" x14ac:dyDescent="0.2">
      <c r="A100" s="323"/>
      <c r="B100" s="324" t="s">
        <v>559</v>
      </c>
      <c r="C100" s="38">
        <v>80000</v>
      </c>
      <c r="D100"/>
      <c r="E100" s="376">
        <f t="shared" si="24"/>
        <v>100000</v>
      </c>
      <c r="F100" s="408">
        <v>0</v>
      </c>
      <c r="G100" s="603">
        <f t="shared" si="25"/>
        <v>0</v>
      </c>
      <c r="H100" s="634">
        <v>0</v>
      </c>
      <c r="I100" s="645">
        <v>0</v>
      </c>
      <c r="J100" s="634">
        <v>0</v>
      </c>
      <c r="K100" s="622">
        <v>0</v>
      </c>
      <c r="L100" s="399">
        <f t="shared" si="26"/>
        <v>100000</v>
      </c>
      <c r="M100" s="622">
        <v>50000</v>
      </c>
      <c r="N100" s="418">
        <v>50000</v>
      </c>
    </row>
    <row r="101" spans="1:14" outlineLevel="1" x14ac:dyDescent="0.2">
      <c r="A101" s="323"/>
      <c r="B101" s="324" t="s">
        <v>1422</v>
      </c>
      <c r="C101" s="38">
        <v>40000</v>
      </c>
      <c r="D101"/>
      <c r="E101" s="376">
        <f t="shared" si="24"/>
        <v>40000</v>
      </c>
      <c r="F101" s="408">
        <v>0</v>
      </c>
      <c r="G101" s="603">
        <f t="shared" si="25"/>
        <v>0</v>
      </c>
      <c r="H101" s="634">
        <v>0</v>
      </c>
      <c r="I101" s="645">
        <v>0</v>
      </c>
      <c r="J101" s="634">
        <v>0</v>
      </c>
      <c r="K101" s="622">
        <v>0</v>
      </c>
      <c r="L101" s="399">
        <f t="shared" si="26"/>
        <v>40000</v>
      </c>
      <c r="M101" s="622">
        <v>0</v>
      </c>
      <c r="N101" s="418">
        <v>40000</v>
      </c>
    </row>
    <row r="102" spans="1:14" outlineLevel="1" x14ac:dyDescent="0.2">
      <c r="A102" s="323"/>
      <c r="B102" s="324" t="s">
        <v>1423</v>
      </c>
      <c r="C102" s="123"/>
      <c r="D102"/>
      <c r="E102" s="376">
        <f t="shared" si="24"/>
        <v>280000</v>
      </c>
      <c r="F102" s="428">
        <v>40000</v>
      </c>
      <c r="G102" s="603">
        <f t="shared" si="25"/>
        <v>190000</v>
      </c>
      <c r="H102" s="636">
        <v>20000</v>
      </c>
      <c r="I102" s="647">
        <v>10000</v>
      </c>
      <c r="J102" s="636">
        <v>40000</v>
      </c>
      <c r="K102" s="624">
        <v>120000</v>
      </c>
      <c r="L102" s="399">
        <f t="shared" si="26"/>
        <v>50000</v>
      </c>
      <c r="M102" s="624">
        <v>40000</v>
      </c>
      <c r="N102" s="429">
        <v>10000</v>
      </c>
    </row>
    <row r="103" spans="1:14" outlineLevel="1" x14ac:dyDescent="0.2">
      <c r="A103" s="323"/>
      <c r="B103" s="324" t="s">
        <v>1424</v>
      </c>
      <c r="C103" s="123"/>
      <c r="D103"/>
      <c r="E103" s="376">
        <f t="shared" si="24"/>
        <v>17500</v>
      </c>
      <c r="F103" s="428">
        <v>7000</v>
      </c>
      <c r="G103" s="603">
        <f t="shared" si="25"/>
        <v>8000</v>
      </c>
      <c r="H103" s="636">
        <v>1000</v>
      </c>
      <c r="I103" s="647">
        <v>0</v>
      </c>
      <c r="J103" s="636">
        <v>2000</v>
      </c>
      <c r="K103" s="624">
        <v>5000</v>
      </c>
      <c r="L103" s="399">
        <f t="shared" si="26"/>
        <v>2500</v>
      </c>
      <c r="M103" s="624">
        <v>2000</v>
      </c>
      <c r="N103" s="429">
        <v>500</v>
      </c>
    </row>
    <row r="104" spans="1:14" outlineLevel="1" x14ac:dyDescent="0.2">
      <c r="A104" s="323"/>
      <c r="B104" s="324" t="s">
        <v>1534</v>
      </c>
      <c r="C104" s="123">
        <v>800000</v>
      </c>
      <c r="D104"/>
      <c r="E104" s="376">
        <f t="shared" si="24"/>
        <v>5000</v>
      </c>
      <c r="F104" s="428">
        <v>0</v>
      </c>
      <c r="G104" s="602">
        <f t="shared" si="25"/>
        <v>5000</v>
      </c>
      <c r="H104" s="636">
        <v>0</v>
      </c>
      <c r="I104" s="647">
        <v>0</v>
      </c>
      <c r="J104" s="636">
        <v>0</v>
      </c>
      <c r="K104" s="624">
        <v>5000</v>
      </c>
      <c r="L104" s="609">
        <f t="shared" si="26"/>
        <v>0</v>
      </c>
      <c r="M104" s="624">
        <v>0</v>
      </c>
      <c r="N104" s="429">
        <v>0</v>
      </c>
    </row>
    <row r="105" spans="1:14" outlineLevel="1" x14ac:dyDescent="0.2">
      <c r="A105" s="323"/>
      <c r="B105" s="324" t="s">
        <v>600</v>
      </c>
      <c r="C105" s="123">
        <v>300000</v>
      </c>
      <c r="D105"/>
      <c r="E105" s="376">
        <f t="shared" si="24"/>
        <v>200000</v>
      </c>
      <c r="F105" s="428">
        <v>0</v>
      </c>
      <c r="G105" s="602">
        <f t="shared" si="25"/>
        <v>200000</v>
      </c>
      <c r="H105" s="636">
        <v>0</v>
      </c>
      <c r="I105" s="647">
        <v>0</v>
      </c>
      <c r="J105" s="636">
        <v>0</v>
      </c>
      <c r="K105" s="624">
        <v>200000</v>
      </c>
      <c r="L105" s="609">
        <f t="shared" si="26"/>
        <v>0</v>
      </c>
      <c r="M105" s="624">
        <v>0</v>
      </c>
      <c r="N105" s="429">
        <v>0</v>
      </c>
    </row>
    <row r="106" spans="1:14" outlineLevel="1" x14ac:dyDescent="0.2">
      <c r="A106" s="323"/>
      <c r="B106" s="324" t="s">
        <v>820</v>
      </c>
      <c r="C106" s="123"/>
      <c r="D106"/>
      <c r="E106" s="376">
        <f t="shared" si="24"/>
        <v>1000000</v>
      </c>
      <c r="F106" s="428">
        <v>0</v>
      </c>
      <c r="G106" s="602">
        <f t="shared" si="25"/>
        <v>1000000</v>
      </c>
      <c r="H106" s="636">
        <v>0</v>
      </c>
      <c r="I106" s="647">
        <v>0</v>
      </c>
      <c r="J106" s="636">
        <v>1000000</v>
      </c>
      <c r="K106" s="624">
        <v>0</v>
      </c>
      <c r="L106" s="609">
        <f t="shared" si="26"/>
        <v>0</v>
      </c>
      <c r="M106" s="624">
        <v>0</v>
      </c>
      <c r="N106" s="429">
        <v>0</v>
      </c>
    </row>
    <row r="107" spans="1:14" outlineLevel="1" x14ac:dyDescent="0.2">
      <c r="A107" s="323"/>
      <c r="B107" s="324" t="s">
        <v>1425</v>
      </c>
      <c r="C107" s="123"/>
      <c r="D107"/>
      <c r="E107" s="376">
        <f t="shared" si="24"/>
        <v>100000</v>
      </c>
      <c r="F107" s="428">
        <v>0</v>
      </c>
      <c r="G107" s="602">
        <f t="shared" si="25"/>
        <v>100000</v>
      </c>
      <c r="H107" s="636">
        <v>0</v>
      </c>
      <c r="I107" s="647">
        <v>0</v>
      </c>
      <c r="J107" s="636">
        <v>100000</v>
      </c>
      <c r="K107" s="624">
        <v>0</v>
      </c>
      <c r="L107" s="609">
        <f t="shared" si="26"/>
        <v>0</v>
      </c>
      <c r="M107" s="624">
        <v>0</v>
      </c>
      <c r="N107" s="429">
        <v>0</v>
      </c>
    </row>
    <row r="108" spans="1:14" outlineLevel="1" x14ac:dyDescent="0.2">
      <c r="A108" s="323"/>
      <c r="B108" s="324" t="s">
        <v>821</v>
      </c>
      <c r="C108" s="123"/>
      <c r="D108"/>
      <c r="E108" s="376">
        <f t="shared" si="24"/>
        <v>650000</v>
      </c>
      <c r="F108" s="428">
        <v>0</v>
      </c>
      <c r="G108" s="602">
        <f t="shared" si="25"/>
        <v>650000</v>
      </c>
      <c r="H108" s="636">
        <v>0</v>
      </c>
      <c r="I108" s="647">
        <v>0</v>
      </c>
      <c r="J108" s="636">
        <v>650000</v>
      </c>
      <c r="K108" s="624">
        <v>0</v>
      </c>
      <c r="L108" s="609">
        <f t="shared" si="26"/>
        <v>0</v>
      </c>
      <c r="M108" s="624">
        <v>0</v>
      </c>
      <c r="N108" s="429">
        <v>0</v>
      </c>
    </row>
    <row r="109" spans="1:14" outlineLevel="1" x14ac:dyDescent="0.2">
      <c r="A109" s="323"/>
      <c r="B109" s="324" t="s">
        <v>881</v>
      </c>
      <c r="C109" s="123"/>
      <c r="D109"/>
      <c r="E109" s="376">
        <f t="shared" si="24"/>
        <v>500000</v>
      </c>
      <c r="F109" s="428">
        <v>0</v>
      </c>
      <c r="G109" s="602">
        <f t="shared" si="25"/>
        <v>500000</v>
      </c>
      <c r="H109" s="636">
        <v>0</v>
      </c>
      <c r="I109" s="647">
        <v>0</v>
      </c>
      <c r="J109" s="636">
        <v>0</v>
      </c>
      <c r="K109" s="624">
        <v>500000</v>
      </c>
      <c r="L109" s="609">
        <f t="shared" si="26"/>
        <v>0</v>
      </c>
      <c r="M109" s="624">
        <v>0</v>
      </c>
      <c r="N109" s="429">
        <v>0</v>
      </c>
    </row>
    <row r="110" spans="1:14" outlineLevel="1" x14ac:dyDescent="0.2">
      <c r="A110" s="323"/>
      <c r="B110" s="324" t="s">
        <v>1426</v>
      </c>
      <c r="C110" s="123"/>
      <c r="D110"/>
      <c r="E110" s="376">
        <f t="shared" si="24"/>
        <v>13000</v>
      </c>
      <c r="F110" s="428">
        <v>2000</v>
      </c>
      <c r="G110" s="602">
        <f t="shared" si="25"/>
        <v>9500</v>
      </c>
      <c r="H110" s="636">
        <v>1000</v>
      </c>
      <c r="I110" s="647">
        <v>500</v>
      </c>
      <c r="J110" s="636">
        <v>2000</v>
      </c>
      <c r="K110" s="624">
        <v>6000</v>
      </c>
      <c r="L110" s="609">
        <f t="shared" si="26"/>
        <v>1500</v>
      </c>
      <c r="M110" s="624">
        <v>1000</v>
      </c>
      <c r="N110" s="429">
        <v>500</v>
      </c>
    </row>
    <row r="111" spans="1:14" outlineLevel="1" x14ac:dyDescent="0.2">
      <c r="A111" s="323"/>
      <c r="B111" s="324" t="s">
        <v>1427</v>
      </c>
      <c r="C111" s="123"/>
      <c r="D111"/>
      <c r="E111" s="376">
        <f t="shared" si="24"/>
        <v>43000</v>
      </c>
      <c r="F111" s="428">
        <v>13000</v>
      </c>
      <c r="G111" s="602">
        <f t="shared" si="25"/>
        <v>15000</v>
      </c>
      <c r="H111" s="636">
        <v>0</v>
      </c>
      <c r="I111" s="647">
        <v>0</v>
      </c>
      <c r="J111" s="636">
        <v>0</v>
      </c>
      <c r="K111" s="624">
        <v>15000</v>
      </c>
      <c r="L111" s="609">
        <f t="shared" si="26"/>
        <v>15000</v>
      </c>
      <c r="M111" s="624">
        <v>10000</v>
      </c>
      <c r="N111" s="429">
        <v>5000</v>
      </c>
    </row>
    <row r="112" spans="1:14" outlineLevel="1" x14ac:dyDescent="0.2">
      <c r="A112" s="323"/>
      <c r="B112" s="324" t="s">
        <v>610</v>
      </c>
      <c r="C112" s="123">
        <v>1200000</v>
      </c>
      <c r="D112"/>
      <c r="E112" s="614">
        <f t="shared" si="24"/>
        <v>675000</v>
      </c>
      <c r="F112" s="428">
        <v>100000</v>
      </c>
      <c r="G112" s="602">
        <f t="shared" si="25"/>
        <v>275000</v>
      </c>
      <c r="H112" s="636">
        <v>50000</v>
      </c>
      <c r="I112" s="647">
        <v>10000</v>
      </c>
      <c r="J112" s="636">
        <v>15000</v>
      </c>
      <c r="K112" s="624">
        <v>200000</v>
      </c>
      <c r="L112" s="609">
        <f t="shared" si="26"/>
        <v>300000</v>
      </c>
      <c r="M112" s="624">
        <v>150000</v>
      </c>
      <c r="N112" s="429">
        <v>150000</v>
      </c>
    </row>
    <row r="113" spans="1:14" s="1823" customFormat="1" x14ac:dyDescent="0.2">
      <c r="A113" s="124">
        <v>5171</v>
      </c>
      <c r="B113" s="325" t="s">
        <v>153</v>
      </c>
      <c r="C113" s="397">
        <v>1790000</v>
      </c>
      <c r="D113" s="314"/>
      <c r="E113" s="601">
        <f t="shared" ref="E113:N113" si="27">SUM(E114:E117)</f>
        <v>4410000</v>
      </c>
      <c r="F113" s="404">
        <f t="shared" si="27"/>
        <v>25000</v>
      </c>
      <c r="G113" s="601">
        <f t="shared" si="27"/>
        <v>550000</v>
      </c>
      <c r="H113" s="630">
        <f t="shared" si="27"/>
        <v>42500</v>
      </c>
      <c r="I113" s="640">
        <f t="shared" si="27"/>
        <v>0</v>
      </c>
      <c r="J113" s="630">
        <f t="shared" si="27"/>
        <v>42500</v>
      </c>
      <c r="K113" s="618">
        <f t="shared" si="27"/>
        <v>465000</v>
      </c>
      <c r="L113" s="397">
        <f t="shared" si="27"/>
        <v>3835000</v>
      </c>
      <c r="M113" s="618">
        <f t="shared" si="27"/>
        <v>2485000</v>
      </c>
      <c r="N113" s="414">
        <f t="shared" si="27"/>
        <v>1350000</v>
      </c>
    </row>
    <row r="114" spans="1:14" outlineLevel="1" x14ac:dyDescent="0.2">
      <c r="A114" s="323"/>
      <c r="B114" s="324" t="s">
        <v>1428</v>
      </c>
      <c r="C114" s="38"/>
      <c r="D114"/>
      <c r="E114" s="376">
        <f t="shared" ref="E114:E124" si="28">+G114+L114+F114</f>
        <v>3300000</v>
      </c>
      <c r="F114" s="408">
        <v>0</v>
      </c>
      <c r="G114" s="603">
        <f t="shared" ref="G114:G124" si="29">+J114+H114+I114+K114</f>
        <v>0</v>
      </c>
      <c r="H114" s="634">
        <v>0</v>
      </c>
      <c r="I114" s="645">
        <v>0</v>
      </c>
      <c r="J114" s="634">
        <v>0</v>
      </c>
      <c r="K114" s="622">
        <v>0</v>
      </c>
      <c r="L114" s="399">
        <f t="shared" ref="L114:L124" si="30">+M114+N114</f>
        <v>3300000</v>
      </c>
      <c r="M114" s="620">
        <v>2300000</v>
      </c>
      <c r="N114" s="416">
        <v>1000000</v>
      </c>
    </row>
    <row r="115" spans="1:14" outlineLevel="1" x14ac:dyDescent="0.2">
      <c r="A115" s="323"/>
      <c r="B115" s="324" t="s">
        <v>295</v>
      </c>
      <c r="C115" s="38">
        <v>110000</v>
      </c>
      <c r="D115"/>
      <c r="E115" s="376">
        <f t="shared" si="28"/>
        <v>460000</v>
      </c>
      <c r="F115" s="408">
        <v>10000</v>
      </c>
      <c r="G115" s="603">
        <f t="shared" si="29"/>
        <v>400000</v>
      </c>
      <c r="H115" s="634">
        <v>40000</v>
      </c>
      <c r="I115" s="645">
        <v>0</v>
      </c>
      <c r="J115" s="634">
        <v>40000</v>
      </c>
      <c r="K115" s="622">
        <v>320000</v>
      </c>
      <c r="L115" s="399">
        <f t="shared" si="30"/>
        <v>50000</v>
      </c>
      <c r="M115" s="622">
        <v>50000</v>
      </c>
      <c r="N115" s="418">
        <v>0</v>
      </c>
    </row>
    <row r="116" spans="1:14" outlineLevel="1" x14ac:dyDescent="0.2">
      <c r="A116" s="323"/>
      <c r="B116" s="324" t="s">
        <v>560</v>
      </c>
      <c r="C116" s="38">
        <v>110000</v>
      </c>
      <c r="D116"/>
      <c r="E116" s="376">
        <f t="shared" si="28"/>
        <v>350000</v>
      </c>
      <c r="F116" s="408">
        <v>15000</v>
      </c>
      <c r="G116" s="603">
        <f t="shared" si="29"/>
        <v>100000</v>
      </c>
      <c r="H116" s="634">
        <v>2500</v>
      </c>
      <c r="I116" s="645">
        <v>0</v>
      </c>
      <c r="J116" s="634">
        <v>2500</v>
      </c>
      <c r="K116" s="622">
        <v>95000</v>
      </c>
      <c r="L116" s="399">
        <f t="shared" si="30"/>
        <v>235000</v>
      </c>
      <c r="M116" s="622">
        <v>35000</v>
      </c>
      <c r="N116" s="418">
        <v>200000</v>
      </c>
    </row>
    <row r="117" spans="1:14" outlineLevel="1" x14ac:dyDescent="0.2">
      <c r="A117" s="323"/>
      <c r="B117" s="324" t="s">
        <v>561</v>
      </c>
      <c r="C117" s="38">
        <v>550000</v>
      </c>
      <c r="D117"/>
      <c r="E117" s="376">
        <f t="shared" si="28"/>
        <v>300000</v>
      </c>
      <c r="F117" s="408">
        <v>0</v>
      </c>
      <c r="G117" s="603">
        <f t="shared" si="29"/>
        <v>50000</v>
      </c>
      <c r="H117" s="634">
        <v>0</v>
      </c>
      <c r="I117" s="645">
        <v>0</v>
      </c>
      <c r="J117" s="634">
        <v>0</v>
      </c>
      <c r="K117" s="622">
        <v>50000</v>
      </c>
      <c r="L117" s="399">
        <f t="shared" si="30"/>
        <v>250000</v>
      </c>
      <c r="M117" s="622">
        <v>100000</v>
      </c>
      <c r="N117" s="418">
        <v>150000</v>
      </c>
    </row>
    <row r="118" spans="1:14" x14ac:dyDescent="0.2">
      <c r="A118" s="125">
        <v>5172</v>
      </c>
      <c r="B118" s="27" t="s">
        <v>154</v>
      </c>
      <c r="C118" s="399">
        <v>70000</v>
      </c>
      <c r="D118"/>
      <c r="E118" s="605">
        <f t="shared" si="28"/>
        <v>0</v>
      </c>
      <c r="F118" s="409">
        <v>0</v>
      </c>
      <c r="G118" s="605">
        <f t="shared" si="29"/>
        <v>0</v>
      </c>
      <c r="H118" s="635">
        <v>0</v>
      </c>
      <c r="I118" s="646">
        <v>0</v>
      </c>
      <c r="J118" s="635">
        <v>0</v>
      </c>
      <c r="K118" s="623">
        <v>0</v>
      </c>
      <c r="L118" s="611">
        <f t="shared" si="30"/>
        <v>0</v>
      </c>
      <c r="M118" s="623">
        <v>0</v>
      </c>
      <c r="N118" s="419">
        <v>0</v>
      </c>
    </row>
    <row r="119" spans="1:14" x14ac:dyDescent="0.2">
      <c r="A119" s="125">
        <v>5173</v>
      </c>
      <c r="B119" s="27" t="s">
        <v>155</v>
      </c>
      <c r="C119" s="399">
        <v>20000</v>
      </c>
      <c r="D119"/>
      <c r="E119" s="605">
        <f t="shared" si="28"/>
        <v>4500</v>
      </c>
      <c r="F119" s="409">
        <v>4500</v>
      </c>
      <c r="G119" s="605">
        <f t="shared" si="29"/>
        <v>0</v>
      </c>
      <c r="H119" s="635">
        <v>0</v>
      </c>
      <c r="I119" s="646">
        <v>0</v>
      </c>
      <c r="J119" s="635">
        <v>0</v>
      </c>
      <c r="K119" s="623">
        <v>0</v>
      </c>
      <c r="L119" s="611">
        <f t="shared" si="30"/>
        <v>0</v>
      </c>
      <c r="M119" s="623">
        <v>0</v>
      </c>
      <c r="N119" s="419">
        <v>0</v>
      </c>
    </row>
    <row r="120" spans="1:14" x14ac:dyDescent="0.2">
      <c r="A120" s="125">
        <v>5175</v>
      </c>
      <c r="B120" s="27" t="s">
        <v>156</v>
      </c>
      <c r="C120" s="399">
        <v>10000</v>
      </c>
      <c r="D120"/>
      <c r="E120" s="605">
        <f t="shared" si="28"/>
        <v>1500</v>
      </c>
      <c r="F120" s="409">
        <v>1500</v>
      </c>
      <c r="G120" s="605">
        <f t="shared" si="29"/>
        <v>0</v>
      </c>
      <c r="H120" s="635">
        <v>0</v>
      </c>
      <c r="I120" s="646">
        <v>0</v>
      </c>
      <c r="J120" s="635">
        <v>0</v>
      </c>
      <c r="K120" s="623">
        <v>0</v>
      </c>
      <c r="L120" s="611">
        <f t="shared" si="30"/>
        <v>0</v>
      </c>
      <c r="M120" s="623">
        <v>0</v>
      </c>
      <c r="N120" s="419">
        <v>0</v>
      </c>
    </row>
    <row r="121" spans="1:14" x14ac:dyDescent="0.2">
      <c r="A121" s="125">
        <v>5179</v>
      </c>
      <c r="B121" s="27" t="s">
        <v>157</v>
      </c>
      <c r="C121" s="399">
        <v>157600</v>
      </c>
      <c r="D121"/>
      <c r="E121" s="605">
        <f t="shared" si="28"/>
        <v>28000</v>
      </c>
      <c r="F121" s="409">
        <v>5000</v>
      </c>
      <c r="G121" s="605">
        <f t="shared" si="29"/>
        <v>19000</v>
      </c>
      <c r="H121" s="635">
        <v>2000</v>
      </c>
      <c r="I121" s="646">
        <v>1000</v>
      </c>
      <c r="J121" s="635">
        <v>4000</v>
      </c>
      <c r="K121" s="623">
        <v>12000</v>
      </c>
      <c r="L121" s="611">
        <f t="shared" si="30"/>
        <v>4000</v>
      </c>
      <c r="M121" s="623">
        <v>2000</v>
      </c>
      <c r="N121" s="419">
        <v>2000</v>
      </c>
    </row>
    <row r="122" spans="1:14" x14ac:dyDescent="0.2">
      <c r="A122" s="125"/>
      <c r="B122" s="27" t="s">
        <v>1535</v>
      </c>
      <c r="C122" s="399"/>
      <c r="D122"/>
      <c r="E122" s="605">
        <f t="shared" si="28"/>
        <v>365000</v>
      </c>
      <c r="F122" s="409">
        <v>350000</v>
      </c>
      <c r="G122" s="605">
        <f t="shared" si="29"/>
        <v>15000</v>
      </c>
      <c r="H122" s="635">
        <v>0</v>
      </c>
      <c r="I122" s="646">
        <v>0</v>
      </c>
      <c r="J122" s="635">
        <v>0</v>
      </c>
      <c r="K122" s="623">
        <v>15000</v>
      </c>
      <c r="L122" s="611">
        <f t="shared" si="30"/>
        <v>0</v>
      </c>
      <c r="M122" s="623">
        <v>0</v>
      </c>
      <c r="N122" s="419">
        <v>0</v>
      </c>
    </row>
    <row r="123" spans="1:14" x14ac:dyDescent="0.2">
      <c r="A123" s="125"/>
      <c r="B123" s="27" t="s">
        <v>1536</v>
      </c>
      <c r="C123" s="399"/>
      <c r="D123"/>
      <c r="E123" s="605">
        <f t="shared" si="28"/>
        <v>46000</v>
      </c>
      <c r="F123" s="409">
        <v>34000</v>
      </c>
      <c r="G123" s="605">
        <f t="shared" si="29"/>
        <v>12000</v>
      </c>
      <c r="H123" s="635">
        <v>0</v>
      </c>
      <c r="I123" s="646">
        <v>0</v>
      </c>
      <c r="J123" s="635">
        <v>12000</v>
      </c>
      <c r="K123" s="623">
        <v>0</v>
      </c>
      <c r="L123" s="611">
        <f t="shared" si="30"/>
        <v>0</v>
      </c>
      <c r="M123" s="623">
        <v>0</v>
      </c>
      <c r="N123" s="419">
        <v>0</v>
      </c>
    </row>
    <row r="124" spans="1:14" x14ac:dyDescent="0.2">
      <c r="A124" s="125">
        <v>5362</v>
      </c>
      <c r="B124" s="27" t="s">
        <v>431</v>
      </c>
      <c r="C124" s="399">
        <v>0</v>
      </c>
      <c r="D124"/>
      <c r="E124" s="605">
        <f t="shared" si="28"/>
        <v>2339299</v>
      </c>
      <c r="F124" s="409">
        <v>65000</v>
      </c>
      <c r="G124" s="605">
        <f t="shared" si="29"/>
        <v>2214299</v>
      </c>
      <c r="H124" s="635">
        <v>600000</v>
      </c>
      <c r="I124" s="646">
        <v>0</v>
      </c>
      <c r="J124" s="635">
        <v>1125000</v>
      </c>
      <c r="K124" s="623">
        <v>489299</v>
      </c>
      <c r="L124" s="611">
        <f t="shared" si="30"/>
        <v>60000</v>
      </c>
      <c r="M124" s="623">
        <v>15000</v>
      </c>
      <c r="N124" s="419">
        <v>45000</v>
      </c>
    </row>
    <row r="125" spans="1:14" ht="16.5" thickBot="1" x14ac:dyDescent="0.3">
      <c r="A125" s="1732" t="s">
        <v>602</v>
      </c>
      <c r="B125" s="152"/>
      <c r="C125" s="398">
        <v>24951129</v>
      </c>
      <c r="D125"/>
      <c r="E125" s="604">
        <f>+E124+E121+E120+E119+E118+E113+E95+E94+E93+E92+E91+E90+E89+E88+E87+E86+E85+E84+E58+E57+E56+E55+E54+E47+E122+E123</f>
        <v>35770900</v>
      </c>
      <c r="F125" s="407">
        <f>+F124+F121+F120+F119+F118+F113+F95+F94+F93+F92+F91+F90+F89+F88+F87+F86+F85+F84+F58+F57+F56+F55+F54+F47+F122+F123</f>
        <v>1147500</v>
      </c>
      <c r="G125" s="604">
        <f>+G124+G121+G120+G119+G118+G113+G95+G94+G93+G92+G91+G90+G89+G88+G87+G86+G85+G84+G58+G57+G56+G55+G54+G47+G122+G123</f>
        <v>12956400</v>
      </c>
      <c r="H125" s="203">
        <f t="shared" ref="H125:N125" si="31">+H124+H121+H120+H119+H118+H113+H95+H94+H93+H92+H91+H90+H89+H88+H87+H86+H85+H84+H58+H57+H56+H55+H54+H47</f>
        <v>2044300</v>
      </c>
      <c r="I125" s="643">
        <f t="shared" si="31"/>
        <v>103800</v>
      </c>
      <c r="J125" s="203">
        <f>+J124+J121+J120+J119+J118+J113+J95+J94+J93+J92+J91+J90+J89+J88+J87+J86+J85+J84+J58+J57+J56+J55+J54+J47+J122+J123</f>
        <v>4761500</v>
      </c>
      <c r="K125" s="621">
        <f>+K124+K121+K120+K119+K118+K113+K95+K94+K93+K92+K91+K90+K89+K88+K87+K86+K85+K84+K58+K57+K56+K55+K54+K47+K122+K123</f>
        <v>6046800</v>
      </c>
      <c r="L125" s="398">
        <f t="shared" si="31"/>
        <v>21667000</v>
      </c>
      <c r="M125" s="621">
        <f t="shared" si="31"/>
        <v>13212500</v>
      </c>
      <c r="N125" s="417">
        <f t="shared" si="31"/>
        <v>8454500</v>
      </c>
    </row>
    <row r="126" spans="1:14" x14ac:dyDescent="0.2">
      <c r="A126" s="125">
        <v>5141</v>
      </c>
      <c r="B126" s="27" t="s">
        <v>11</v>
      </c>
      <c r="C126" s="155">
        <v>0</v>
      </c>
      <c r="D126"/>
      <c r="E126" s="615"/>
      <c r="F126" s="410"/>
      <c r="G126" s="606"/>
      <c r="H126" s="637"/>
      <c r="I126" s="648"/>
      <c r="J126" s="625"/>
      <c r="K126" s="625"/>
      <c r="L126" s="610"/>
      <c r="M126" s="625"/>
      <c r="N126" s="420"/>
    </row>
    <row r="127" spans="1:14" ht="16.5" thickBot="1" x14ac:dyDescent="0.3">
      <c r="A127" s="151" t="s">
        <v>171</v>
      </c>
      <c r="B127" s="152" t="s">
        <v>172</v>
      </c>
      <c r="C127" s="153">
        <v>34750679</v>
      </c>
      <c r="D127"/>
      <c r="E127" s="604">
        <f t="shared" ref="E127:N127" si="32">+E125+E126+E46</f>
        <v>50865018.200000003</v>
      </c>
      <c r="F127" s="407">
        <f t="shared" si="32"/>
        <v>3382550</v>
      </c>
      <c r="G127" s="604">
        <f t="shared" si="32"/>
        <v>22477450.199999999</v>
      </c>
      <c r="H127" s="203">
        <f t="shared" si="32"/>
        <v>3019657.6</v>
      </c>
      <c r="I127" s="643">
        <f t="shared" si="32"/>
        <v>542254.6</v>
      </c>
      <c r="J127" s="203">
        <f t="shared" si="32"/>
        <v>6506058</v>
      </c>
      <c r="K127" s="621">
        <f t="shared" si="32"/>
        <v>12409480</v>
      </c>
      <c r="L127" s="398">
        <f t="shared" si="32"/>
        <v>25005018</v>
      </c>
      <c r="M127" s="621">
        <f t="shared" si="32"/>
        <v>16103021.4</v>
      </c>
      <c r="N127" s="417">
        <f t="shared" si="32"/>
        <v>8901996.5999999996</v>
      </c>
    </row>
    <row r="128" spans="1:14" ht="13.5" thickBot="1" x14ac:dyDescent="0.25">
      <c r="A128" s="125"/>
      <c r="B128" s="27"/>
      <c r="C128" s="155"/>
      <c r="D128"/>
      <c r="E128" s="859"/>
      <c r="F128" s="860"/>
      <c r="G128" s="860"/>
      <c r="H128" s="860"/>
      <c r="I128" s="860"/>
      <c r="J128" s="860"/>
      <c r="K128" s="860"/>
      <c r="L128" s="860"/>
      <c r="M128" s="860"/>
      <c r="N128" s="860"/>
    </row>
    <row r="129" spans="1:14" ht="16.5" thickBot="1" x14ac:dyDescent="0.3">
      <c r="A129" s="1918" t="s">
        <v>1122</v>
      </c>
      <c r="B129" s="1919"/>
      <c r="C129" s="400">
        <v>42063000</v>
      </c>
      <c r="D129"/>
      <c r="E129" s="607">
        <f>+E127</f>
        <v>50865018.200000003</v>
      </c>
      <c r="F129" s="411">
        <f t="shared" ref="F129:N129" si="33">+F127</f>
        <v>3382550</v>
      </c>
      <c r="G129" s="607">
        <f t="shared" si="33"/>
        <v>22477450.199999999</v>
      </c>
      <c r="H129" s="206">
        <f t="shared" si="33"/>
        <v>3019657.6</v>
      </c>
      <c r="I129" s="649">
        <f t="shared" si="33"/>
        <v>542254.6</v>
      </c>
      <c r="J129" s="206">
        <f t="shared" si="33"/>
        <v>6506058</v>
      </c>
      <c r="K129" s="626">
        <f t="shared" si="33"/>
        <v>12409480</v>
      </c>
      <c r="L129" s="400">
        <f t="shared" si="33"/>
        <v>25005018</v>
      </c>
      <c r="M129" s="626">
        <f t="shared" si="33"/>
        <v>16103021.4</v>
      </c>
      <c r="N129" s="421">
        <f t="shared" si="33"/>
        <v>8901996.5999999996</v>
      </c>
    </row>
    <row r="130" spans="1:14" ht="16.5" thickBot="1" x14ac:dyDescent="0.3">
      <c r="A130" s="1918" t="s">
        <v>203</v>
      </c>
      <c r="B130" s="1919"/>
      <c r="C130" s="400">
        <v>3765000</v>
      </c>
      <c r="D130"/>
      <c r="E130" s="607">
        <f t="shared" ref="E130:N130" si="34">E36-E129</f>
        <v>-0.20000000298023224</v>
      </c>
      <c r="F130" s="411">
        <f t="shared" si="34"/>
        <v>-84050</v>
      </c>
      <c r="G130" s="607">
        <f t="shared" si="34"/>
        <v>84049.800000000745</v>
      </c>
      <c r="H130" s="206">
        <f t="shared" si="34"/>
        <v>-959657.60000000009</v>
      </c>
      <c r="I130" s="649">
        <f t="shared" si="34"/>
        <v>77745.400000000023</v>
      </c>
      <c r="J130" s="206">
        <f t="shared" si="34"/>
        <v>2363942</v>
      </c>
      <c r="K130" s="626">
        <f t="shared" si="34"/>
        <v>-1397980</v>
      </c>
      <c r="L130" s="400">
        <f t="shared" si="34"/>
        <v>0</v>
      </c>
      <c r="M130" s="626">
        <f t="shared" si="34"/>
        <v>-3313021.4000000004</v>
      </c>
      <c r="N130" s="421">
        <f t="shared" si="34"/>
        <v>3313021.4000000004</v>
      </c>
    </row>
    <row r="131" spans="1:14" x14ac:dyDescent="0.2">
      <c r="A131" s="34"/>
      <c r="B131" s="9"/>
      <c r="C131" s="9"/>
      <c r="D131"/>
      <c r="E131" s="13"/>
      <c r="F131"/>
      <c r="G131"/>
      <c r="H131"/>
      <c r="I131"/>
      <c r="J131"/>
      <c r="K131" s="315"/>
      <c r="L131"/>
      <c r="M131"/>
      <c r="N131"/>
    </row>
    <row r="132" spans="1:14" x14ac:dyDescent="0.2">
      <c r="K132" s="1825"/>
    </row>
    <row r="133" spans="1:14" s="1810" customFormat="1" x14ac:dyDescent="0.2">
      <c r="A133" s="1828" t="s">
        <v>1028</v>
      </c>
      <c r="B133" s="1741"/>
      <c r="C133" s="1741"/>
      <c r="E133" s="1740"/>
    </row>
  </sheetData>
  <sheetProtection password="CF41" sheet="1" objects="1" scenarios="1"/>
  <mergeCells count="4">
    <mergeCell ref="A7:A23"/>
    <mergeCell ref="A129:B129"/>
    <mergeCell ref="A130:B130"/>
    <mergeCell ref="A36:B36"/>
  </mergeCells>
  <pageMargins left="0.31496062992125984" right="0.31496062992125984" top="0.19685039370078741" bottom="0.19685039370078741" header="0.31496062992125984" footer="0.31496062992125984"/>
  <pageSetup paperSize="8" scale="92" fitToHeight="2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/>
  </sheetViews>
  <sheetFormatPr defaultRowHeight="12.75" x14ac:dyDescent="0.2"/>
  <cols>
    <col min="1" max="1" width="1.42578125" style="1808" customWidth="1"/>
    <col min="2" max="2" width="7.7109375" style="1808" customWidth="1"/>
    <col min="3" max="3" width="10" style="1808" bestFit="1" customWidth="1"/>
    <col min="4" max="4" width="7.7109375" style="1808" bestFit="1" customWidth="1"/>
    <col min="5" max="5" width="13.7109375" style="1808" customWidth="1"/>
    <col min="6" max="6" width="11.28515625" style="1808" bestFit="1" customWidth="1"/>
    <col min="7" max="7" width="17.85546875" style="1808" customWidth="1"/>
    <col min="8" max="8" width="13.5703125" style="1808" customWidth="1"/>
    <col min="9" max="9" width="15" style="1808" bestFit="1" customWidth="1"/>
    <col min="10" max="10" width="15.42578125" style="1808" bestFit="1" customWidth="1"/>
    <col min="11" max="11" width="14" style="1808" bestFit="1" customWidth="1"/>
    <col min="12" max="12" width="12.85546875" style="1808" customWidth="1"/>
    <col min="13" max="13" width="13.42578125" style="1808" bestFit="1" customWidth="1"/>
    <col min="14" max="14" width="11.85546875" style="1808" customWidth="1"/>
    <col min="15" max="15" width="13.42578125" style="1808" bestFit="1" customWidth="1"/>
    <col min="16" max="16" width="15.7109375" style="1808" customWidth="1"/>
    <col min="17" max="17" width="16.28515625" style="1808" customWidth="1"/>
    <col min="18" max="18" width="11.28515625" style="1808" bestFit="1" customWidth="1"/>
    <col min="19" max="20" width="12.28515625" style="1808" bestFit="1" customWidth="1"/>
    <col min="21" max="21" width="9.85546875" style="1808" customWidth="1"/>
    <col min="22" max="16384" width="9.140625" style="1808"/>
  </cols>
  <sheetData>
    <row r="1" spans="1:22" s="1810" customFormat="1" ht="15.75" x14ac:dyDescent="0.25">
      <c r="C1" s="1958" t="s">
        <v>1560</v>
      </c>
      <c r="D1" s="1958"/>
      <c r="E1" s="1958"/>
      <c r="F1" s="1958"/>
      <c r="G1" s="1958"/>
      <c r="H1" s="1958"/>
      <c r="I1" s="1958"/>
      <c r="J1" s="1958"/>
      <c r="K1" s="1958"/>
      <c r="L1" s="1958"/>
      <c r="M1" s="1958"/>
      <c r="N1" s="1958"/>
      <c r="O1" s="1958"/>
      <c r="P1" s="1958"/>
      <c r="Q1" s="1958"/>
      <c r="R1" s="1958"/>
      <c r="S1" s="1958"/>
      <c r="T1" s="1958"/>
      <c r="U1" s="1811" t="s">
        <v>1561</v>
      </c>
    </row>
    <row r="2" spans="1:22" s="1810" customFormat="1" x14ac:dyDescent="0.2">
      <c r="A2" s="1812"/>
      <c r="C2" s="1959" t="s">
        <v>1562</v>
      </c>
      <c r="D2" s="1959"/>
      <c r="E2" s="1959"/>
      <c r="F2" s="1959"/>
      <c r="G2" s="1959"/>
      <c r="H2" s="1959"/>
      <c r="I2" s="1959"/>
      <c r="J2" s="1959"/>
      <c r="K2" s="1959"/>
      <c r="L2" s="1959"/>
      <c r="M2" s="1959"/>
      <c r="N2" s="1959"/>
      <c r="O2" s="1959"/>
      <c r="P2" s="1959"/>
      <c r="Q2" s="1959"/>
      <c r="R2" s="1959"/>
      <c r="S2" s="1959"/>
      <c r="T2" s="1959"/>
      <c r="U2" s="1813"/>
    </row>
    <row r="3" spans="1:22" s="1810" customFormat="1" x14ac:dyDescent="0.2">
      <c r="A3" s="1812"/>
      <c r="B3" s="1814" t="s">
        <v>1563</v>
      </c>
      <c r="D3" s="1815"/>
      <c r="E3" s="1815"/>
      <c r="F3" s="1815"/>
      <c r="G3" s="1815"/>
      <c r="H3" s="1815"/>
      <c r="I3" s="1815"/>
      <c r="J3" s="1815"/>
      <c r="K3" s="1960" t="s">
        <v>1607</v>
      </c>
      <c r="L3" s="1960"/>
      <c r="M3" s="1815"/>
      <c r="N3" s="1815"/>
      <c r="O3" s="1815"/>
      <c r="P3" s="1815"/>
      <c r="Q3" s="1815"/>
      <c r="R3" s="1815"/>
      <c r="S3" s="1815"/>
      <c r="T3" s="1815"/>
      <c r="U3" s="1816" t="s">
        <v>1564</v>
      </c>
    </row>
    <row r="4" spans="1:22" s="1810" customFormat="1" ht="13.5" thickBot="1" x14ac:dyDescent="0.25">
      <c r="A4" s="1812"/>
      <c r="B4" s="1817"/>
      <c r="C4" s="1817"/>
      <c r="D4" s="1818"/>
      <c r="E4" s="1819"/>
      <c r="F4" s="1819"/>
      <c r="G4" s="1819"/>
      <c r="H4" s="1819"/>
      <c r="I4" s="1819"/>
      <c r="J4" s="1819"/>
      <c r="K4" s="1819"/>
      <c r="L4" s="1819"/>
      <c r="M4" s="1820" t="s">
        <v>1621</v>
      </c>
      <c r="N4" s="1821"/>
      <c r="O4" s="1821"/>
      <c r="P4" s="1817"/>
      <c r="Q4" s="1817"/>
      <c r="R4" s="1817"/>
      <c r="S4" s="1817"/>
      <c r="T4" s="1817"/>
      <c r="U4" s="1821"/>
    </row>
    <row r="5" spans="1:22" ht="13.5" thickTop="1" x14ac:dyDescent="0.2">
      <c r="A5" s="1822"/>
      <c r="B5" s="1745"/>
      <c r="C5" s="1746"/>
      <c r="D5" s="1747" t="s">
        <v>1565</v>
      </c>
      <c r="E5" s="1748" t="s">
        <v>1566</v>
      </c>
      <c r="F5" s="1749"/>
      <c r="G5" s="1748" t="s">
        <v>1567</v>
      </c>
      <c r="H5" s="1749" t="s">
        <v>1306</v>
      </c>
      <c r="I5" s="1748" t="s">
        <v>0</v>
      </c>
      <c r="J5" s="1748" t="s">
        <v>1568</v>
      </c>
      <c r="K5" s="1748"/>
      <c r="L5" s="1748" t="s">
        <v>1569</v>
      </c>
      <c r="M5" s="1750" t="s">
        <v>1570</v>
      </c>
      <c r="N5" s="1749" t="s">
        <v>1571</v>
      </c>
      <c r="O5" s="1749" t="s">
        <v>1572</v>
      </c>
      <c r="P5" s="1748" t="s">
        <v>1573</v>
      </c>
      <c r="Q5" s="1748" t="s">
        <v>1342</v>
      </c>
      <c r="R5" s="1751" t="s">
        <v>1574</v>
      </c>
      <c r="S5" s="1751" t="s">
        <v>1575</v>
      </c>
      <c r="T5" s="1751" t="s">
        <v>1576</v>
      </c>
      <c r="U5" s="1752" t="s">
        <v>1577</v>
      </c>
      <c r="V5" s="1809"/>
    </row>
    <row r="6" spans="1:22" x14ac:dyDescent="0.2">
      <c r="A6" s="1822"/>
      <c r="B6" s="1753" t="s">
        <v>1578</v>
      </c>
      <c r="C6" s="1754" t="s">
        <v>1579</v>
      </c>
      <c r="D6" s="1755" t="s">
        <v>1580</v>
      </c>
      <c r="E6" s="1756" t="s">
        <v>1581</v>
      </c>
      <c r="F6" s="1757" t="s">
        <v>11</v>
      </c>
      <c r="G6" s="1756" t="s">
        <v>1582</v>
      </c>
      <c r="H6" s="1757" t="s">
        <v>1583</v>
      </c>
      <c r="I6" s="1756" t="s">
        <v>1584</v>
      </c>
      <c r="J6" s="1756" t="s">
        <v>1163</v>
      </c>
      <c r="K6" s="1756" t="s">
        <v>1585</v>
      </c>
      <c r="L6" s="1756" t="s">
        <v>1586</v>
      </c>
      <c r="M6" s="1754" t="s">
        <v>1587</v>
      </c>
      <c r="N6" s="1757" t="s">
        <v>1588</v>
      </c>
      <c r="O6" s="1757" t="s">
        <v>1163</v>
      </c>
      <c r="P6" s="1756" t="s">
        <v>1589</v>
      </c>
      <c r="Q6" s="1756" t="s">
        <v>1590</v>
      </c>
      <c r="R6" s="1758" t="s">
        <v>1591</v>
      </c>
      <c r="S6" s="1758" t="s">
        <v>1592</v>
      </c>
      <c r="T6" s="1758" t="s">
        <v>1593</v>
      </c>
      <c r="U6" s="1752" t="s">
        <v>1594</v>
      </c>
      <c r="V6" s="1809"/>
    </row>
    <row r="7" spans="1:22" ht="13.5" thickBot="1" x14ac:dyDescent="0.25">
      <c r="A7" s="1822"/>
      <c r="B7" s="1759"/>
      <c r="C7" s="1760"/>
      <c r="D7" s="1761" t="s">
        <v>1595</v>
      </c>
      <c r="E7" s="1762" t="s">
        <v>1596</v>
      </c>
      <c r="F7" s="1763"/>
      <c r="G7" s="1762" t="s">
        <v>1597</v>
      </c>
      <c r="H7" s="1763" t="s">
        <v>1598</v>
      </c>
      <c r="I7" s="1762" t="s">
        <v>1599</v>
      </c>
      <c r="J7" s="1764"/>
      <c r="K7" s="1762"/>
      <c r="L7" s="1762" t="s">
        <v>1600</v>
      </c>
      <c r="M7" s="1765" t="s">
        <v>1601</v>
      </c>
      <c r="N7" s="1763" t="s">
        <v>1602</v>
      </c>
      <c r="O7" s="1763" t="s">
        <v>1603</v>
      </c>
      <c r="P7" s="1762" t="s">
        <v>1604</v>
      </c>
      <c r="Q7" s="1762" t="s">
        <v>1605</v>
      </c>
      <c r="R7" s="1766"/>
      <c r="S7" s="1766"/>
      <c r="T7" s="1766"/>
      <c r="U7" s="1767" t="s">
        <v>1606</v>
      </c>
    </row>
    <row r="8" spans="1:22" ht="14.25" thickTop="1" thickBot="1" x14ac:dyDescent="0.25">
      <c r="A8" s="1822"/>
      <c r="B8" s="1768"/>
      <c r="C8" s="1769"/>
      <c r="D8" s="1770">
        <v>1</v>
      </c>
      <c r="E8" s="1771">
        <v>2</v>
      </c>
      <c r="F8" s="1772">
        <v>3</v>
      </c>
      <c r="G8" s="1772">
        <v>4</v>
      </c>
      <c r="H8" s="1772">
        <v>5</v>
      </c>
      <c r="I8" s="1772">
        <v>6</v>
      </c>
      <c r="J8" s="1771">
        <v>7</v>
      </c>
      <c r="K8" s="1771">
        <v>8</v>
      </c>
      <c r="L8" s="1771">
        <v>9</v>
      </c>
      <c r="M8" s="1773">
        <v>10</v>
      </c>
      <c r="N8" s="1772">
        <v>11</v>
      </c>
      <c r="O8" s="1772">
        <v>12</v>
      </c>
      <c r="P8" s="1772">
        <v>13</v>
      </c>
      <c r="Q8" s="1772">
        <v>14</v>
      </c>
      <c r="R8" s="1772">
        <v>15</v>
      </c>
      <c r="S8" s="1772">
        <v>16</v>
      </c>
      <c r="T8" s="1772">
        <v>17</v>
      </c>
      <c r="U8" s="1774">
        <v>18</v>
      </c>
    </row>
    <row r="9" spans="1:22" ht="13.5" thickTop="1" x14ac:dyDescent="0.2">
      <c r="A9" s="1822"/>
      <c r="B9" s="1803">
        <v>2017</v>
      </c>
      <c r="C9" s="1775" t="s">
        <v>1620</v>
      </c>
      <c r="D9" s="1776">
        <v>6500</v>
      </c>
      <c r="E9" s="1777">
        <v>167515129.38999999</v>
      </c>
      <c r="F9" s="1778">
        <v>1834245.13</v>
      </c>
      <c r="G9" s="1778">
        <v>11409092</v>
      </c>
      <c r="H9" s="1777">
        <f>+F9+G9</f>
        <v>13243337.129999999</v>
      </c>
      <c r="I9" s="1806">
        <f>+H9/E9</f>
        <v>7.9057558432036018E-2</v>
      </c>
      <c r="J9" s="1778">
        <v>1412827700</v>
      </c>
      <c r="K9" s="1778">
        <v>120596743.87</v>
      </c>
      <c r="L9" s="1778">
        <v>25275619.039999999</v>
      </c>
      <c r="M9" s="1778">
        <v>113733760.88</v>
      </c>
      <c r="N9" s="1778">
        <v>0</v>
      </c>
      <c r="O9" s="1777">
        <f>+M9+N9</f>
        <v>113733760.88</v>
      </c>
      <c r="P9" s="1807">
        <f>+K9/J9</f>
        <v>8.5358422594630612E-2</v>
      </c>
      <c r="Q9" s="1807">
        <f>+O9/K9</f>
        <v>0.94309147353598433</v>
      </c>
      <c r="R9" s="1779">
        <v>1708123.1</v>
      </c>
      <c r="S9" s="1779">
        <v>34878841.649999999</v>
      </c>
      <c r="T9" s="1779">
        <v>6862982.9900000002</v>
      </c>
      <c r="U9" s="1780">
        <f>+S9/T9</f>
        <v>5.0821693279470006</v>
      </c>
    </row>
    <row r="10" spans="1:22" x14ac:dyDescent="0.2">
      <c r="A10" s="1822"/>
      <c r="B10" s="1804" t="s">
        <v>1608</v>
      </c>
      <c r="C10" s="1781"/>
      <c r="D10" s="1782">
        <v>6800</v>
      </c>
      <c r="E10" s="1783">
        <v>9358811</v>
      </c>
      <c r="F10" s="1784">
        <v>168850</v>
      </c>
      <c r="G10" s="1784">
        <v>909091</v>
      </c>
      <c r="H10" s="1783">
        <f t="shared" ref="H10:H17" si="0">+F10+G10</f>
        <v>1077941</v>
      </c>
      <c r="I10" s="1783">
        <f t="shared" ref="I10:I17" si="1">+H10/E10</f>
        <v>0.11517926796470193</v>
      </c>
      <c r="J10" s="1785">
        <v>1424154596</v>
      </c>
      <c r="K10" s="1785">
        <v>131074218</v>
      </c>
      <c r="L10" s="1785">
        <v>25384398</v>
      </c>
      <c r="M10" s="1784">
        <v>118663695</v>
      </c>
      <c r="N10" s="1784">
        <v>0</v>
      </c>
      <c r="O10" s="1783">
        <f t="shared" ref="O10:O17" si="2">+M10+N10</f>
        <v>118663695</v>
      </c>
      <c r="P10" s="1786">
        <f t="shared" ref="P10:P18" si="3">+K10/J10</f>
        <v>9.2036509497034971E-2</v>
      </c>
      <c r="Q10" s="1786">
        <f t="shared" ref="Q10:Q18" si="4">+O10/K10</f>
        <v>0.90531682592224205</v>
      </c>
      <c r="R10" s="1786"/>
      <c r="S10" s="1786">
        <v>37575692</v>
      </c>
      <c r="T10" s="1786">
        <v>12410522</v>
      </c>
      <c r="U10" s="1787">
        <f t="shared" ref="U10:U17" si="5">+S10/T10</f>
        <v>3.0277285677427588</v>
      </c>
    </row>
    <row r="11" spans="1:22" x14ac:dyDescent="0.2">
      <c r="A11" s="1822"/>
      <c r="B11" s="1804" t="s">
        <v>1609</v>
      </c>
      <c r="C11" s="1781"/>
      <c r="D11" s="1782">
        <f>+D10</f>
        <v>6800</v>
      </c>
      <c r="E11" s="1783">
        <v>20515336</v>
      </c>
      <c r="F11" s="1784">
        <v>327218</v>
      </c>
      <c r="G11" s="1784">
        <v>1818182</v>
      </c>
      <c r="H11" s="1783">
        <f t="shared" si="0"/>
        <v>2145400</v>
      </c>
      <c r="I11" s="1783">
        <f t="shared" si="1"/>
        <v>0.10457542591551998</v>
      </c>
      <c r="J11" s="1785">
        <v>1427350750</v>
      </c>
      <c r="K11" s="1785">
        <v>135706335</v>
      </c>
      <c r="L11" s="1785">
        <v>24042749</v>
      </c>
      <c r="M11" s="1784">
        <v>124815820</v>
      </c>
      <c r="N11" s="1784">
        <v>0</v>
      </c>
      <c r="O11" s="1783">
        <f t="shared" si="2"/>
        <v>124815820</v>
      </c>
      <c r="P11" s="1786">
        <f t="shared" si="3"/>
        <v>9.5075674286786205E-2</v>
      </c>
      <c r="Q11" s="1786">
        <f t="shared" si="4"/>
        <v>0.91974939858187166</v>
      </c>
      <c r="R11" s="1786"/>
      <c r="S11" s="1786">
        <v>35638173</v>
      </c>
      <c r="T11" s="1786">
        <v>10891064</v>
      </c>
      <c r="U11" s="1787">
        <f t="shared" si="5"/>
        <v>3.2722397921819208</v>
      </c>
    </row>
    <row r="12" spans="1:22" x14ac:dyDescent="0.2">
      <c r="A12" s="1822"/>
      <c r="B12" s="1804" t="s">
        <v>1610</v>
      </c>
      <c r="C12" s="1781"/>
      <c r="D12" s="1788">
        <f t="shared" ref="D12:D21" si="6">+D11</f>
        <v>6800</v>
      </c>
      <c r="E12" s="1783">
        <v>31961611</v>
      </c>
      <c r="F12" s="1784">
        <v>504637</v>
      </c>
      <c r="G12" s="1784">
        <v>2852273</v>
      </c>
      <c r="H12" s="1783">
        <f t="shared" si="0"/>
        <v>3356910</v>
      </c>
      <c r="I12" s="1783">
        <f t="shared" si="1"/>
        <v>0.10502943672019537</v>
      </c>
      <c r="J12" s="1785">
        <v>1435653706</v>
      </c>
      <c r="K12" s="1785">
        <v>139365422</v>
      </c>
      <c r="L12" s="1785">
        <v>23431829</v>
      </c>
      <c r="M12" s="1784">
        <v>129633965</v>
      </c>
      <c r="N12" s="1784">
        <v>0</v>
      </c>
      <c r="O12" s="1783">
        <v>130268056</v>
      </c>
      <c r="P12" s="1786">
        <f t="shared" si="3"/>
        <v>9.7074539227358772E-2</v>
      </c>
      <c r="Q12" s="1786">
        <f t="shared" si="4"/>
        <v>0.93472293292377784</v>
      </c>
      <c r="R12" s="1786"/>
      <c r="S12" s="1786">
        <v>37671379</v>
      </c>
      <c r="T12" s="1786">
        <v>10131456</v>
      </c>
      <c r="U12" s="1787">
        <f t="shared" si="5"/>
        <v>3.7182591524850919</v>
      </c>
    </row>
    <row r="13" spans="1:22" x14ac:dyDescent="0.2">
      <c r="A13" s="1822"/>
      <c r="B13" s="1804" t="s">
        <v>1611</v>
      </c>
      <c r="C13" s="1781"/>
      <c r="D13" s="1788">
        <f t="shared" si="6"/>
        <v>6800</v>
      </c>
      <c r="E13" s="1783">
        <v>43370124</v>
      </c>
      <c r="F13" s="1784">
        <v>689495</v>
      </c>
      <c r="G13" s="1784">
        <v>3761364</v>
      </c>
      <c r="H13" s="1783">
        <f t="shared" si="0"/>
        <v>4450859</v>
      </c>
      <c r="I13" s="1783">
        <f t="shared" si="1"/>
        <v>0.10262500056490501</v>
      </c>
      <c r="J13" s="1785">
        <v>1433414502</v>
      </c>
      <c r="K13" s="1785">
        <v>137214739</v>
      </c>
      <c r="L13" s="1785">
        <v>23838899</v>
      </c>
      <c r="M13" s="1784">
        <v>136254137</v>
      </c>
      <c r="N13" s="1784">
        <v>0</v>
      </c>
      <c r="O13" s="1783">
        <f t="shared" si="2"/>
        <v>136254137</v>
      </c>
      <c r="P13" s="1786">
        <f t="shared" si="3"/>
        <v>9.5725792370977419E-2</v>
      </c>
      <c r="Q13" s="1786">
        <f t="shared" si="4"/>
        <v>0.99299927976396185</v>
      </c>
      <c r="R13" s="1786"/>
      <c r="S13" s="1786">
        <v>33312711</v>
      </c>
      <c r="T13" s="1786">
        <v>960601</v>
      </c>
      <c r="U13" s="1787">
        <f t="shared" si="5"/>
        <v>34.679030107193306</v>
      </c>
    </row>
    <row r="14" spans="1:22" x14ac:dyDescent="0.2">
      <c r="A14" s="1822"/>
      <c r="B14" s="1804" t="s">
        <v>1612</v>
      </c>
      <c r="C14" s="1789"/>
      <c r="D14" s="1788">
        <f t="shared" si="6"/>
        <v>6800</v>
      </c>
      <c r="E14" s="1783"/>
      <c r="F14" s="1784"/>
      <c r="G14" s="1784"/>
      <c r="H14" s="1783">
        <f t="shared" si="0"/>
        <v>0</v>
      </c>
      <c r="I14" s="1783" t="e">
        <f t="shared" si="1"/>
        <v>#DIV/0!</v>
      </c>
      <c r="J14" s="1785"/>
      <c r="K14" s="1785"/>
      <c r="L14" s="1785"/>
      <c r="M14" s="1784"/>
      <c r="N14" s="1784"/>
      <c r="O14" s="1783">
        <f t="shared" si="2"/>
        <v>0</v>
      </c>
      <c r="P14" s="1786" t="e">
        <f t="shared" si="3"/>
        <v>#DIV/0!</v>
      </c>
      <c r="Q14" s="1786" t="e">
        <f t="shared" si="4"/>
        <v>#DIV/0!</v>
      </c>
      <c r="R14" s="1786"/>
      <c r="S14" s="1786"/>
      <c r="T14" s="1786"/>
      <c r="U14" s="1787" t="e">
        <f t="shared" si="5"/>
        <v>#DIV/0!</v>
      </c>
    </row>
    <row r="15" spans="1:22" x14ac:dyDescent="0.2">
      <c r="A15" s="1822"/>
      <c r="B15" s="1804" t="s">
        <v>1613</v>
      </c>
      <c r="C15" s="1781"/>
      <c r="D15" s="1788">
        <f t="shared" si="6"/>
        <v>6800</v>
      </c>
      <c r="E15" s="1783"/>
      <c r="F15" s="1784"/>
      <c r="G15" s="1784"/>
      <c r="H15" s="1783">
        <f t="shared" si="0"/>
        <v>0</v>
      </c>
      <c r="I15" s="1783" t="e">
        <f t="shared" si="1"/>
        <v>#DIV/0!</v>
      </c>
      <c r="J15" s="1785"/>
      <c r="K15" s="1785"/>
      <c r="L15" s="1785"/>
      <c r="M15" s="1784"/>
      <c r="N15" s="1784"/>
      <c r="O15" s="1783">
        <f t="shared" si="2"/>
        <v>0</v>
      </c>
      <c r="P15" s="1786" t="e">
        <f t="shared" si="3"/>
        <v>#DIV/0!</v>
      </c>
      <c r="Q15" s="1786" t="e">
        <f t="shared" si="4"/>
        <v>#DIV/0!</v>
      </c>
      <c r="R15" s="1786"/>
      <c r="S15" s="1786"/>
      <c r="T15" s="1786"/>
      <c r="U15" s="1787" t="e">
        <f t="shared" si="5"/>
        <v>#DIV/0!</v>
      </c>
    </row>
    <row r="16" spans="1:22" ht="15.75" x14ac:dyDescent="0.25">
      <c r="A16" s="1822"/>
      <c r="B16" s="1804" t="s">
        <v>1614</v>
      </c>
      <c r="C16" s="1781"/>
      <c r="D16" s="1788">
        <f t="shared" si="6"/>
        <v>6800</v>
      </c>
      <c r="E16" s="1783"/>
      <c r="F16" s="1784"/>
      <c r="G16" s="1784"/>
      <c r="H16" s="1783">
        <f t="shared" si="0"/>
        <v>0</v>
      </c>
      <c r="I16" s="1783" t="e">
        <f t="shared" si="1"/>
        <v>#DIV/0!</v>
      </c>
      <c r="J16" s="1785"/>
      <c r="K16" s="1785"/>
      <c r="L16" s="1785"/>
      <c r="M16" s="1784"/>
      <c r="N16" s="1784"/>
      <c r="O16" s="1783">
        <f t="shared" si="2"/>
        <v>0</v>
      </c>
      <c r="P16" s="1786" t="e">
        <f t="shared" si="3"/>
        <v>#DIV/0!</v>
      </c>
      <c r="Q16" s="1786" t="e">
        <f t="shared" si="4"/>
        <v>#DIV/0!</v>
      </c>
      <c r="R16" s="1790"/>
      <c r="S16" s="1790"/>
      <c r="T16" s="1790"/>
      <c r="U16" s="1787" t="e">
        <f t="shared" si="5"/>
        <v>#DIV/0!</v>
      </c>
    </row>
    <row r="17" spans="1:21" x14ac:dyDescent="0.2">
      <c r="A17" s="1822"/>
      <c r="B17" s="1804" t="s">
        <v>1615</v>
      </c>
      <c r="C17" s="1781"/>
      <c r="D17" s="1788">
        <f t="shared" si="6"/>
        <v>6800</v>
      </c>
      <c r="E17" s="1783"/>
      <c r="F17" s="1784"/>
      <c r="G17" s="1784"/>
      <c r="H17" s="1783">
        <f t="shared" si="0"/>
        <v>0</v>
      </c>
      <c r="I17" s="1783" t="e">
        <f t="shared" si="1"/>
        <v>#DIV/0!</v>
      </c>
      <c r="J17" s="1785"/>
      <c r="K17" s="1785"/>
      <c r="L17" s="1785"/>
      <c r="M17" s="1784"/>
      <c r="N17" s="1784"/>
      <c r="O17" s="1783">
        <f t="shared" si="2"/>
        <v>0</v>
      </c>
      <c r="P17" s="1786" t="e">
        <f t="shared" si="3"/>
        <v>#DIV/0!</v>
      </c>
      <c r="Q17" s="1786" t="e">
        <f t="shared" si="4"/>
        <v>#DIV/0!</v>
      </c>
      <c r="R17" s="1786"/>
      <c r="S17" s="1786"/>
      <c r="T17" s="1786"/>
      <c r="U17" s="1787" t="e">
        <f t="shared" si="5"/>
        <v>#DIV/0!</v>
      </c>
    </row>
    <row r="18" spans="1:21" x14ac:dyDescent="0.2">
      <c r="A18" s="1822"/>
      <c r="B18" s="1805" t="s">
        <v>1616</v>
      </c>
      <c r="C18" s="1799"/>
      <c r="D18" s="1800">
        <f t="shared" si="6"/>
        <v>6800</v>
      </c>
      <c r="E18" s="1801"/>
      <c r="F18" s="1802"/>
      <c r="G18" s="1802"/>
      <c r="H18" s="1783">
        <f t="shared" ref="H18:H21" si="7">+F18+G18</f>
        <v>0</v>
      </c>
      <c r="I18" s="1783" t="e">
        <f t="shared" ref="I18:I21" si="8">+H18/E18</f>
        <v>#DIV/0!</v>
      </c>
      <c r="J18" s="1785"/>
      <c r="K18" s="1785"/>
      <c r="L18" s="1785"/>
      <c r="M18" s="1784"/>
      <c r="N18" s="1784"/>
      <c r="O18" s="1783">
        <f t="shared" ref="O18:O21" si="9">+M18+N18</f>
        <v>0</v>
      </c>
      <c r="P18" s="1786" t="e">
        <f t="shared" si="3"/>
        <v>#DIV/0!</v>
      </c>
      <c r="Q18" s="1786" t="e">
        <f t="shared" si="4"/>
        <v>#DIV/0!</v>
      </c>
      <c r="R18" s="1786"/>
      <c r="S18" s="1786"/>
      <c r="T18" s="1786"/>
      <c r="U18" s="1787" t="e">
        <f t="shared" ref="U18:U21" si="10">+S18/T18</f>
        <v>#DIV/0!</v>
      </c>
    </row>
    <row r="19" spans="1:21" x14ac:dyDescent="0.2">
      <c r="A19" s="1822"/>
      <c r="B19" s="1805" t="s">
        <v>1617</v>
      </c>
      <c r="C19" s="1799"/>
      <c r="D19" s="1800">
        <f t="shared" si="6"/>
        <v>6800</v>
      </c>
      <c r="E19" s="1801"/>
      <c r="F19" s="1802"/>
      <c r="G19" s="1802"/>
      <c r="H19" s="1783">
        <f t="shared" si="7"/>
        <v>0</v>
      </c>
      <c r="I19" s="1783" t="e">
        <f t="shared" si="8"/>
        <v>#DIV/0!</v>
      </c>
      <c r="J19" s="1785"/>
      <c r="K19" s="1785"/>
      <c r="L19" s="1785"/>
      <c r="M19" s="1784"/>
      <c r="N19" s="1784"/>
      <c r="O19" s="1783">
        <f t="shared" si="9"/>
        <v>0</v>
      </c>
      <c r="P19" s="1786" t="e">
        <f t="shared" ref="P19:P21" si="11">+K19/J19</f>
        <v>#DIV/0!</v>
      </c>
      <c r="Q19" s="1786" t="e">
        <f t="shared" ref="Q19:Q21" si="12">+O19/K19</f>
        <v>#DIV/0!</v>
      </c>
      <c r="R19" s="1786"/>
      <c r="S19" s="1786"/>
      <c r="T19" s="1786"/>
      <c r="U19" s="1787" t="e">
        <f t="shared" si="10"/>
        <v>#DIV/0!</v>
      </c>
    </row>
    <row r="20" spans="1:21" x14ac:dyDescent="0.2">
      <c r="A20" s="1822"/>
      <c r="B20" s="1805" t="s">
        <v>1618</v>
      </c>
      <c r="C20" s="1799"/>
      <c r="D20" s="1800">
        <f t="shared" si="6"/>
        <v>6800</v>
      </c>
      <c r="E20" s="1801"/>
      <c r="F20" s="1802"/>
      <c r="G20" s="1802"/>
      <c r="H20" s="1783">
        <f t="shared" si="7"/>
        <v>0</v>
      </c>
      <c r="I20" s="1783" t="e">
        <f t="shared" si="8"/>
        <v>#DIV/0!</v>
      </c>
      <c r="J20" s="1785"/>
      <c r="K20" s="1785"/>
      <c r="L20" s="1785"/>
      <c r="M20" s="1784"/>
      <c r="N20" s="1784"/>
      <c r="O20" s="1783">
        <f t="shared" si="9"/>
        <v>0</v>
      </c>
      <c r="P20" s="1786" t="e">
        <f t="shared" si="11"/>
        <v>#DIV/0!</v>
      </c>
      <c r="Q20" s="1786" t="e">
        <f t="shared" si="12"/>
        <v>#DIV/0!</v>
      </c>
      <c r="R20" s="1786"/>
      <c r="S20" s="1786"/>
      <c r="T20" s="1786"/>
      <c r="U20" s="1787" t="e">
        <f t="shared" si="10"/>
        <v>#DIV/0!</v>
      </c>
    </row>
    <row r="21" spans="1:21" x14ac:dyDescent="0.2">
      <c r="A21" s="1822"/>
      <c r="B21" s="1805" t="s">
        <v>1619</v>
      </c>
      <c r="C21" s="1799"/>
      <c r="D21" s="1800">
        <f t="shared" si="6"/>
        <v>6800</v>
      </c>
      <c r="E21" s="1801"/>
      <c r="F21" s="1802"/>
      <c r="G21" s="1802"/>
      <c r="H21" s="1783">
        <f t="shared" si="7"/>
        <v>0</v>
      </c>
      <c r="I21" s="1783" t="e">
        <f t="shared" si="8"/>
        <v>#DIV/0!</v>
      </c>
      <c r="J21" s="1785"/>
      <c r="K21" s="1785"/>
      <c r="L21" s="1785"/>
      <c r="M21" s="1784"/>
      <c r="N21" s="1784"/>
      <c r="O21" s="1783">
        <f t="shared" si="9"/>
        <v>0</v>
      </c>
      <c r="P21" s="1786" t="e">
        <f t="shared" si="11"/>
        <v>#DIV/0!</v>
      </c>
      <c r="Q21" s="1786" t="e">
        <f t="shared" si="12"/>
        <v>#DIV/0!</v>
      </c>
      <c r="R21" s="1786"/>
      <c r="S21" s="1786"/>
      <c r="T21" s="1786"/>
      <c r="U21" s="1787" t="e">
        <f t="shared" si="10"/>
        <v>#DIV/0!</v>
      </c>
    </row>
    <row r="22" spans="1:21" ht="13.5" thickBot="1" x14ac:dyDescent="0.25">
      <c r="A22" s="1822"/>
      <c r="B22" s="1798"/>
      <c r="C22" s="1791"/>
      <c r="D22" s="1792"/>
      <c r="E22" s="1793"/>
      <c r="F22" s="1794"/>
      <c r="G22" s="1794"/>
      <c r="H22" s="1793"/>
      <c r="I22" s="1793"/>
      <c r="J22" s="1795"/>
      <c r="K22" s="1795"/>
      <c r="L22" s="1795"/>
      <c r="M22" s="1794"/>
      <c r="N22" s="1794"/>
      <c r="O22" s="1793"/>
      <c r="P22" s="1796"/>
      <c r="Q22" s="1796"/>
      <c r="R22" s="1796"/>
      <c r="S22" s="1796"/>
      <c r="T22" s="1796"/>
      <c r="U22" s="1797"/>
    </row>
    <row r="23" spans="1:21" ht="13.5" thickTop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</sheetData>
  <sheetProtection algorithmName="SHA-512" hashValue="yBxZP6i7U4Sfm+luyHDKaz90OE1R3Efb5AO4hTxY8SD7ero53YvOO3lxt/X4wIVQlpKBgU2a5OO+lj002mLCQQ==" saltValue="oEh7341WM18VGMLTwzXavw==" spinCount="100000" sheet="1" objects="1" scenarios="1"/>
  <mergeCells count="3">
    <mergeCell ref="C1:T1"/>
    <mergeCell ref="C2:T2"/>
    <mergeCell ref="K3:L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19"/>
  <sheetViews>
    <sheetView topLeftCell="A6" workbookViewId="0">
      <pane xSplit="3" ySplit="3" topLeftCell="D9" activePane="bottomRight" state="frozen"/>
      <selection activeCell="A6" sqref="A6"/>
      <selection pane="topRight" activeCell="D6" sqref="D6"/>
      <selection pane="bottomLeft" activeCell="A9" sqref="A9"/>
      <selection pane="bottomRight" activeCell="L184" sqref="L184"/>
    </sheetView>
  </sheetViews>
  <sheetFormatPr defaultRowHeight="12.75" outlineLevelRow="1" x14ac:dyDescent="0.2"/>
  <cols>
    <col min="1" max="1" width="8" style="1722" customWidth="1"/>
    <col min="2" max="2" width="17.5703125" style="1722" bestFit="1" customWidth="1"/>
    <col min="3" max="3" width="58" style="1722" customWidth="1"/>
    <col min="4" max="4" width="13.5703125" style="1722" bestFit="1" customWidth="1"/>
    <col min="5" max="5" width="12" style="1729" customWidth="1"/>
    <col min="6" max="6" width="9.140625" style="1729" bestFit="1" customWidth="1"/>
    <col min="7" max="7" width="10.140625" style="1729" bestFit="1" customWidth="1"/>
    <col min="8" max="8" width="18.42578125" style="1729" bestFit="1" customWidth="1"/>
    <col min="9" max="9" width="15" style="1722" bestFit="1" customWidth="1"/>
    <col min="10" max="10" width="13.85546875" style="1722" customWidth="1"/>
    <col min="11" max="11" width="12.42578125" style="1722" customWidth="1"/>
    <col min="12" max="12" width="12.42578125" style="1731" customWidth="1"/>
    <col min="13" max="13" width="18.140625" style="1729" bestFit="1" customWidth="1"/>
    <col min="14" max="14" width="13.7109375" style="1729" bestFit="1" customWidth="1"/>
    <col min="15" max="15" width="34.28515625" style="1722" bestFit="1" customWidth="1"/>
    <col min="16" max="16" width="11.28515625" style="1722" customWidth="1"/>
    <col min="17" max="17" width="9.140625" style="1731" customWidth="1"/>
    <col min="18" max="16384" width="9.140625" style="1722"/>
  </cols>
  <sheetData>
    <row r="1" spans="1:17" x14ac:dyDescent="0.2">
      <c r="A1" s="82"/>
      <c r="B1" s="82"/>
      <c r="C1" s="82"/>
      <c r="D1" s="82"/>
      <c r="E1" s="1080"/>
      <c r="F1" s="1080"/>
      <c r="G1" s="1080"/>
      <c r="H1" s="1080"/>
      <c r="I1" s="82"/>
      <c r="J1" s="82"/>
      <c r="K1" s="82"/>
      <c r="L1" s="585"/>
      <c r="M1" s="1080"/>
      <c r="N1" s="1080"/>
      <c r="O1" s="82"/>
      <c r="P1" s="82"/>
      <c r="Q1" s="585"/>
    </row>
    <row r="2" spans="1:17" ht="20.25" customHeight="1" x14ac:dyDescent="0.35">
      <c r="A2" s="3" t="s">
        <v>1368</v>
      </c>
      <c r="B2" s="208"/>
      <c r="C2" s="336"/>
      <c r="D2" s="336"/>
      <c r="E2" s="34"/>
      <c r="F2" s="34"/>
      <c r="G2" s="34"/>
      <c r="H2" s="34"/>
      <c r="I2" s="82"/>
      <c r="J2" s="82"/>
      <c r="K2" s="82"/>
      <c r="L2" s="585"/>
      <c r="M2" s="1080"/>
      <c r="N2" s="1080"/>
      <c r="O2" s="82"/>
      <c r="P2" s="82"/>
      <c r="Q2" s="585"/>
    </row>
    <row r="3" spans="1:17" x14ac:dyDescent="0.2">
      <c r="A3" s="82"/>
      <c r="B3" s="82"/>
      <c r="C3" s="82"/>
      <c r="D3" s="82"/>
      <c r="E3" s="1080"/>
      <c r="F3" s="1080"/>
      <c r="G3" s="1080"/>
      <c r="H3" s="1080"/>
      <c r="I3" s="82"/>
      <c r="J3" s="82"/>
      <c r="K3" s="82"/>
      <c r="L3" s="585"/>
      <c r="M3" s="1080"/>
      <c r="N3" s="1080"/>
      <c r="O3" s="82"/>
      <c r="P3" s="82"/>
      <c r="Q3" s="585"/>
    </row>
    <row r="4" spans="1:17" ht="20.100000000000001" hidden="1" customHeight="1" x14ac:dyDescent="0.3">
      <c r="A4" s="83" t="s">
        <v>1194</v>
      </c>
      <c r="B4" s="83"/>
      <c r="C4" s="82"/>
      <c r="D4" s="82"/>
      <c r="E4" s="1080"/>
      <c r="F4" s="1080"/>
      <c r="G4" s="1080"/>
      <c r="H4" s="1080"/>
      <c r="I4" s="82"/>
      <c r="J4" s="82"/>
      <c r="K4" s="82"/>
      <c r="L4" s="585"/>
      <c r="M4" s="1080"/>
      <c r="N4" s="1080"/>
      <c r="O4" s="82"/>
      <c r="P4" s="82"/>
      <c r="Q4" s="585"/>
    </row>
    <row r="5" spans="1:17" ht="15" hidden="1" customHeight="1" x14ac:dyDescent="0.3">
      <c r="A5" s="83"/>
      <c r="B5" s="83"/>
      <c r="C5" s="82"/>
      <c r="D5" s="82"/>
      <c r="E5" s="1080"/>
      <c r="F5" s="1080"/>
      <c r="G5" s="1080"/>
      <c r="H5" s="1080"/>
      <c r="I5" s="82"/>
      <c r="J5" s="82"/>
      <c r="K5" s="82"/>
      <c r="L5" s="585"/>
      <c r="M5" s="1080"/>
      <c r="N5" s="1080"/>
      <c r="O5" s="82"/>
      <c r="P5" s="82"/>
      <c r="Q5" s="585"/>
    </row>
    <row r="6" spans="1:17" ht="15" customHeight="1" x14ac:dyDescent="0.3">
      <c r="A6" s="83" t="s">
        <v>1371</v>
      </c>
      <c r="B6" s="83"/>
      <c r="C6" s="82"/>
      <c r="D6" s="82"/>
      <c r="E6" s="1080"/>
      <c r="F6" s="1080"/>
      <c r="G6" s="1080"/>
      <c r="H6" s="1080"/>
      <c r="I6" s="82"/>
      <c r="J6" s="461"/>
      <c r="K6" s="82"/>
      <c r="L6" s="572"/>
      <c r="M6" s="1909"/>
      <c r="N6" s="1080"/>
      <c r="O6" s="82"/>
      <c r="P6" s="82"/>
      <c r="Q6" s="585"/>
    </row>
    <row r="7" spans="1:17" ht="15" customHeight="1" thickBot="1" x14ac:dyDescent="0.35">
      <c r="A7" s="83"/>
      <c r="B7" s="83"/>
      <c r="C7" s="82"/>
      <c r="D7" s="82"/>
      <c r="E7" s="1080"/>
      <c r="F7" s="1080"/>
      <c r="G7" s="1080"/>
      <c r="H7" s="1080"/>
      <c r="I7" s="82"/>
      <c r="J7" s="461"/>
      <c r="K7" s="461"/>
      <c r="L7" s="572"/>
      <c r="M7" s="1909"/>
      <c r="N7" s="1080"/>
      <c r="O7" s="82"/>
      <c r="P7" s="82"/>
      <c r="Q7" s="585"/>
    </row>
    <row r="8" spans="1:17" s="1723" customFormat="1" ht="31.5" customHeight="1" thickBot="1" x14ac:dyDescent="0.2">
      <c r="A8" s="99" t="s">
        <v>190</v>
      </c>
      <c r="B8" s="100" t="s">
        <v>838</v>
      </c>
      <c r="C8" s="1078" t="s">
        <v>1295</v>
      </c>
      <c r="D8" s="99" t="s">
        <v>1229</v>
      </c>
      <c r="E8" s="99" t="s">
        <v>1257</v>
      </c>
      <c r="F8" s="99" t="s">
        <v>1259</v>
      </c>
      <c r="G8" s="99" t="s">
        <v>1260</v>
      </c>
      <c r="H8" s="99" t="s">
        <v>1230</v>
      </c>
      <c r="I8" s="101" t="s">
        <v>1377</v>
      </c>
      <c r="J8" s="101" t="s">
        <v>637</v>
      </c>
      <c r="K8" s="101" t="s">
        <v>799</v>
      </c>
      <c r="L8" s="577" t="s">
        <v>7</v>
      </c>
      <c r="M8" s="101" t="s">
        <v>1256</v>
      </c>
      <c r="N8" s="101" t="s">
        <v>1231</v>
      </c>
      <c r="O8" s="101" t="s">
        <v>1232</v>
      </c>
      <c r="P8" s="85"/>
      <c r="Q8" s="926"/>
    </row>
    <row r="9" spans="1:17" s="1724" customFormat="1" ht="16.5" thickBot="1" x14ac:dyDescent="0.3">
      <c r="A9" s="430"/>
      <c r="B9" s="431" t="s">
        <v>3</v>
      </c>
      <c r="C9" s="430"/>
      <c r="D9" s="1330"/>
      <c r="E9" s="1331"/>
      <c r="F9" s="1331"/>
      <c r="G9" s="1331"/>
      <c r="H9" s="1331"/>
      <c r="I9" s="1331"/>
      <c r="J9" s="1331"/>
      <c r="K9" s="1331"/>
      <c r="L9" s="1331"/>
      <c r="M9" s="1331"/>
      <c r="N9" s="1331"/>
      <c r="O9" s="1332"/>
      <c r="P9" s="88"/>
      <c r="Q9" s="927"/>
    </row>
    <row r="10" spans="1:17" s="1724" customFormat="1" ht="15.75" outlineLevel="1" x14ac:dyDescent="0.25">
      <c r="A10" s="1129"/>
      <c r="B10" s="1136" t="s">
        <v>391</v>
      </c>
      <c r="C10" s="1109" t="s">
        <v>1208</v>
      </c>
      <c r="D10" s="1109"/>
      <c r="E10" s="1110"/>
      <c r="F10" s="1110"/>
      <c r="G10" s="1145"/>
      <c r="H10" s="1110" t="s">
        <v>1233</v>
      </c>
      <c r="I10" s="856">
        <v>950000</v>
      </c>
      <c r="J10" s="856">
        <v>950000</v>
      </c>
      <c r="K10" s="856">
        <f>+[5]TSÚ!$D$12</f>
        <v>950000</v>
      </c>
      <c r="L10" s="1111">
        <f>+K10-J10</f>
        <v>0</v>
      </c>
      <c r="M10" s="1112"/>
      <c r="N10" s="1112"/>
      <c r="O10" s="856"/>
      <c r="P10" s="88"/>
      <c r="Q10" s="927"/>
    </row>
    <row r="11" spans="1:17" s="1724" customFormat="1" ht="15.75" outlineLevel="1" x14ac:dyDescent="0.25">
      <c r="A11" s="1129"/>
      <c r="B11" s="1137" t="s">
        <v>391</v>
      </c>
      <c r="C11" s="1106" t="s">
        <v>1296</v>
      </c>
      <c r="D11" s="1106"/>
      <c r="E11" s="1107"/>
      <c r="F11" s="1107"/>
      <c r="G11" s="1146"/>
      <c r="H11" s="1107" t="s">
        <v>1233</v>
      </c>
      <c r="I11" s="278">
        <v>450000</v>
      </c>
      <c r="J11" s="278">
        <v>450000</v>
      </c>
      <c r="K11" s="278">
        <f>+[5]TSÚ!$D$13</f>
        <v>450000</v>
      </c>
      <c r="L11" s="369">
        <f t="shared" ref="L11:L74" si="0">+K11-J11</f>
        <v>0</v>
      </c>
      <c r="M11" s="1108"/>
      <c r="N11" s="1108"/>
      <c r="O11" s="278"/>
      <c r="P11" s="88"/>
      <c r="Q11" s="927"/>
    </row>
    <row r="12" spans="1:17" s="1724" customFormat="1" ht="15.75" outlineLevel="1" x14ac:dyDescent="0.25">
      <c r="A12" s="1129"/>
      <c r="B12" s="1137" t="s">
        <v>391</v>
      </c>
      <c r="C12" s="1106" t="s">
        <v>822</v>
      </c>
      <c r="D12" s="1106"/>
      <c r="E12" s="1107"/>
      <c r="F12" s="1107"/>
      <c r="G12" s="1146"/>
      <c r="H12" s="1107" t="s">
        <v>1233</v>
      </c>
      <c r="I12" s="278">
        <v>840000</v>
      </c>
      <c r="J12" s="278">
        <v>840000</v>
      </c>
      <c r="K12" s="278">
        <f>+[5]TSÚ!$D$14</f>
        <v>840000</v>
      </c>
      <c r="L12" s="369">
        <f t="shared" si="0"/>
        <v>0</v>
      </c>
      <c r="M12" s="1108"/>
      <c r="N12" s="1108"/>
      <c r="O12" s="278"/>
      <c r="P12" s="88"/>
      <c r="Q12" s="927"/>
    </row>
    <row r="13" spans="1:17" s="1724" customFormat="1" ht="15.75" outlineLevel="1" x14ac:dyDescent="0.25">
      <c r="A13" s="1129"/>
      <c r="B13" s="1137" t="s">
        <v>391</v>
      </c>
      <c r="C13" s="1106" t="s">
        <v>1346</v>
      </c>
      <c r="D13" s="1106"/>
      <c r="E13" s="1107"/>
      <c r="F13" s="1107"/>
      <c r="G13" s="1146"/>
      <c r="H13" s="1107" t="s">
        <v>1233</v>
      </c>
      <c r="I13" s="278">
        <v>250000</v>
      </c>
      <c r="J13" s="278">
        <v>250000</v>
      </c>
      <c r="K13" s="278">
        <f>+[5]TSÚ!$D$15</f>
        <v>250000</v>
      </c>
      <c r="L13" s="369">
        <f t="shared" si="0"/>
        <v>0</v>
      </c>
      <c r="M13" s="1108"/>
      <c r="N13" s="1108"/>
      <c r="O13" s="278"/>
      <c r="P13" s="88"/>
      <c r="Q13" s="927"/>
    </row>
    <row r="14" spans="1:17" s="1724" customFormat="1" ht="15.75" outlineLevel="1" x14ac:dyDescent="0.25">
      <c r="A14" s="1129"/>
      <c r="B14" s="1137" t="s">
        <v>391</v>
      </c>
      <c r="C14" s="1106" t="s">
        <v>1209</v>
      </c>
      <c r="D14" s="1106"/>
      <c r="E14" s="1107"/>
      <c r="F14" s="1107"/>
      <c r="G14" s="1146"/>
      <c r="H14" s="1107" t="s">
        <v>1233</v>
      </c>
      <c r="I14" s="278">
        <v>300000</v>
      </c>
      <c r="J14" s="278">
        <v>300000</v>
      </c>
      <c r="K14" s="278">
        <f>+[5]TSÚ!$D$16</f>
        <v>300000</v>
      </c>
      <c r="L14" s="369">
        <f t="shared" si="0"/>
        <v>0</v>
      </c>
      <c r="M14" s="1108"/>
      <c r="N14" s="1108"/>
      <c r="O14" s="278"/>
      <c r="P14" s="88"/>
      <c r="Q14" s="927"/>
    </row>
    <row r="15" spans="1:17" s="1724" customFormat="1" ht="16.5" outlineLevel="1" thickBot="1" x14ac:dyDescent="0.3">
      <c r="A15" s="1130"/>
      <c r="B15" s="1138" t="s">
        <v>391</v>
      </c>
      <c r="C15" s="1070" t="s">
        <v>1210</v>
      </c>
      <c r="D15" s="1070"/>
      <c r="E15" s="1079"/>
      <c r="F15" s="1079"/>
      <c r="G15" s="1147"/>
      <c r="H15" s="1079" t="s">
        <v>1233</v>
      </c>
      <c r="I15" s="1099">
        <v>850000</v>
      </c>
      <c r="J15" s="1099">
        <v>850000</v>
      </c>
      <c r="K15" s="1099">
        <f>+[5]TSÚ!$D$17</f>
        <v>850000</v>
      </c>
      <c r="L15" s="1100">
        <f t="shared" si="0"/>
        <v>0</v>
      </c>
      <c r="M15" s="1088"/>
      <c r="N15" s="1088"/>
      <c r="O15" s="1099"/>
      <c r="P15" s="88"/>
      <c r="Q15" s="927"/>
    </row>
    <row r="16" spans="1:17" s="1724" customFormat="1" ht="16.5" thickBot="1" x14ac:dyDescent="0.3">
      <c r="A16" s="1961" t="s">
        <v>1215</v>
      </c>
      <c r="B16" s="1962"/>
      <c r="C16" s="1071"/>
      <c r="D16" s="1071"/>
      <c r="E16" s="1082"/>
      <c r="F16" s="1082"/>
      <c r="G16" s="1148"/>
      <c r="H16" s="1082"/>
      <c r="I16" s="308">
        <v>3640000</v>
      </c>
      <c r="J16" s="308">
        <v>3640000</v>
      </c>
      <c r="K16" s="308">
        <f t="shared" ref="K16" si="1">SUM(K10:K15)</f>
        <v>3640000</v>
      </c>
      <c r="L16" s="1101">
        <f t="shared" si="0"/>
        <v>0</v>
      </c>
      <c r="M16" s="1089"/>
      <c r="N16" s="1089"/>
      <c r="O16" s="1167"/>
      <c r="P16" s="1358">
        <f>'Sumář  výdaje kapitol'!Q73</f>
        <v>3640000</v>
      </c>
      <c r="Q16" s="1910">
        <f>+P16-K16</f>
        <v>0</v>
      </c>
    </row>
    <row r="17" spans="1:17" s="1724" customFormat="1" ht="15.75" outlineLevel="1" x14ac:dyDescent="0.25">
      <c r="A17" s="1131"/>
      <c r="B17" s="1137" t="s">
        <v>211</v>
      </c>
      <c r="C17" s="1106" t="s">
        <v>176</v>
      </c>
      <c r="D17" s="1106"/>
      <c r="E17" s="1107"/>
      <c r="F17" s="1107"/>
      <c r="G17" s="1146"/>
      <c r="H17" s="1107" t="s">
        <v>1233</v>
      </c>
      <c r="I17" s="278">
        <v>0</v>
      </c>
      <c r="J17" s="278">
        <v>0</v>
      </c>
      <c r="K17" s="278">
        <f>'[3]Městská policie'!$B$175</f>
        <v>0</v>
      </c>
      <c r="L17" s="369">
        <f t="shared" si="0"/>
        <v>0</v>
      </c>
      <c r="M17" s="1108"/>
      <c r="N17" s="1108"/>
      <c r="O17" s="278"/>
      <c r="P17" s="88"/>
      <c r="Q17" s="927"/>
    </row>
    <row r="18" spans="1:17" s="1724" customFormat="1" ht="15.75" outlineLevel="1" x14ac:dyDescent="0.25">
      <c r="A18" s="1132"/>
      <c r="B18" s="1137" t="s">
        <v>211</v>
      </c>
      <c r="C18" s="1106" t="s">
        <v>1392</v>
      </c>
      <c r="D18" s="1106"/>
      <c r="E18" s="1107"/>
      <c r="F18" s="1107"/>
      <c r="G18" s="1146"/>
      <c r="H18" s="1107"/>
      <c r="I18" s="278">
        <v>85000</v>
      </c>
      <c r="J18" s="278">
        <v>85000</v>
      </c>
      <c r="K18" s="278">
        <f>'[3]Městská policie'!$B$168</f>
        <v>85000</v>
      </c>
      <c r="L18" s="369">
        <f t="shared" si="0"/>
        <v>0</v>
      </c>
      <c r="M18" s="1108"/>
      <c r="N18" s="1108"/>
      <c r="O18" s="278"/>
      <c r="P18" s="88"/>
      <c r="Q18" s="927"/>
    </row>
    <row r="19" spans="1:17" s="1724" customFormat="1" ht="32.25" outlineLevel="1" thickBot="1" x14ac:dyDescent="0.3">
      <c r="A19" s="1144"/>
      <c r="B19" s="1848" t="s">
        <v>211</v>
      </c>
      <c r="C19" s="1849" t="s">
        <v>1379</v>
      </c>
      <c r="D19" s="1849"/>
      <c r="E19" s="1850"/>
      <c r="F19" s="1850"/>
      <c r="G19" s="1851"/>
      <c r="H19" s="1860" t="s">
        <v>1629</v>
      </c>
      <c r="I19" s="1852">
        <v>822800</v>
      </c>
      <c r="J19" s="1852">
        <v>822800</v>
      </c>
      <c r="K19" s="1852">
        <f>'[3]Městská policie'!$B$182</f>
        <v>822800</v>
      </c>
      <c r="L19" s="1853">
        <f t="shared" si="0"/>
        <v>0</v>
      </c>
      <c r="M19" s="1108"/>
      <c r="N19" s="1108"/>
      <c r="O19" s="278"/>
      <c r="P19" s="88"/>
      <c r="Q19" s="927"/>
    </row>
    <row r="20" spans="1:17" s="1725" customFormat="1" ht="16.5" thickBot="1" x14ac:dyDescent="0.3">
      <c r="A20" s="1733" t="s">
        <v>308</v>
      </c>
      <c r="B20" s="1139" t="s">
        <v>211</v>
      </c>
      <c r="C20" s="1071" t="s">
        <v>176</v>
      </c>
      <c r="D20" s="1071"/>
      <c r="E20" s="1082"/>
      <c r="F20" s="1082"/>
      <c r="G20" s="1148"/>
      <c r="H20" s="1082"/>
      <c r="I20" s="308">
        <v>907800</v>
      </c>
      <c r="J20" s="308">
        <v>907800</v>
      </c>
      <c r="K20" s="308">
        <f>SUM(K17:K19)</f>
        <v>907800</v>
      </c>
      <c r="L20" s="1101">
        <f t="shared" si="0"/>
        <v>0</v>
      </c>
      <c r="M20" s="1089"/>
      <c r="N20" s="1089"/>
      <c r="O20" s="1167"/>
      <c r="P20" s="595">
        <f>'Sumář  výdaje kapitol'!T73</f>
        <v>907800</v>
      </c>
      <c r="Q20" s="929">
        <f>+P20-K20</f>
        <v>0</v>
      </c>
    </row>
    <row r="21" spans="1:17" s="1724" customFormat="1" ht="15.75" outlineLevel="1" x14ac:dyDescent="0.25">
      <c r="A21" s="1131"/>
      <c r="B21" s="1137" t="s">
        <v>623</v>
      </c>
      <c r="C21" s="1106" t="s">
        <v>176</v>
      </c>
      <c r="D21" s="1106"/>
      <c r="E21" s="1107"/>
      <c r="F21" s="1107"/>
      <c r="G21" s="1146"/>
      <c r="H21" s="1107" t="s">
        <v>1233</v>
      </c>
      <c r="I21" s="278">
        <v>350000</v>
      </c>
      <c r="J21" s="278">
        <v>350000</v>
      </c>
      <c r="K21" s="278">
        <f>[3]Správa!$B$160</f>
        <v>0</v>
      </c>
      <c r="L21" s="369">
        <f t="shared" si="0"/>
        <v>-350000</v>
      </c>
      <c r="M21" s="1108"/>
      <c r="N21" s="1108"/>
      <c r="O21" s="278"/>
      <c r="P21" s="88"/>
      <c r="Q21" s="927"/>
    </row>
    <row r="22" spans="1:17" s="1724" customFormat="1" ht="15.75" outlineLevel="1" x14ac:dyDescent="0.25">
      <c r="A22" s="1132"/>
      <c r="B22" s="1137" t="s">
        <v>623</v>
      </c>
      <c r="C22" s="1106" t="s">
        <v>341</v>
      </c>
      <c r="D22" s="1106"/>
      <c r="E22" s="1107"/>
      <c r="F22" s="1107"/>
      <c r="G22" s="1146"/>
      <c r="H22" s="1107" t="s">
        <v>1233</v>
      </c>
      <c r="I22" s="278">
        <v>0</v>
      </c>
      <c r="J22" s="278">
        <v>0</v>
      </c>
      <c r="K22" s="278">
        <f>[3]Správa!$B$146</f>
        <v>0</v>
      </c>
      <c r="L22" s="369">
        <f t="shared" si="0"/>
        <v>0</v>
      </c>
      <c r="M22" s="1108"/>
      <c r="N22" s="1108"/>
      <c r="O22" s="278"/>
      <c r="P22" s="88"/>
      <c r="Q22" s="927"/>
    </row>
    <row r="23" spans="1:17" s="1724" customFormat="1" ht="32.25" outlineLevel="1" thickBot="1" x14ac:dyDescent="0.3">
      <c r="A23" s="1133"/>
      <c r="B23" s="1854" t="s">
        <v>623</v>
      </c>
      <c r="C23" s="1855" t="s">
        <v>1214</v>
      </c>
      <c r="D23" s="1855"/>
      <c r="E23" s="1856"/>
      <c r="F23" s="1856"/>
      <c r="G23" s="1857"/>
      <c r="H23" s="1860" t="s">
        <v>1629</v>
      </c>
      <c r="I23" s="1858">
        <v>11248745</v>
      </c>
      <c r="J23" s="1858">
        <v>11248745</v>
      </c>
      <c r="K23" s="1858">
        <f>[3]Správa!$B$167</f>
        <v>11248745</v>
      </c>
      <c r="L23" s="1859">
        <f t="shared" si="0"/>
        <v>0</v>
      </c>
      <c r="M23" s="1088"/>
      <c r="N23" s="1088"/>
      <c r="O23" s="1099"/>
      <c r="P23" s="88"/>
      <c r="Q23" s="927"/>
    </row>
    <row r="24" spans="1:17" s="1724" customFormat="1" ht="16.5" thickBot="1" x14ac:dyDescent="0.3">
      <c r="A24" s="1134">
        <v>6171</v>
      </c>
      <c r="B24" s="1140" t="s">
        <v>623</v>
      </c>
      <c r="C24" s="1072"/>
      <c r="D24" s="1072"/>
      <c r="E24" s="1083"/>
      <c r="F24" s="1083"/>
      <c r="G24" s="1149"/>
      <c r="H24" s="1083"/>
      <c r="I24" s="290">
        <v>11598745</v>
      </c>
      <c r="J24" s="290">
        <v>11598745</v>
      </c>
      <c r="K24" s="290">
        <f t="shared" ref="K24" si="2">SUM(K21:K23)</f>
        <v>11248745</v>
      </c>
      <c r="L24" s="1102">
        <f t="shared" si="0"/>
        <v>-350000</v>
      </c>
      <c r="M24" s="1090"/>
      <c r="N24" s="1090"/>
      <c r="O24" s="300"/>
      <c r="P24" s="1358">
        <f>'Sumář  výdaje kapitol'!N73</f>
        <v>11248745</v>
      </c>
      <c r="Q24" s="1910">
        <f>+P24-K24</f>
        <v>0</v>
      </c>
    </row>
    <row r="25" spans="1:17" s="1724" customFormat="1" ht="15.75" outlineLevel="1" x14ac:dyDescent="0.25">
      <c r="A25" s="1132"/>
      <c r="B25" s="1137" t="s">
        <v>294</v>
      </c>
      <c r="C25" s="1106" t="s">
        <v>174</v>
      </c>
      <c r="D25" s="1106"/>
      <c r="E25" s="1107"/>
      <c r="F25" s="1107"/>
      <c r="G25" s="1146"/>
      <c r="H25" s="1107" t="s">
        <v>1233</v>
      </c>
      <c r="I25" s="278">
        <v>0</v>
      </c>
      <c r="J25" s="278">
        <v>0</v>
      </c>
      <c r="K25" s="278">
        <f>[5]Knihovna!$B$9</f>
        <v>0</v>
      </c>
      <c r="L25" s="369">
        <f t="shared" si="0"/>
        <v>0</v>
      </c>
      <c r="M25" s="1108"/>
      <c r="N25" s="1108"/>
      <c r="O25" s="278"/>
      <c r="P25" s="88"/>
      <c r="Q25" s="927"/>
    </row>
    <row r="26" spans="1:17" s="1724" customFormat="1" ht="16.5" outlineLevel="1" thickBot="1" x14ac:dyDescent="0.3">
      <c r="A26" s="1132"/>
      <c r="B26" s="1138" t="s">
        <v>294</v>
      </c>
      <c r="C26" s="1070" t="s">
        <v>1195</v>
      </c>
      <c r="D26" s="1070"/>
      <c r="E26" s="1079"/>
      <c r="F26" s="1079"/>
      <c r="G26" s="1147"/>
      <c r="H26" s="1079" t="s">
        <v>1233</v>
      </c>
      <c r="I26" s="1099">
        <v>0</v>
      </c>
      <c r="J26" s="1099">
        <v>0</v>
      </c>
      <c r="K26" s="1099">
        <f>[5]Knihovna!$B$20</f>
        <v>0</v>
      </c>
      <c r="L26" s="1100">
        <f t="shared" si="0"/>
        <v>0</v>
      </c>
      <c r="M26" s="1088"/>
      <c r="N26" s="1088"/>
      <c r="O26" s="1099"/>
      <c r="P26" s="88"/>
      <c r="Q26" s="927"/>
    </row>
    <row r="27" spans="1:17" s="1725" customFormat="1" ht="13.5" thickBot="1" x14ac:dyDescent="0.25">
      <c r="A27" s="1733">
        <v>3314</v>
      </c>
      <c r="B27" s="1139" t="s">
        <v>294</v>
      </c>
      <c r="C27" s="1073" t="s">
        <v>174</v>
      </c>
      <c r="D27" s="1073"/>
      <c r="E27" s="1084"/>
      <c r="F27" s="1084"/>
      <c r="G27" s="1150"/>
      <c r="H27" s="1084"/>
      <c r="I27" s="1067">
        <v>0</v>
      </c>
      <c r="J27" s="1067">
        <v>0</v>
      </c>
      <c r="K27" s="1067">
        <f t="shared" ref="K27" si="3">SUM(K25:K26)</f>
        <v>0</v>
      </c>
      <c r="L27" s="1101">
        <f t="shared" si="0"/>
        <v>0</v>
      </c>
      <c r="M27" s="1089"/>
      <c r="N27" s="1089"/>
      <c r="O27" s="1167"/>
      <c r="P27" s="595">
        <f>'Sumář  výdaje kapitol'!V73</f>
        <v>0</v>
      </c>
      <c r="Q27" s="929">
        <f>+P27-K27</f>
        <v>0</v>
      </c>
    </row>
    <row r="28" spans="1:17" s="1725" customFormat="1" outlineLevel="1" x14ac:dyDescent="0.2">
      <c r="A28" s="1064"/>
      <c r="B28" s="1141" t="s">
        <v>216</v>
      </c>
      <c r="C28" s="1113" t="s">
        <v>826</v>
      </c>
      <c r="D28" s="1113"/>
      <c r="E28" s="1114"/>
      <c r="F28" s="1114"/>
      <c r="G28" s="1127"/>
      <c r="H28" s="1114" t="s">
        <v>1233</v>
      </c>
      <c r="I28" s="278">
        <v>0</v>
      </c>
      <c r="J28" s="278">
        <v>0</v>
      </c>
      <c r="K28" s="278">
        <f>[5]Byty!$B$8</f>
        <v>0</v>
      </c>
      <c r="L28" s="369">
        <f t="shared" si="0"/>
        <v>0</v>
      </c>
      <c r="M28" s="1108"/>
      <c r="N28" s="1108"/>
      <c r="O28" s="278"/>
      <c r="P28" s="216"/>
      <c r="Q28" s="930"/>
    </row>
    <row r="29" spans="1:17" s="1726" customFormat="1" outlineLevel="1" x14ac:dyDescent="0.2">
      <c r="A29" s="1340"/>
      <c r="B29" s="1341" t="s">
        <v>216</v>
      </c>
      <c r="C29" s="1342" t="s">
        <v>1382</v>
      </c>
      <c r="D29" s="1342"/>
      <c r="E29" s="1343"/>
      <c r="F29" s="1343"/>
      <c r="G29" s="1344"/>
      <c r="H29" s="1343" t="s">
        <v>1233</v>
      </c>
      <c r="I29" s="369">
        <v>150000</v>
      </c>
      <c r="J29" s="369">
        <v>150000</v>
      </c>
      <c r="K29" s="369">
        <f>[5]Byty!$B$9</f>
        <v>150000</v>
      </c>
      <c r="L29" s="369">
        <f t="shared" si="0"/>
        <v>0</v>
      </c>
      <c r="M29" s="1345"/>
      <c r="N29" s="1345"/>
      <c r="O29" s="369"/>
      <c r="P29" s="930"/>
      <c r="Q29" s="930"/>
    </row>
    <row r="30" spans="1:17" s="1726" customFormat="1" outlineLevel="1" x14ac:dyDescent="0.2">
      <c r="A30" s="1340"/>
      <c r="B30" s="1341" t="s">
        <v>216</v>
      </c>
      <c r="C30" s="1342" t="s">
        <v>827</v>
      </c>
      <c r="D30" s="1342"/>
      <c r="E30" s="1343"/>
      <c r="F30" s="1343"/>
      <c r="G30" s="1344"/>
      <c r="H30" s="1343"/>
      <c r="I30" s="369"/>
      <c r="J30" s="369"/>
      <c r="K30" s="369"/>
      <c r="L30" s="369">
        <f t="shared" si="0"/>
        <v>0</v>
      </c>
      <c r="M30" s="1345"/>
      <c r="N30" s="1345"/>
      <c r="O30" s="369"/>
      <c r="P30" s="930"/>
      <c r="Q30" s="930"/>
    </row>
    <row r="31" spans="1:17" s="1726" customFormat="1" outlineLevel="1" x14ac:dyDescent="0.2">
      <c r="A31" s="1340"/>
      <c r="B31" s="1341" t="s">
        <v>216</v>
      </c>
      <c r="C31" s="1342" t="s">
        <v>868</v>
      </c>
      <c r="D31" s="1342"/>
      <c r="E31" s="1343"/>
      <c r="F31" s="1343"/>
      <c r="G31" s="1344"/>
      <c r="H31" s="1343"/>
      <c r="I31" s="369"/>
      <c r="J31" s="369"/>
      <c r="K31" s="369"/>
      <c r="L31" s="369">
        <f t="shared" si="0"/>
        <v>0</v>
      </c>
      <c r="M31" s="1345"/>
      <c r="N31" s="1345"/>
      <c r="O31" s="369"/>
      <c r="P31" s="930"/>
      <c r="Q31" s="930"/>
    </row>
    <row r="32" spans="1:17" s="1725" customFormat="1" outlineLevel="1" x14ac:dyDescent="0.2">
      <c r="A32" s="1064"/>
      <c r="B32" s="1137" t="s">
        <v>216</v>
      </c>
      <c r="C32" s="1113" t="s">
        <v>828</v>
      </c>
      <c r="D32" s="1113"/>
      <c r="E32" s="1114"/>
      <c r="F32" s="1114"/>
      <c r="G32" s="1127"/>
      <c r="H32" s="1114" t="s">
        <v>1233</v>
      </c>
      <c r="I32" s="278">
        <v>0</v>
      </c>
      <c r="J32" s="278">
        <v>0</v>
      </c>
      <c r="K32" s="278">
        <f>[5]Byty!$B$26</f>
        <v>0</v>
      </c>
      <c r="L32" s="369">
        <f t="shared" si="0"/>
        <v>0</v>
      </c>
      <c r="M32" s="1108"/>
      <c r="N32" s="1108"/>
      <c r="O32" s="278"/>
      <c r="P32" s="216"/>
      <c r="Q32" s="930"/>
    </row>
    <row r="33" spans="1:17" s="1726" customFormat="1" outlineLevel="1" x14ac:dyDescent="0.2">
      <c r="A33" s="1340"/>
      <c r="B33" s="1341" t="s">
        <v>216</v>
      </c>
      <c r="C33" s="1342" t="s">
        <v>1383</v>
      </c>
      <c r="D33" s="1342"/>
      <c r="E33" s="1343"/>
      <c r="F33" s="1343"/>
      <c r="G33" s="1344"/>
      <c r="H33" s="1343" t="s">
        <v>1233</v>
      </c>
      <c r="I33" s="369">
        <v>0</v>
      </c>
      <c r="J33" s="369">
        <v>0</v>
      </c>
      <c r="K33" s="369">
        <f>[5]Byty!$B$27</f>
        <v>0</v>
      </c>
      <c r="L33" s="369">
        <f t="shared" si="0"/>
        <v>0</v>
      </c>
      <c r="M33" s="1345"/>
      <c r="N33" s="1345"/>
      <c r="O33" s="369"/>
      <c r="P33" s="930"/>
      <c r="Q33" s="930"/>
    </row>
    <row r="34" spans="1:17" s="1725" customFormat="1" outlineLevel="1" x14ac:dyDescent="0.2">
      <c r="A34" s="1064"/>
      <c r="B34" s="1137" t="s">
        <v>216</v>
      </c>
      <c r="C34" s="1113" t="s">
        <v>829</v>
      </c>
      <c r="D34" s="1113"/>
      <c r="E34" s="1114"/>
      <c r="F34" s="1114"/>
      <c r="G34" s="1127"/>
      <c r="H34" s="1114" t="s">
        <v>1233</v>
      </c>
      <c r="I34" s="278">
        <v>0</v>
      </c>
      <c r="J34" s="278">
        <v>0</v>
      </c>
      <c r="K34" s="278">
        <f>[5]Byty!$B$44</f>
        <v>0</v>
      </c>
      <c r="L34" s="369">
        <f t="shared" si="0"/>
        <v>0</v>
      </c>
      <c r="M34" s="1108"/>
      <c r="N34" s="1108"/>
      <c r="O34" s="278"/>
      <c r="P34" s="216"/>
      <c r="Q34" s="930"/>
    </row>
    <row r="35" spans="1:17" s="1726" customFormat="1" outlineLevel="1" x14ac:dyDescent="0.2">
      <c r="A35" s="1340"/>
      <c r="B35" s="1341" t="s">
        <v>216</v>
      </c>
      <c r="C35" s="1342" t="s">
        <v>1387</v>
      </c>
      <c r="D35" s="1342"/>
      <c r="E35" s="1343"/>
      <c r="F35" s="1343"/>
      <c r="G35" s="1344"/>
      <c r="H35" s="1343" t="s">
        <v>1233</v>
      </c>
      <c r="I35" s="369">
        <v>0</v>
      </c>
      <c r="J35" s="369">
        <v>0</v>
      </c>
      <c r="K35" s="369">
        <f>[5]Byty!$B$45</f>
        <v>0</v>
      </c>
      <c r="L35" s="369">
        <f t="shared" si="0"/>
        <v>0</v>
      </c>
      <c r="M35" s="1345"/>
      <c r="N35" s="1345"/>
      <c r="O35" s="369"/>
      <c r="P35" s="930"/>
      <c r="Q35" s="930"/>
    </row>
    <row r="36" spans="1:17" s="1725" customFormat="1" outlineLevel="1" x14ac:dyDescent="0.2">
      <c r="A36" s="1064"/>
      <c r="B36" s="1137" t="s">
        <v>216</v>
      </c>
      <c r="C36" s="1113" t="s">
        <v>830</v>
      </c>
      <c r="D36" s="1113"/>
      <c r="E36" s="1114"/>
      <c r="F36" s="1114"/>
      <c r="G36" s="1127"/>
      <c r="H36" s="1114" t="s">
        <v>1233</v>
      </c>
      <c r="I36" s="278">
        <v>0</v>
      </c>
      <c r="J36" s="278">
        <v>0</v>
      </c>
      <c r="K36" s="278">
        <f>[5]Byty!$B$62</f>
        <v>0</v>
      </c>
      <c r="L36" s="369">
        <f t="shared" si="0"/>
        <v>0</v>
      </c>
      <c r="M36" s="1108"/>
      <c r="N36" s="1108"/>
      <c r="O36" s="278"/>
      <c r="P36" s="216"/>
      <c r="Q36" s="930"/>
    </row>
    <row r="37" spans="1:17" s="1726" customFormat="1" outlineLevel="1" x14ac:dyDescent="0.2">
      <c r="A37" s="1340"/>
      <c r="B37" s="1341" t="s">
        <v>216</v>
      </c>
      <c r="C37" s="1342" t="s">
        <v>1386</v>
      </c>
      <c r="D37" s="1342"/>
      <c r="E37" s="1343"/>
      <c r="F37" s="1343"/>
      <c r="G37" s="1344"/>
      <c r="H37" s="1343" t="s">
        <v>1233</v>
      </c>
      <c r="I37" s="369">
        <v>0</v>
      </c>
      <c r="J37" s="369">
        <v>0</v>
      </c>
      <c r="K37" s="369">
        <f>[5]Byty!$B$63</f>
        <v>0</v>
      </c>
      <c r="L37" s="369">
        <f t="shared" si="0"/>
        <v>0</v>
      </c>
      <c r="M37" s="1345"/>
      <c r="N37" s="1345"/>
      <c r="O37" s="369"/>
      <c r="P37" s="930"/>
      <c r="Q37" s="930"/>
    </row>
    <row r="38" spans="1:17" s="1725" customFormat="1" outlineLevel="1" x14ac:dyDescent="0.2">
      <c r="A38" s="1064"/>
      <c r="B38" s="1137" t="s">
        <v>216</v>
      </c>
      <c r="C38" s="1113" t="s">
        <v>831</v>
      </c>
      <c r="D38" s="1113"/>
      <c r="E38" s="1114"/>
      <c r="F38" s="1114"/>
      <c r="G38" s="1127"/>
      <c r="H38" s="1114" t="s">
        <v>1233</v>
      </c>
      <c r="I38" s="278">
        <v>0</v>
      </c>
      <c r="J38" s="278">
        <v>0</v>
      </c>
      <c r="K38" s="278">
        <f>[5]Byty!$B$79</f>
        <v>0</v>
      </c>
      <c r="L38" s="369">
        <f t="shared" si="0"/>
        <v>0</v>
      </c>
      <c r="M38" s="1108"/>
      <c r="N38" s="1108"/>
      <c r="O38" s="278"/>
      <c r="P38" s="216"/>
      <c r="Q38" s="930"/>
    </row>
    <row r="39" spans="1:17" s="1726" customFormat="1" outlineLevel="1" x14ac:dyDescent="0.2">
      <c r="A39" s="1340"/>
      <c r="B39" s="1352" t="s">
        <v>216</v>
      </c>
      <c r="C39" s="1353" t="s">
        <v>1385</v>
      </c>
      <c r="D39" s="1353"/>
      <c r="E39" s="1354"/>
      <c r="F39" s="1354"/>
      <c r="G39" s="1355"/>
      <c r="H39" s="1354" t="s">
        <v>1233</v>
      </c>
      <c r="I39" s="370">
        <v>0</v>
      </c>
      <c r="J39" s="370">
        <v>0</v>
      </c>
      <c r="K39" s="370">
        <f>[5]Byty!$B$80</f>
        <v>0</v>
      </c>
      <c r="L39" s="370">
        <f t="shared" si="0"/>
        <v>0</v>
      </c>
      <c r="M39" s="1356"/>
      <c r="N39" s="1356"/>
      <c r="O39" s="370"/>
      <c r="P39" s="930"/>
      <c r="Q39" s="930"/>
    </row>
    <row r="40" spans="1:17" s="1725" customFormat="1" outlineLevel="1" x14ac:dyDescent="0.2">
      <c r="A40" s="1064"/>
      <c r="B40" s="1141" t="s">
        <v>216</v>
      </c>
      <c r="C40" s="1113" t="s">
        <v>832</v>
      </c>
      <c r="D40" s="1113"/>
      <c r="E40" s="1114"/>
      <c r="F40" s="1114"/>
      <c r="G40" s="1127"/>
      <c r="H40" s="1114" t="s">
        <v>1233</v>
      </c>
      <c r="I40" s="278">
        <v>0</v>
      </c>
      <c r="J40" s="278">
        <v>0</v>
      </c>
      <c r="K40" s="278">
        <f>[5]Byty!$B$96</f>
        <v>0</v>
      </c>
      <c r="L40" s="369">
        <f t="shared" si="0"/>
        <v>0</v>
      </c>
      <c r="M40" s="1108"/>
      <c r="N40" s="1108"/>
      <c r="O40" s="278"/>
      <c r="P40" s="216"/>
      <c r="Q40" s="930"/>
    </row>
    <row r="41" spans="1:17" s="1725" customFormat="1" outlineLevel="1" x14ac:dyDescent="0.2">
      <c r="A41" s="1064"/>
      <c r="B41" s="1141" t="s">
        <v>216</v>
      </c>
      <c r="C41" s="1116" t="s">
        <v>1395</v>
      </c>
      <c r="D41" s="1116"/>
      <c r="E41" s="1117"/>
      <c r="F41" s="1117"/>
      <c r="G41" s="1126"/>
      <c r="H41" s="1114" t="s">
        <v>1233</v>
      </c>
      <c r="I41" s="211">
        <v>800000</v>
      </c>
      <c r="J41" s="211">
        <v>800000</v>
      </c>
      <c r="K41" s="211">
        <f>[5]Byty!$B$113</f>
        <v>800000</v>
      </c>
      <c r="L41" s="370">
        <f t="shared" si="0"/>
        <v>0</v>
      </c>
      <c r="M41" s="1118"/>
      <c r="N41" s="1118"/>
      <c r="O41" s="211"/>
      <c r="P41" s="216"/>
      <c r="Q41" s="930"/>
    </row>
    <row r="42" spans="1:17" s="1726" customFormat="1" ht="13.5" outlineLevel="1" thickBot="1" x14ac:dyDescent="0.25">
      <c r="A42" s="1346"/>
      <c r="B42" s="1347" t="s">
        <v>216</v>
      </c>
      <c r="C42" s="1348" t="s">
        <v>1384</v>
      </c>
      <c r="D42" s="1348"/>
      <c r="E42" s="1349"/>
      <c r="F42" s="1349"/>
      <c r="G42" s="1350"/>
      <c r="H42" s="1349" t="s">
        <v>1233</v>
      </c>
      <c r="I42" s="1100">
        <v>0</v>
      </c>
      <c r="J42" s="1100">
        <v>0</v>
      </c>
      <c r="K42" s="1100">
        <f>[5]Byty!$B$97</f>
        <v>0</v>
      </c>
      <c r="L42" s="1100">
        <f t="shared" si="0"/>
        <v>0</v>
      </c>
      <c r="M42" s="1351"/>
      <c r="N42" s="1351"/>
      <c r="O42" s="1100"/>
      <c r="P42" s="930"/>
      <c r="Q42" s="930"/>
    </row>
    <row r="43" spans="1:17" s="1725" customFormat="1" ht="13.5" thickBot="1" x14ac:dyDescent="0.25">
      <c r="A43" s="1733" t="s">
        <v>1216</v>
      </c>
      <c r="B43" s="1140"/>
      <c r="C43" s="1075"/>
      <c r="D43" s="1075"/>
      <c r="E43" s="1086"/>
      <c r="F43" s="1086"/>
      <c r="G43" s="1152"/>
      <c r="H43" s="1086"/>
      <c r="I43" s="1068">
        <v>950000</v>
      </c>
      <c r="J43" s="1068">
        <v>950000</v>
      </c>
      <c r="K43" s="1068">
        <f t="shared" ref="K43" si="4">SUM(K28:K42)</f>
        <v>950000</v>
      </c>
      <c r="L43" s="1102">
        <f t="shared" si="0"/>
        <v>0</v>
      </c>
      <c r="M43" s="1090"/>
      <c r="N43" s="1090"/>
      <c r="O43" s="300"/>
      <c r="P43" s="595">
        <f>'Sumář  výdaje kapitol'!Y73</f>
        <v>950000</v>
      </c>
      <c r="Q43" s="929">
        <f>+P43-K43</f>
        <v>0</v>
      </c>
    </row>
    <row r="44" spans="1:17" s="1725" customFormat="1" outlineLevel="1" x14ac:dyDescent="0.2">
      <c r="A44" s="1064"/>
      <c r="B44" s="1137" t="s">
        <v>218</v>
      </c>
      <c r="C44" s="1113" t="s">
        <v>1197</v>
      </c>
      <c r="D44" s="1113"/>
      <c r="E44" s="1114"/>
      <c r="F44" s="1114"/>
      <c r="G44" s="1127"/>
      <c r="H44" s="1114" t="s">
        <v>1233</v>
      </c>
      <c r="I44" s="278">
        <v>17900</v>
      </c>
      <c r="J44" s="278">
        <v>17900</v>
      </c>
      <c r="K44" s="278">
        <f>[5]Nebyty!$B$9+[5]Nebyty!$B$8</f>
        <v>17900</v>
      </c>
      <c r="L44" s="369">
        <f t="shared" si="0"/>
        <v>0</v>
      </c>
      <c r="M44" s="1108"/>
      <c r="N44" s="1108"/>
      <c r="O44" s="278"/>
      <c r="P44" s="216"/>
      <c r="Q44" s="930"/>
    </row>
    <row r="45" spans="1:17" s="1725" customFormat="1" ht="15" customHeight="1" outlineLevel="1" x14ac:dyDescent="0.2">
      <c r="A45" s="1064"/>
      <c r="B45" s="1137" t="s">
        <v>218</v>
      </c>
      <c r="C45" s="1115" t="s">
        <v>1196</v>
      </c>
      <c r="D45" s="1115"/>
      <c r="E45" s="1114"/>
      <c r="F45" s="1114"/>
      <c r="G45" s="1127"/>
      <c r="H45" s="1114" t="s">
        <v>1233</v>
      </c>
      <c r="I45" s="278">
        <v>0</v>
      </c>
      <c r="J45" s="278">
        <v>0</v>
      </c>
      <c r="K45" s="278">
        <f>[5]Nebyty!$B$26</f>
        <v>0</v>
      </c>
      <c r="L45" s="369">
        <f t="shared" si="0"/>
        <v>0</v>
      </c>
      <c r="M45" s="1108"/>
      <c r="N45" s="1108"/>
      <c r="O45" s="278"/>
      <c r="P45" s="216"/>
      <c r="Q45" s="930"/>
    </row>
    <row r="46" spans="1:17" s="1725" customFormat="1" ht="15" customHeight="1" outlineLevel="1" x14ac:dyDescent="0.2">
      <c r="A46" s="1064"/>
      <c r="B46" s="1196" t="s">
        <v>218</v>
      </c>
      <c r="C46" s="1197" t="s">
        <v>1643</v>
      </c>
      <c r="D46" s="1197"/>
      <c r="E46" s="1198"/>
      <c r="F46" s="1198">
        <v>42856</v>
      </c>
      <c r="G46" s="1199">
        <v>43008</v>
      </c>
      <c r="H46" s="1198" t="s">
        <v>1235</v>
      </c>
      <c r="I46" s="1200">
        <v>60000</v>
      </c>
      <c r="J46" s="1200">
        <v>60000</v>
      </c>
      <c r="K46" s="1200">
        <f>[5]Nebyty!$B$25</f>
        <v>60000</v>
      </c>
      <c r="L46" s="1201">
        <f t="shared" si="0"/>
        <v>0</v>
      </c>
      <c r="M46" s="1108"/>
      <c r="N46" s="1108"/>
      <c r="O46" s="278"/>
      <c r="P46" s="216"/>
      <c r="Q46" s="930"/>
    </row>
    <row r="47" spans="1:17" s="1725" customFormat="1" ht="15" customHeight="1" outlineLevel="1" x14ac:dyDescent="0.2">
      <c r="A47" s="1064"/>
      <c r="B47" s="1137" t="s">
        <v>218</v>
      </c>
      <c r="C47" s="1113" t="s">
        <v>1288</v>
      </c>
      <c r="D47" s="1115"/>
      <c r="E47" s="1114"/>
      <c r="F47" s="1114"/>
      <c r="G47" s="1127"/>
      <c r="H47" s="1114" t="s">
        <v>1233</v>
      </c>
      <c r="I47" s="278">
        <v>47000</v>
      </c>
      <c r="J47" s="278">
        <v>47000</v>
      </c>
      <c r="K47" s="278">
        <f>[5]Nebyty!$B$42</f>
        <v>47000</v>
      </c>
      <c r="L47" s="369">
        <f t="shared" si="0"/>
        <v>0</v>
      </c>
      <c r="M47" s="1108"/>
      <c r="N47" s="1108"/>
      <c r="O47" s="278"/>
      <c r="P47" s="216"/>
      <c r="Q47" s="930"/>
    </row>
    <row r="48" spans="1:17" s="1725" customFormat="1" ht="15" customHeight="1" outlineLevel="1" x14ac:dyDescent="0.2">
      <c r="A48" s="1064"/>
      <c r="B48" s="1196" t="s">
        <v>218</v>
      </c>
      <c r="C48" s="1197" t="s">
        <v>1289</v>
      </c>
      <c r="D48" s="1197"/>
      <c r="E48" s="1198"/>
      <c r="F48" s="1198"/>
      <c r="G48" s="1199"/>
      <c r="H48" s="1198" t="s">
        <v>872</v>
      </c>
      <c r="I48" s="1200">
        <v>5165009</v>
      </c>
      <c r="J48" s="1200">
        <v>7985640</v>
      </c>
      <c r="K48" s="1200">
        <f>[5]Nebyty!$B$41</f>
        <v>8420000</v>
      </c>
      <c r="L48" s="1201">
        <f t="shared" si="0"/>
        <v>434360</v>
      </c>
      <c r="M48" s="1108"/>
      <c r="N48" s="1108"/>
      <c r="O48" s="278"/>
      <c r="P48" s="216"/>
      <c r="Q48" s="930"/>
    </row>
    <row r="49" spans="1:17" s="1726" customFormat="1" ht="15" customHeight="1" outlineLevel="1" x14ac:dyDescent="0.2">
      <c r="A49" s="1340"/>
      <c r="B49" s="1341" t="s">
        <v>218</v>
      </c>
      <c r="C49" s="1357" t="s">
        <v>1198</v>
      </c>
      <c r="D49" s="1357"/>
      <c r="E49" s="1343"/>
      <c r="F49" s="1343"/>
      <c r="G49" s="1344"/>
      <c r="H49" s="1343" t="s">
        <v>1233</v>
      </c>
      <c r="I49" s="369"/>
      <c r="J49" s="369"/>
      <c r="K49" s="369"/>
      <c r="L49" s="369">
        <f t="shared" si="0"/>
        <v>0</v>
      </c>
      <c r="M49" s="1345"/>
      <c r="N49" s="1345"/>
      <c r="O49" s="369"/>
      <c r="P49" s="930"/>
      <c r="Q49" s="930"/>
    </row>
    <row r="50" spans="1:17" s="1725" customFormat="1" ht="15" customHeight="1" outlineLevel="1" x14ac:dyDescent="0.2">
      <c r="A50" s="1064"/>
      <c r="B50" s="1137" t="s">
        <v>218</v>
      </c>
      <c r="C50" s="1115" t="s">
        <v>435</v>
      </c>
      <c r="D50" s="1115"/>
      <c r="E50" s="1114"/>
      <c r="F50" s="1114"/>
      <c r="G50" s="1127"/>
      <c r="H50" s="1114" t="s">
        <v>1233</v>
      </c>
      <c r="I50" s="278">
        <v>0</v>
      </c>
      <c r="J50" s="278">
        <v>0</v>
      </c>
      <c r="K50" s="278">
        <f>[5]Nebyty!$B$70</f>
        <v>0</v>
      </c>
      <c r="L50" s="369">
        <f t="shared" si="0"/>
        <v>0</v>
      </c>
      <c r="M50" s="1108"/>
      <c r="N50" s="1108"/>
      <c r="O50" s="278"/>
      <c r="P50" s="216"/>
      <c r="Q50" s="930"/>
    </row>
    <row r="51" spans="1:17" s="1725" customFormat="1" ht="15" customHeight="1" outlineLevel="1" x14ac:dyDescent="0.2">
      <c r="A51" s="1064"/>
      <c r="B51" s="1137" t="s">
        <v>218</v>
      </c>
      <c r="C51" s="1115" t="s">
        <v>1290</v>
      </c>
      <c r="D51" s="1115"/>
      <c r="E51" s="1114"/>
      <c r="F51" s="1114"/>
      <c r="G51" s="1127"/>
      <c r="H51" s="1114" t="s">
        <v>1233</v>
      </c>
      <c r="I51" s="278">
        <v>218500</v>
      </c>
      <c r="J51" s="278">
        <v>0</v>
      </c>
      <c r="K51" s="278">
        <f>[5]Nebyty!$B$78</f>
        <v>0</v>
      </c>
      <c r="L51" s="369">
        <f t="shared" si="0"/>
        <v>0</v>
      </c>
      <c r="M51" s="1108"/>
      <c r="N51" s="1108"/>
      <c r="O51" s="278"/>
      <c r="P51" s="216"/>
      <c r="Q51" s="930"/>
    </row>
    <row r="52" spans="1:17" s="1725" customFormat="1" ht="13.5" outlineLevel="1" thickBot="1" x14ac:dyDescent="0.25">
      <c r="A52" s="1065"/>
      <c r="B52" s="1138" t="s">
        <v>218</v>
      </c>
      <c r="C52" s="1074" t="s">
        <v>292</v>
      </c>
      <c r="D52" s="1074"/>
      <c r="E52" s="1085"/>
      <c r="F52" s="1085"/>
      <c r="G52" s="1151"/>
      <c r="H52" s="1085" t="s">
        <v>1233</v>
      </c>
      <c r="I52" s="1099">
        <v>0</v>
      </c>
      <c r="J52" s="1099">
        <v>0</v>
      </c>
      <c r="K52" s="1099">
        <f>[5]Nebyty!$B$84</f>
        <v>0</v>
      </c>
      <c r="L52" s="1100">
        <f t="shared" si="0"/>
        <v>0</v>
      </c>
      <c r="M52" s="1088"/>
      <c r="N52" s="1088"/>
      <c r="O52" s="1099"/>
      <c r="P52" s="216"/>
      <c r="Q52" s="930"/>
    </row>
    <row r="53" spans="1:17" s="1725" customFormat="1" ht="13.5" thickBot="1" x14ac:dyDescent="0.25">
      <c r="A53" s="1733" t="s">
        <v>1217</v>
      </c>
      <c r="B53" s="1140"/>
      <c r="C53" s="1075"/>
      <c r="D53" s="1075"/>
      <c r="E53" s="1086"/>
      <c r="F53" s="1086"/>
      <c r="G53" s="1152"/>
      <c r="H53" s="1086"/>
      <c r="I53" s="290">
        <v>5508409</v>
      </c>
      <c r="J53" s="290">
        <v>8110540</v>
      </c>
      <c r="K53" s="290">
        <f t="shared" ref="K53" si="5">SUM(K44:K52)</f>
        <v>8544900</v>
      </c>
      <c r="L53" s="1102">
        <f t="shared" si="0"/>
        <v>434360</v>
      </c>
      <c r="M53" s="1090"/>
      <c r="N53" s="1090"/>
      <c r="O53" s="300"/>
      <c r="P53" s="595">
        <f>'Sumář  výdaje kapitol'!AE73</f>
        <v>8544900</v>
      </c>
      <c r="Q53" s="929">
        <f>+P53-K53</f>
        <v>0</v>
      </c>
    </row>
    <row r="54" spans="1:17" s="1725" customFormat="1" ht="15" customHeight="1" outlineLevel="1" x14ac:dyDescent="0.2">
      <c r="A54" s="1064"/>
      <c r="B54" s="1137" t="s">
        <v>217</v>
      </c>
      <c r="C54" s="1115" t="s">
        <v>1404</v>
      </c>
      <c r="D54" s="1115"/>
      <c r="E54" s="1114"/>
      <c r="F54" s="1114"/>
      <c r="G54" s="1127"/>
      <c r="H54" s="1114" t="s">
        <v>1233</v>
      </c>
      <c r="I54" s="278">
        <v>0</v>
      </c>
      <c r="J54" s="278">
        <v>0</v>
      </c>
      <c r="K54" s="278">
        <f>[4]DPS!$B$41</f>
        <v>0</v>
      </c>
      <c r="L54" s="369">
        <f t="shared" si="0"/>
        <v>0</v>
      </c>
      <c r="M54" s="1108"/>
      <c r="N54" s="1108"/>
      <c r="O54" s="278"/>
      <c r="P54" s="216"/>
      <c r="Q54" s="930"/>
    </row>
    <row r="55" spans="1:17" s="1725" customFormat="1" ht="15" customHeight="1" outlineLevel="1" x14ac:dyDescent="0.2">
      <c r="A55" s="1064"/>
      <c r="B55" s="1137" t="s">
        <v>217</v>
      </c>
      <c r="C55" s="1115" t="s">
        <v>401</v>
      </c>
      <c r="D55" s="1115"/>
      <c r="E55" s="1114"/>
      <c r="F55" s="1157">
        <v>42917</v>
      </c>
      <c r="G55" s="1158">
        <v>42978</v>
      </c>
      <c r="H55" s="1114" t="s">
        <v>1233</v>
      </c>
      <c r="I55" s="278"/>
      <c r="J55" s="278"/>
      <c r="K55" s="278"/>
      <c r="L55" s="369">
        <f t="shared" si="0"/>
        <v>0</v>
      </c>
      <c r="M55" s="1108"/>
      <c r="N55" s="1108"/>
      <c r="O55" s="278"/>
      <c r="P55" s="216"/>
      <c r="Q55" s="930"/>
    </row>
    <row r="56" spans="1:17" s="1725" customFormat="1" ht="15" customHeight="1" outlineLevel="1" thickBot="1" x14ac:dyDescent="0.25">
      <c r="A56" s="1143"/>
      <c r="B56" s="1138" t="s">
        <v>217</v>
      </c>
      <c r="C56" s="1076" t="s">
        <v>1405</v>
      </c>
      <c r="D56" s="1076"/>
      <c r="E56" s="1085"/>
      <c r="F56" s="1085"/>
      <c r="G56" s="1151"/>
      <c r="H56" s="1085" t="s">
        <v>1233</v>
      </c>
      <c r="I56" s="1099"/>
      <c r="J56" s="1099"/>
      <c r="K56" s="1099"/>
      <c r="L56" s="1100">
        <f t="shared" si="0"/>
        <v>0</v>
      </c>
      <c r="M56" s="1088"/>
      <c r="N56" s="1088"/>
      <c r="O56" s="1099"/>
      <c r="P56" s="216"/>
      <c r="Q56" s="930"/>
    </row>
    <row r="57" spans="1:17" s="1725" customFormat="1" ht="13.5" thickBot="1" x14ac:dyDescent="0.25">
      <c r="A57" s="1733" t="s">
        <v>254</v>
      </c>
      <c r="B57" s="1142" t="s">
        <v>217</v>
      </c>
      <c r="C57" s="1104"/>
      <c r="D57" s="1104"/>
      <c r="E57" s="1105"/>
      <c r="F57" s="1105"/>
      <c r="G57" s="1155"/>
      <c r="H57" s="1105" t="s">
        <v>1233</v>
      </c>
      <c r="I57" s="1068">
        <v>0</v>
      </c>
      <c r="J57" s="1068">
        <v>0</v>
      </c>
      <c r="K57" s="1068">
        <f t="shared" ref="K57" si="6">SUM(K54:K56)</f>
        <v>0</v>
      </c>
      <c r="L57" s="1098">
        <f t="shared" si="0"/>
        <v>0</v>
      </c>
      <c r="M57" s="1090"/>
      <c r="N57" s="1090"/>
      <c r="O57" s="300"/>
      <c r="P57" s="595">
        <f>'Sumář  výdaje kapitol'!AB73</f>
        <v>0</v>
      </c>
      <c r="Q57" s="929">
        <f>+P57-K57</f>
        <v>0</v>
      </c>
    </row>
    <row r="58" spans="1:17" s="1725" customFormat="1" outlineLevel="1" x14ac:dyDescent="0.2">
      <c r="A58" s="1132"/>
      <c r="B58" s="1113"/>
      <c r="C58" s="1113" t="s">
        <v>1407</v>
      </c>
      <c r="D58" s="1113"/>
      <c r="E58" s="1114"/>
      <c r="F58" s="1114"/>
      <c r="G58" s="1127"/>
      <c r="H58" s="1114" t="s">
        <v>1233</v>
      </c>
      <c r="I58" s="278"/>
      <c r="J58" s="278"/>
      <c r="K58" s="278"/>
      <c r="L58" s="369">
        <f t="shared" si="0"/>
        <v>0</v>
      </c>
      <c r="M58" s="1108"/>
      <c r="N58" s="1108"/>
      <c r="O58" s="278"/>
      <c r="P58" s="216"/>
      <c r="Q58" s="930"/>
    </row>
    <row r="59" spans="1:17" s="1725" customFormat="1" ht="13.5" outlineLevel="1" thickBot="1" x14ac:dyDescent="0.25">
      <c r="A59" s="1144">
        <v>4351</v>
      </c>
      <c r="B59" s="1074"/>
      <c r="C59" s="1074"/>
      <c r="D59" s="1074"/>
      <c r="E59" s="1085"/>
      <c r="F59" s="1085"/>
      <c r="G59" s="1151"/>
      <c r="H59" s="1085"/>
      <c r="I59" s="1099"/>
      <c r="J59" s="1099"/>
      <c r="K59" s="1099"/>
      <c r="L59" s="1100">
        <f t="shared" si="0"/>
        <v>0</v>
      </c>
      <c r="M59" s="1088"/>
      <c r="N59" s="1088"/>
      <c r="O59" s="1099"/>
      <c r="P59" s="216"/>
      <c r="Q59" s="930"/>
    </row>
    <row r="60" spans="1:17" s="1725" customFormat="1" ht="13.5" thickBot="1" x14ac:dyDescent="0.25">
      <c r="A60" s="1733" t="s">
        <v>1406</v>
      </c>
      <c r="B60" s="1140"/>
      <c r="C60" s="1075"/>
      <c r="D60" s="1075"/>
      <c r="E60" s="1086"/>
      <c r="F60" s="1086"/>
      <c r="G60" s="1152"/>
      <c r="H60" s="1086" t="s">
        <v>1233</v>
      </c>
      <c r="I60" s="1068">
        <v>0</v>
      </c>
      <c r="J60" s="1068">
        <v>0</v>
      </c>
      <c r="K60" s="1068">
        <f t="shared" ref="K60" si="7">SUM(K58:K59)</f>
        <v>0</v>
      </c>
      <c r="L60" s="1102">
        <f t="shared" si="0"/>
        <v>0</v>
      </c>
      <c r="M60" s="1090"/>
      <c r="N60" s="1090"/>
      <c r="O60" s="300"/>
      <c r="P60" s="595">
        <f>'Sumář  výdaje kapitol'!AH70</f>
        <v>0</v>
      </c>
      <c r="Q60" s="929">
        <f>+P60-K60</f>
        <v>0</v>
      </c>
    </row>
    <row r="61" spans="1:17" s="1725" customFormat="1" outlineLevel="1" x14ac:dyDescent="0.2">
      <c r="A61" s="1132"/>
      <c r="B61" s="1113" t="s">
        <v>219</v>
      </c>
      <c r="C61" s="1113" t="s">
        <v>868</v>
      </c>
      <c r="D61" s="1113"/>
      <c r="E61" s="1114"/>
      <c r="F61" s="1114"/>
      <c r="G61" s="1127"/>
      <c r="H61" s="1114" t="s">
        <v>1233</v>
      </c>
      <c r="I61" s="278"/>
      <c r="J61" s="278"/>
      <c r="K61" s="278"/>
      <c r="L61" s="369">
        <f t="shared" si="0"/>
        <v>0</v>
      </c>
      <c r="M61" s="1108"/>
      <c r="N61" s="1108"/>
      <c r="O61" s="278"/>
      <c r="P61" s="216"/>
      <c r="Q61" s="930"/>
    </row>
    <row r="62" spans="1:17" s="1725" customFormat="1" outlineLevel="1" x14ac:dyDescent="0.2">
      <c r="A62" s="1132"/>
      <c r="B62" s="1116" t="s">
        <v>219</v>
      </c>
      <c r="C62" s="1116"/>
      <c r="D62" s="1116"/>
      <c r="E62" s="1117"/>
      <c r="F62" s="1117"/>
      <c r="G62" s="1126"/>
      <c r="H62" s="1117"/>
      <c r="I62" s="211"/>
      <c r="J62" s="211"/>
      <c r="K62" s="211"/>
      <c r="L62" s="370">
        <f t="shared" si="0"/>
        <v>0</v>
      </c>
      <c r="M62" s="1118"/>
      <c r="N62" s="1118"/>
      <c r="O62" s="211"/>
      <c r="P62" s="216"/>
      <c r="Q62" s="930"/>
    </row>
    <row r="63" spans="1:17" s="1725" customFormat="1" ht="13.5" outlineLevel="1" thickBot="1" x14ac:dyDescent="0.25">
      <c r="A63" s="1144">
        <v>5512</v>
      </c>
      <c r="B63" s="1074" t="s">
        <v>219</v>
      </c>
      <c r="C63" s="1074" t="s">
        <v>499</v>
      </c>
      <c r="D63" s="1074"/>
      <c r="E63" s="1085"/>
      <c r="F63" s="1085"/>
      <c r="G63" s="1151"/>
      <c r="H63" s="1085"/>
      <c r="I63" s="1099">
        <v>80000</v>
      </c>
      <c r="J63" s="1099">
        <v>80000</v>
      </c>
      <c r="K63" s="1099">
        <f>[4]Hasiči!$B$39</f>
        <v>80000</v>
      </c>
      <c r="L63" s="1100">
        <f t="shared" si="0"/>
        <v>0</v>
      </c>
      <c r="M63" s="1088"/>
      <c r="N63" s="1088"/>
      <c r="O63" s="1099"/>
      <c r="P63" s="216"/>
      <c r="Q63" s="930"/>
    </row>
    <row r="64" spans="1:17" s="1725" customFormat="1" ht="13.5" thickBot="1" x14ac:dyDescent="0.25">
      <c r="A64" s="1733" t="s">
        <v>1292</v>
      </c>
      <c r="B64" s="1140"/>
      <c r="C64" s="1075"/>
      <c r="D64" s="1075"/>
      <c r="E64" s="1086"/>
      <c r="F64" s="1086"/>
      <c r="G64" s="1152"/>
      <c r="H64" s="1086" t="s">
        <v>1233</v>
      </c>
      <c r="I64" s="1068">
        <v>80000</v>
      </c>
      <c r="J64" s="1068">
        <v>80000</v>
      </c>
      <c r="K64" s="1068">
        <f t="shared" ref="K64" si="8">SUM(K61:K63)</f>
        <v>80000</v>
      </c>
      <c r="L64" s="1102">
        <f t="shared" si="0"/>
        <v>0</v>
      </c>
      <c r="M64" s="1090"/>
      <c r="N64" s="1090"/>
      <c r="O64" s="300"/>
      <c r="P64" s="595">
        <f>'Sumář  výdaje kapitol'!AH73</f>
        <v>80000</v>
      </c>
      <c r="Q64" s="929">
        <f>+P64-K64</f>
        <v>0</v>
      </c>
    </row>
    <row r="65" spans="1:17" s="1725" customFormat="1" outlineLevel="1" x14ac:dyDescent="0.2">
      <c r="A65" s="1132"/>
      <c r="B65" s="1113" t="s">
        <v>222</v>
      </c>
      <c r="C65" s="1113" t="s">
        <v>1380</v>
      </c>
      <c r="D65" s="1113"/>
      <c r="E65" s="1114"/>
      <c r="F65" s="1114"/>
      <c r="G65" s="1127"/>
      <c r="H65" s="1114" t="s">
        <v>1233</v>
      </c>
      <c r="I65" s="278">
        <v>150000</v>
      </c>
      <c r="J65" s="278">
        <v>150000</v>
      </c>
      <c r="K65" s="278">
        <f>[4]Hřbitov!$B$34</f>
        <v>150000</v>
      </c>
      <c r="L65" s="369">
        <f t="shared" si="0"/>
        <v>0</v>
      </c>
      <c r="M65" s="1108"/>
      <c r="N65" s="1108"/>
      <c r="O65" s="369"/>
      <c r="P65" s="216"/>
      <c r="Q65" s="930"/>
    </row>
    <row r="66" spans="1:17" s="1725" customFormat="1" ht="13.5" outlineLevel="1" thickBot="1" x14ac:dyDescent="0.25">
      <c r="A66" s="1144">
        <v>3633</v>
      </c>
      <c r="B66" s="1074" t="s">
        <v>222</v>
      </c>
      <c r="C66" s="1074" t="s">
        <v>1043</v>
      </c>
      <c r="D66" s="1074"/>
      <c r="E66" s="1085"/>
      <c r="F66" s="1085"/>
      <c r="G66" s="1151"/>
      <c r="H66" s="1085" t="s">
        <v>1233</v>
      </c>
      <c r="I66" s="1099">
        <v>200000</v>
      </c>
      <c r="J66" s="1099">
        <v>200000</v>
      </c>
      <c r="K66" s="1099">
        <f>[4]Hřbitov!$B$35</f>
        <v>200000</v>
      </c>
      <c r="L66" s="1100">
        <f t="shared" si="0"/>
        <v>0</v>
      </c>
      <c r="M66" s="1088"/>
      <c r="N66" s="1088"/>
      <c r="O66" s="1100"/>
      <c r="P66" s="216"/>
      <c r="Q66" s="930"/>
    </row>
    <row r="67" spans="1:17" s="1725" customFormat="1" ht="13.5" thickBot="1" x14ac:dyDescent="0.25">
      <c r="A67" s="1733" t="s">
        <v>419</v>
      </c>
      <c r="B67" s="1140"/>
      <c r="C67" s="1075"/>
      <c r="D67" s="1075"/>
      <c r="E67" s="1086"/>
      <c r="F67" s="1086"/>
      <c r="G67" s="1152"/>
      <c r="H67" s="1086"/>
      <c r="I67" s="290">
        <v>350000</v>
      </c>
      <c r="J67" s="290">
        <v>350000</v>
      </c>
      <c r="K67" s="290">
        <f t="shared" ref="K67" si="9">SUM(K65:K66)</f>
        <v>350000</v>
      </c>
      <c r="L67" s="1102">
        <f t="shared" si="0"/>
        <v>0</v>
      </c>
      <c r="M67" s="1090"/>
      <c r="N67" s="1090"/>
      <c r="O67" s="300"/>
      <c r="P67" s="595">
        <f>'Sumář  výdaje kapitol'!AK73</f>
        <v>350000</v>
      </c>
      <c r="Q67" s="929">
        <f>+P67-K67</f>
        <v>0</v>
      </c>
    </row>
    <row r="68" spans="1:17" s="1725" customFormat="1" outlineLevel="1" x14ac:dyDescent="0.2">
      <c r="A68" s="1132"/>
      <c r="B68" s="1113" t="s">
        <v>1287</v>
      </c>
      <c r="C68" s="1113" t="s">
        <v>1211</v>
      </c>
      <c r="D68" s="1113"/>
      <c r="E68" s="1114"/>
      <c r="F68" s="1114"/>
      <c r="G68" s="1127"/>
      <c r="H68" s="1114" t="s">
        <v>1233</v>
      </c>
      <c r="I68" s="278">
        <v>20000</v>
      </c>
      <c r="J68" s="278">
        <v>20000</v>
      </c>
      <c r="K68" s="278">
        <f>'[2]Všeobecná pokladna 6409'!$B$32</f>
        <v>20000</v>
      </c>
      <c r="L68" s="369">
        <f t="shared" si="0"/>
        <v>0</v>
      </c>
      <c r="M68" s="1108"/>
      <c r="N68" s="1108"/>
      <c r="O68" s="278"/>
      <c r="P68" s="216"/>
      <c r="Q68" s="930"/>
    </row>
    <row r="69" spans="1:17" s="1725" customFormat="1" outlineLevel="1" x14ac:dyDescent="0.2">
      <c r="A69" s="1132"/>
      <c r="B69" s="1113" t="s">
        <v>1287</v>
      </c>
      <c r="C69" s="1116" t="s">
        <v>1348</v>
      </c>
      <c r="D69" s="1116"/>
      <c r="E69" s="1117"/>
      <c r="F69" s="1117"/>
      <c r="G69" s="1126"/>
      <c r="H69" s="1117" t="s">
        <v>1233</v>
      </c>
      <c r="I69" s="211"/>
      <c r="J69" s="211"/>
      <c r="K69" s="211"/>
      <c r="L69" s="369">
        <f t="shared" si="0"/>
        <v>0</v>
      </c>
      <c r="M69" s="1118"/>
      <c r="N69" s="1118"/>
      <c r="O69" s="211"/>
      <c r="P69" s="216"/>
      <c r="Q69" s="930"/>
    </row>
    <row r="70" spans="1:17" s="1725" customFormat="1" ht="13.5" outlineLevel="1" thickBot="1" x14ac:dyDescent="0.25">
      <c r="A70" s="1144">
        <v>6409</v>
      </c>
      <c r="B70" s="1074" t="s">
        <v>1287</v>
      </c>
      <c r="C70" s="1074" t="s">
        <v>1381</v>
      </c>
      <c r="D70" s="1074"/>
      <c r="E70" s="1085"/>
      <c r="F70" s="1085"/>
      <c r="G70" s="1151"/>
      <c r="H70" s="1085" t="s">
        <v>1233</v>
      </c>
      <c r="I70" s="1099">
        <v>0</v>
      </c>
      <c r="J70" s="1099">
        <v>0</v>
      </c>
      <c r="K70" s="1099">
        <f>'[4]Všeob. pokladna'!$B$25</f>
        <v>0</v>
      </c>
      <c r="L70" s="1100">
        <f t="shared" si="0"/>
        <v>0</v>
      </c>
      <c r="M70" s="1088"/>
      <c r="N70" s="1088"/>
      <c r="O70" s="1099"/>
      <c r="P70" s="216"/>
      <c r="Q70" s="930"/>
    </row>
    <row r="71" spans="1:17" s="1725" customFormat="1" ht="13.5" thickBot="1" x14ac:dyDescent="0.25">
      <c r="A71" s="1733" t="s">
        <v>1293</v>
      </c>
      <c r="B71" s="1140"/>
      <c r="C71" s="1075"/>
      <c r="D71" s="1075"/>
      <c r="E71" s="1086"/>
      <c r="F71" s="1086"/>
      <c r="G71" s="1152"/>
      <c r="H71" s="1086"/>
      <c r="I71" s="290">
        <v>20000</v>
      </c>
      <c r="J71" s="290">
        <v>20000</v>
      </c>
      <c r="K71" s="290">
        <f t="shared" ref="K71" si="10">SUM(K68:K70)</f>
        <v>20000</v>
      </c>
      <c r="L71" s="1102">
        <f t="shared" si="0"/>
        <v>0</v>
      </c>
      <c r="M71" s="1090"/>
      <c r="N71" s="1090"/>
      <c r="O71" s="300"/>
      <c r="P71" s="595">
        <f>'Sumář  výdaje kapitol'!L68</f>
        <v>20000</v>
      </c>
      <c r="Q71" s="929">
        <f>+P71-K71</f>
        <v>0</v>
      </c>
    </row>
    <row r="72" spans="1:17" s="1725" customFormat="1" ht="13.5" thickBot="1" x14ac:dyDescent="0.25">
      <c r="A72" s="1733" t="s">
        <v>1133</v>
      </c>
      <c r="B72" s="1142" t="s">
        <v>1132</v>
      </c>
      <c r="C72" s="1104" t="s">
        <v>1294</v>
      </c>
      <c r="D72" s="1104"/>
      <c r="E72" s="1105"/>
      <c r="F72" s="1105"/>
      <c r="G72" s="1155"/>
      <c r="H72" s="1105" t="s">
        <v>1233</v>
      </c>
      <c r="I72" s="290">
        <v>210000</v>
      </c>
      <c r="J72" s="290">
        <v>215700</v>
      </c>
      <c r="K72" s="290">
        <f>'[2]Odpady 3722-34'!$B$17</f>
        <v>215700</v>
      </c>
      <c r="L72" s="1098">
        <f t="shared" si="0"/>
        <v>0</v>
      </c>
      <c r="M72" s="1090"/>
      <c r="N72" s="1090"/>
      <c r="O72" s="290"/>
      <c r="P72" s="595">
        <f>'Sumář  výdaje kapitol'!CH73</f>
        <v>215700</v>
      </c>
      <c r="Q72" s="929">
        <f>+P72-K72</f>
        <v>0</v>
      </c>
    </row>
    <row r="73" spans="1:17" s="1725" customFormat="1" outlineLevel="1" x14ac:dyDescent="0.2">
      <c r="A73" s="1132"/>
      <c r="B73" s="1113" t="s">
        <v>245</v>
      </c>
      <c r="C73" s="1113" t="s">
        <v>806</v>
      </c>
      <c r="D73" s="1113"/>
      <c r="E73" s="1114"/>
      <c r="F73" s="1114"/>
      <c r="G73" s="1127"/>
      <c r="H73" s="1114" t="s">
        <v>1233</v>
      </c>
      <c r="I73" s="278">
        <v>0</v>
      </c>
      <c r="J73" s="278">
        <v>0</v>
      </c>
      <c r="K73" s="278">
        <f>'[2]Příroda 3749'!$B$27</f>
        <v>22000</v>
      </c>
      <c r="L73" s="369">
        <f t="shared" si="0"/>
        <v>22000</v>
      </c>
      <c r="M73" s="1108"/>
      <c r="N73" s="1108"/>
      <c r="O73" s="278"/>
      <c r="P73" s="216"/>
      <c r="Q73" s="930"/>
    </row>
    <row r="74" spans="1:17" s="1725" customFormat="1" ht="13.5" outlineLevel="1" thickBot="1" x14ac:dyDescent="0.25">
      <c r="A74" s="1144">
        <v>3750</v>
      </c>
      <c r="B74" s="1074" t="s">
        <v>245</v>
      </c>
      <c r="C74" s="1074" t="s">
        <v>1213</v>
      </c>
      <c r="D74" s="1074"/>
      <c r="E74" s="1085"/>
      <c r="F74" s="1085"/>
      <c r="G74" s="1151"/>
      <c r="H74" s="1085" t="s">
        <v>1233</v>
      </c>
      <c r="I74" s="1099">
        <v>400000</v>
      </c>
      <c r="J74" s="1099">
        <v>400000</v>
      </c>
      <c r="K74" s="1099">
        <f>'[2]Příroda 3749'!$B$26</f>
        <v>200000</v>
      </c>
      <c r="L74" s="1100">
        <f t="shared" si="0"/>
        <v>-200000</v>
      </c>
      <c r="M74" s="1088"/>
      <c r="N74" s="1088"/>
      <c r="O74" s="1099"/>
      <c r="P74" s="216"/>
      <c r="Q74" s="930"/>
    </row>
    <row r="75" spans="1:17" s="1725" customFormat="1" ht="13.5" thickBot="1" x14ac:dyDescent="0.25">
      <c r="A75" s="1733" t="s">
        <v>1218</v>
      </c>
      <c r="B75" s="1140"/>
      <c r="C75" s="1075"/>
      <c r="D75" s="1075"/>
      <c r="E75" s="1086"/>
      <c r="F75" s="1086"/>
      <c r="G75" s="1152"/>
      <c r="H75" s="1086"/>
      <c r="I75" s="290">
        <v>400000</v>
      </c>
      <c r="J75" s="290">
        <v>400000</v>
      </c>
      <c r="K75" s="290">
        <f>SUM(K73:K74)</f>
        <v>222000</v>
      </c>
      <c r="L75" s="1102">
        <f t="shared" ref="L75:L137" si="11">+K75-J75</f>
        <v>-178000</v>
      </c>
      <c r="M75" s="1090"/>
      <c r="N75" s="1090"/>
      <c r="O75" s="300"/>
      <c r="P75" s="595">
        <f>'Sumář  výdaje kapitol'!CO73</f>
        <v>222000</v>
      </c>
      <c r="Q75" s="929">
        <f>+P75-K75</f>
        <v>0</v>
      </c>
    </row>
    <row r="76" spans="1:17" s="1725" customFormat="1" outlineLevel="1" x14ac:dyDescent="0.2">
      <c r="A76" s="1132"/>
      <c r="B76" s="1113" t="s">
        <v>1396</v>
      </c>
      <c r="C76" s="1113"/>
      <c r="D76" s="1113"/>
      <c r="E76" s="1114"/>
      <c r="F76" s="1114"/>
      <c r="G76" s="1127"/>
      <c r="H76" s="1114"/>
      <c r="I76" s="278">
        <v>0</v>
      </c>
      <c r="J76" s="278">
        <v>0</v>
      </c>
      <c r="K76" s="278">
        <f>[5]Koupaliště!$B$16</f>
        <v>0</v>
      </c>
      <c r="L76" s="369">
        <f t="shared" si="11"/>
        <v>0</v>
      </c>
      <c r="M76" s="1108"/>
      <c r="N76" s="1108"/>
      <c r="O76" s="278"/>
      <c r="P76" s="216"/>
      <c r="Q76" s="930"/>
    </row>
    <row r="77" spans="1:17" s="1725" customFormat="1" outlineLevel="1" x14ac:dyDescent="0.2">
      <c r="A77" s="1132"/>
      <c r="B77" s="1113" t="s">
        <v>498</v>
      </c>
      <c r="C77" s="1113" t="s">
        <v>340</v>
      </c>
      <c r="D77" s="1113"/>
      <c r="E77" s="1114"/>
      <c r="F77" s="1114"/>
      <c r="G77" s="1127"/>
      <c r="H77" s="1114" t="s">
        <v>1233</v>
      </c>
      <c r="I77" s="278">
        <v>400000</v>
      </c>
      <c r="J77" s="278">
        <v>400000</v>
      </c>
      <c r="K77" s="278">
        <f>[5]Koupaliště!$B$8</f>
        <v>400000</v>
      </c>
      <c r="L77" s="369">
        <f t="shared" si="11"/>
        <v>0</v>
      </c>
      <c r="M77" s="1108"/>
      <c r="N77" s="1108"/>
      <c r="O77" s="278"/>
      <c r="P77" s="216"/>
      <c r="Q77" s="930"/>
    </row>
    <row r="78" spans="1:17" s="1725" customFormat="1" ht="13.5" outlineLevel="1" thickBot="1" x14ac:dyDescent="0.25">
      <c r="A78" s="1144">
        <v>3412</v>
      </c>
      <c r="B78" s="1188" t="s">
        <v>498</v>
      </c>
      <c r="C78" s="1188" t="s">
        <v>1126</v>
      </c>
      <c r="D78" s="1188"/>
      <c r="E78" s="1189"/>
      <c r="F78" s="1189"/>
      <c r="G78" s="1195"/>
      <c r="H78" s="1189" t="s">
        <v>872</v>
      </c>
      <c r="I78" s="1192">
        <v>21000000</v>
      </c>
      <c r="J78" s="1192">
        <v>20500000</v>
      </c>
      <c r="K78" s="1192">
        <f>[5]Koupaliště!$B$12</f>
        <v>14500000</v>
      </c>
      <c r="L78" s="1193">
        <f t="shared" si="11"/>
        <v>-6000000</v>
      </c>
      <c r="M78" s="1088"/>
      <c r="N78" s="1088"/>
      <c r="O78" s="1099"/>
      <c r="P78" s="216"/>
      <c r="Q78" s="930"/>
    </row>
    <row r="79" spans="1:17" s="1725" customFormat="1" ht="13.5" thickBot="1" x14ac:dyDescent="0.25">
      <c r="A79" s="1733" t="s">
        <v>1219</v>
      </c>
      <c r="B79" s="1140"/>
      <c r="C79" s="1075"/>
      <c r="D79" s="1075"/>
      <c r="E79" s="1086"/>
      <c r="F79" s="1086"/>
      <c r="G79" s="1152"/>
      <c r="H79" s="1086"/>
      <c r="I79" s="290">
        <v>21400000</v>
      </c>
      <c r="J79" s="290">
        <v>20900000</v>
      </c>
      <c r="K79" s="290">
        <f>SUM(K76:K78)</f>
        <v>14900000</v>
      </c>
      <c r="L79" s="1102">
        <f t="shared" si="11"/>
        <v>-6000000</v>
      </c>
      <c r="M79" s="1090"/>
      <c r="N79" s="1090"/>
      <c r="O79" s="300"/>
      <c r="P79" s="595">
        <f>'Sumář  výdaje kapitol'!AN73</f>
        <v>14900000</v>
      </c>
      <c r="Q79" s="929">
        <f>+P79-K79</f>
        <v>0</v>
      </c>
    </row>
    <row r="80" spans="1:17" s="1725" customFormat="1" outlineLevel="1" x14ac:dyDescent="0.2">
      <c r="A80" s="1135"/>
      <c r="B80" s="1137" t="s">
        <v>224</v>
      </c>
      <c r="C80" s="1113" t="s">
        <v>1278</v>
      </c>
      <c r="D80" s="1113"/>
      <c r="E80" s="1114"/>
      <c r="F80" s="1114"/>
      <c r="G80" s="1127"/>
      <c r="H80" s="1114" t="s">
        <v>1233</v>
      </c>
      <c r="I80" s="278">
        <v>398360</v>
      </c>
      <c r="J80" s="278">
        <v>398360</v>
      </c>
      <c r="K80" s="278">
        <f>[5]ZŠ!$B$11</f>
        <v>398360</v>
      </c>
      <c r="L80" s="369">
        <f t="shared" si="11"/>
        <v>0</v>
      </c>
      <c r="M80" s="1108"/>
      <c r="N80" s="1108"/>
      <c r="O80" s="278"/>
      <c r="P80" s="216"/>
      <c r="Q80" s="930"/>
    </row>
    <row r="81" spans="1:17" s="1725" customFormat="1" outlineLevel="1" x14ac:dyDescent="0.2">
      <c r="A81" s="1064"/>
      <c r="B81" s="1137" t="s">
        <v>224</v>
      </c>
      <c r="C81" s="1113" t="s">
        <v>491</v>
      </c>
      <c r="D81" s="1113"/>
      <c r="E81" s="1114"/>
      <c r="F81" s="1114"/>
      <c r="G81" s="1127"/>
      <c r="H81" s="1114" t="s">
        <v>1233</v>
      </c>
      <c r="I81" s="278">
        <v>0</v>
      </c>
      <c r="J81" s="278">
        <v>0</v>
      </c>
      <c r="K81" s="278">
        <f>[5]ZŠ!$B$19</f>
        <v>0</v>
      </c>
      <c r="L81" s="369">
        <f t="shared" si="11"/>
        <v>0</v>
      </c>
      <c r="M81" s="1108"/>
      <c r="N81" s="1108"/>
      <c r="O81" s="278"/>
      <c r="P81" s="216"/>
      <c r="Q81" s="930"/>
    </row>
    <row r="82" spans="1:17" s="1725" customFormat="1" outlineLevel="1" x14ac:dyDescent="0.2">
      <c r="A82" s="1064"/>
      <c r="B82" s="1137" t="s">
        <v>224</v>
      </c>
      <c r="C82" s="1113" t="s">
        <v>864</v>
      </c>
      <c r="D82" s="1113"/>
      <c r="E82" s="1114"/>
      <c r="F82" s="1114"/>
      <c r="G82" s="1127"/>
      <c r="H82" s="1114" t="s">
        <v>1233</v>
      </c>
      <c r="I82" s="278"/>
      <c r="J82" s="278"/>
      <c r="K82" s="278"/>
      <c r="L82" s="369">
        <f t="shared" si="11"/>
        <v>0</v>
      </c>
      <c r="M82" s="1108"/>
      <c r="N82" s="1108"/>
      <c r="O82" s="278"/>
      <c r="P82" s="216"/>
      <c r="Q82" s="930"/>
    </row>
    <row r="83" spans="1:17" s="1725" customFormat="1" outlineLevel="1" x14ac:dyDescent="0.2">
      <c r="A83" s="1064"/>
      <c r="B83" s="1137" t="s">
        <v>224</v>
      </c>
      <c r="C83" s="1113" t="s">
        <v>1279</v>
      </c>
      <c r="D83" s="1113"/>
      <c r="E83" s="1114"/>
      <c r="F83" s="1114"/>
      <c r="G83" s="1127"/>
      <c r="H83" s="1114" t="s">
        <v>1233</v>
      </c>
      <c r="I83" s="278">
        <v>0</v>
      </c>
      <c r="J83" s="278">
        <v>0</v>
      </c>
      <c r="K83" s="278">
        <f>[5]ZŠ!$B$45</f>
        <v>0</v>
      </c>
      <c r="L83" s="369">
        <f t="shared" si="11"/>
        <v>0</v>
      </c>
      <c r="M83" s="1108"/>
      <c r="N83" s="1108"/>
      <c r="O83" s="278"/>
      <c r="P83" s="216"/>
      <c r="Q83" s="930"/>
    </row>
    <row r="84" spans="1:17" s="1725" customFormat="1" outlineLevel="1" x14ac:dyDescent="0.2">
      <c r="A84" s="1064"/>
      <c r="B84" s="1137" t="s">
        <v>224</v>
      </c>
      <c r="C84" s="1113" t="s">
        <v>1201</v>
      </c>
      <c r="D84" s="1113"/>
      <c r="E84" s="1114"/>
      <c r="F84" s="1114"/>
      <c r="G84" s="1127"/>
      <c r="H84" s="1114" t="s">
        <v>5</v>
      </c>
      <c r="I84" s="278">
        <v>0</v>
      </c>
      <c r="J84" s="278">
        <v>0</v>
      </c>
      <c r="K84" s="278">
        <f>[5]ZŠ!$B$52</f>
        <v>0</v>
      </c>
      <c r="L84" s="369">
        <f t="shared" si="11"/>
        <v>0</v>
      </c>
      <c r="M84" s="1108"/>
      <c r="N84" s="1108"/>
      <c r="O84" s="278"/>
      <c r="P84" s="216"/>
      <c r="Q84" s="930"/>
    </row>
    <row r="85" spans="1:17" s="1725" customFormat="1" outlineLevel="1" x14ac:dyDescent="0.2">
      <c r="A85" s="1064"/>
      <c r="B85" s="1137" t="s">
        <v>224</v>
      </c>
      <c r="C85" s="1113" t="s">
        <v>1388</v>
      </c>
      <c r="D85" s="1113"/>
      <c r="E85" s="1114"/>
      <c r="F85" s="1114"/>
      <c r="G85" s="1127"/>
      <c r="H85" s="1114" t="s">
        <v>1233</v>
      </c>
      <c r="I85" s="278">
        <v>99000</v>
      </c>
      <c r="J85" s="278">
        <v>99000</v>
      </c>
      <c r="K85" s="278">
        <f>[5]ZŠ!$B$56</f>
        <v>99000</v>
      </c>
      <c r="L85" s="369">
        <f t="shared" si="11"/>
        <v>0</v>
      </c>
      <c r="M85" s="1108"/>
      <c r="N85" s="1108"/>
      <c r="O85" s="278"/>
      <c r="P85" s="216"/>
      <c r="Q85" s="930"/>
    </row>
    <row r="86" spans="1:17" s="1725" customFormat="1" outlineLevel="1" x14ac:dyDescent="0.2">
      <c r="A86" s="1064"/>
      <c r="B86" s="1137" t="s">
        <v>224</v>
      </c>
      <c r="C86" s="1113" t="s">
        <v>864</v>
      </c>
      <c r="D86" s="1113"/>
      <c r="E86" s="1114"/>
      <c r="F86" s="1114"/>
      <c r="G86" s="1127"/>
      <c r="H86" s="1114" t="s">
        <v>1233</v>
      </c>
      <c r="I86" s="278">
        <v>30000</v>
      </c>
      <c r="J86" s="278">
        <v>30000</v>
      </c>
      <c r="K86" s="278">
        <f>[5]ZŠ!$B$37</f>
        <v>30000</v>
      </c>
      <c r="L86" s="369">
        <f t="shared" si="11"/>
        <v>0</v>
      </c>
      <c r="M86" s="1108"/>
      <c r="N86" s="1108"/>
      <c r="O86" s="278"/>
      <c r="P86" s="216"/>
      <c r="Q86" s="930"/>
    </row>
    <row r="87" spans="1:17" s="1725" customFormat="1" outlineLevel="1" x14ac:dyDescent="0.2">
      <c r="A87" s="1064"/>
      <c r="B87" s="1137" t="s">
        <v>224</v>
      </c>
      <c r="C87" s="1113" t="s">
        <v>1199</v>
      </c>
      <c r="D87" s="1113"/>
      <c r="E87" s="1114"/>
      <c r="F87" s="1114"/>
      <c r="G87" s="1127"/>
      <c r="H87" s="1114" t="s">
        <v>1233</v>
      </c>
      <c r="I87" s="278">
        <v>255450</v>
      </c>
      <c r="J87" s="278">
        <v>255450</v>
      </c>
      <c r="K87" s="278">
        <f>[5]ZŠ!$B$25+[5]ZŠ!$B$60</f>
        <v>255450</v>
      </c>
      <c r="L87" s="369">
        <f t="shared" si="11"/>
        <v>0</v>
      </c>
      <c r="M87" s="1108"/>
      <c r="N87" s="1108"/>
      <c r="O87" s="278"/>
      <c r="P87" s="216"/>
      <c r="Q87" s="930"/>
    </row>
    <row r="88" spans="1:17" s="1725" customFormat="1" outlineLevel="1" x14ac:dyDescent="0.2">
      <c r="A88" s="1064"/>
      <c r="B88" s="1196" t="s">
        <v>224</v>
      </c>
      <c r="C88" s="1845" t="s">
        <v>1537</v>
      </c>
      <c r="D88" s="1845"/>
      <c r="E88" s="1198"/>
      <c r="F88" s="1198"/>
      <c r="G88" s="1199"/>
      <c r="H88" s="1198" t="s">
        <v>872</v>
      </c>
      <c r="I88" s="1846">
        <v>1780000</v>
      </c>
      <c r="J88" s="1846">
        <v>1780000</v>
      </c>
      <c r="K88" s="1846">
        <f>[5]ZŠ!$B$26+[5]ZŠ!$B$65</f>
        <v>2380000</v>
      </c>
      <c r="L88" s="1201">
        <f t="shared" si="11"/>
        <v>600000</v>
      </c>
      <c r="M88" s="1108"/>
      <c r="N88" s="1108"/>
      <c r="O88" s="278"/>
      <c r="P88" s="216"/>
      <c r="Q88" s="930"/>
    </row>
    <row r="89" spans="1:17" s="1725" customFormat="1" ht="13.5" outlineLevel="1" thickBot="1" x14ac:dyDescent="0.25">
      <c r="A89" s="1065"/>
      <c r="B89" s="1194" t="s">
        <v>224</v>
      </c>
      <c r="C89" s="1188" t="s">
        <v>1200</v>
      </c>
      <c r="D89" s="1188"/>
      <c r="E89" s="1189"/>
      <c r="F89" s="1190">
        <v>42979</v>
      </c>
      <c r="G89" s="1191">
        <v>43282</v>
      </c>
      <c r="H89" s="1189" t="s">
        <v>1319</v>
      </c>
      <c r="I89" s="1192">
        <v>4650519</v>
      </c>
      <c r="J89" s="1192">
        <v>4650519</v>
      </c>
      <c r="K89" s="1192">
        <f>[5]ZŠ!$B$35</f>
        <v>5747819</v>
      </c>
      <c r="L89" s="1193">
        <f t="shared" si="11"/>
        <v>1097300</v>
      </c>
      <c r="M89" s="1088"/>
      <c r="N89" s="1088"/>
      <c r="O89" s="1099"/>
      <c r="P89" s="216"/>
      <c r="Q89" s="930"/>
    </row>
    <row r="90" spans="1:17" s="1725" customFormat="1" ht="13.5" thickBot="1" x14ac:dyDescent="0.25">
      <c r="A90" s="1961" t="s">
        <v>317</v>
      </c>
      <c r="B90" s="1962"/>
      <c r="C90" s="1075"/>
      <c r="D90" s="1075"/>
      <c r="E90" s="1086"/>
      <c r="F90" s="1086"/>
      <c r="G90" s="1152"/>
      <c r="H90" s="1086"/>
      <c r="I90" s="290">
        <v>7213329</v>
      </c>
      <c r="J90" s="290">
        <v>7213329</v>
      </c>
      <c r="K90" s="290">
        <f t="shared" ref="K90" si="12">SUM(K80:K89)</f>
        <v>8910629</v>
      </c>
      <c r="L90" s="1102">
        <f t="shared" si="11"/>
        <v>1697300</v>
      </c>
      <c r="M90" s="1090"/>
      <c r="N90" s="1090"/>
      <c r="O90" s="300"/>
      <c r="P90" s="595">
        <f>'Sumář  výdaje kapitol'!AQ73</f>
        <v>8910629</v>
      </c>
      <c r="Q90" s="929">
        <f>+P90-K90</f>
        <v>0</v>
      </c>
    </row>
    <row r="91" spans="1:17" s="1725" customFormat="1" outlineLevel="1" x14ac:dyDescent="0.2">
      <c r="A91" s="1064"/>
      <c r="B91" s="1115" t="s">
        <v>839</v>
      </c>
      <c r="C91" s="1113" t="s">
        <v>340</v>
      </c>
      <c r="D91" s="1113"/>
      <c r="E91" s="1114"/>
      <c r="F91" s="1114"/>
      <c r="G91" s="1127"/>
      <c r="H91" s="1114" t="s">
        <v>1233</v>
      </c>
      <c r="I91" s="278">
        <v>0</v>
      </c>
      <c r="J91" s="278">
        <v>0</v>
      </c>
      <c r="K91" s="278">
        <f>'[5]Č.p. 65'!$B$9</f>
        <v>0</v>
      </c>
      <c r="L91" s="369">
        <f t="shared" si="11"/>
        <v>0</v>
      </c>
      <c r="M91" s="1108"/>
      <c r="N91" s="1108"/>
      <c r="O91" s="278"/>
      <c r="P91" s="216"/>
      <c r="Q91" s="930"/>
    </row>
    <row r="92" spans="1:17" s="1725" customFormat="1" outlineLevel="1" x14ac:dyDescent="0.2">
      <c r="A92" s="1064"/>
      <c r="B92" s="1115" t="s">
        <v>839</v>
      </c>
      <c r="C92" s="1113" t="s">
        <v>1345</v>
      </c>
      <c r="D92" s="1113"/>
      <c r="E92" s="1114"/>
      <c r="F92" s="1114"/>
      <c r="G92" s="1127"/>
      <c r="H92" s="1114" t="s">
        <v>1233</v>
      </c>
      <c r="I92" s="278"/>
      <c r="J92" s="278"/>
      <c r="K92" s="278"/>
      <c r="L92" s="369">
        <f t="shared" si="11"/>
        <v>0</v>
      </c>
      <c r="M92" s="1108"/>
      <c r="N92" s="1108"/>
      <c r="O92" s="278"/>
      <c r="P92" s="216"/>
      <c r="Q92" s="930"/>
    </row>
    <row r="93" spans="1:17" s="1725" customFormat="1" outlineLevel="1" x14ac:dyDescent="0.2">
      <c r="A93" s="1064"/>
      <c r="B93" s="1115" t="s">
        <v>839</v>
      </c>
      <c r="C93" s="1113" t="s">
        <v>825</v>
      </c>
      <c r="D93" s="1113"/>
      <c r="E93" s="1114"/>
      <c r="F93" s="1114"/>
      <c r="G93" s="1127"/>
      <c r="H93" s="1114" t="s">
        <v>1233</v>
      </c>
      <c r="I93" s="278">
        <v>70000</v>
      </c>
      <c r="J93" s="278">
        <v>70000</v>
      </c>
      <c r="K93" s="279">
        <f>'[5]Č.p. 65'!$B$14</f>
        <v>70000</v>
      </c>
      <c r="L93" s="369">
        <f t="shared" si="11"/>
        <v>0</v>
      </c>
      <c r="M93" s="1108"/>
      <c r="N93" s="1108"/>
      <c r="O93" s="278"/>
      <c r="P93" s="216"/>
      <c r="Q93" s="930"/>
    </row>
    <row r="94" spans="1:17" s="1725" customFormat="1" outlineLevel="1" x14ac:dyDescent="0.2">
      <c r="A94" s="1064"/>
      <c r="B94" s="1115" t="s">
        <v>839</v>
      </c>
      <c r="C94" s="1113" t="s">
        <v>1127</v>
      </c>
      <c r="D94" s="1113"/>
      <c r="E94" s="1114"/>
      <c r="F94" s="1114"/>
      <c r="G94" s="1127"/>
      <c r="H94" s="1114" t="s">
        <v>1233</v>
      </c>
      <c r="I94" s="278"/>
      <c r="J94" s="278"/>
      <c r="K94" s="278"/>
      <c r="L94" s="369">
        <f t="shared" si="11"/>
        <v>0</v>
      </c>
      <c r="M94" s="1108"/>
      <c r="N94" s="1108"/>
      <c r="O94" s="278"/>
      <c r="P94" s="216"/>
      <c r="Q94" s="930"/>
    </row>
    <row r="95" spans="1:17" s="1725" customFormat="1" ht="13.5" outlineLevel="1" thickBot="1" x14ac:dyDescent="0.25">
      <c r="A95" s="1066">
        <v>3114</v>
      </c>
      <c r="B95" s="1076" t="s">
        <v>839</v>
      </c>
      <c r="C95" s="1074" t="s">
        <v>1128</v>
      </c>
      <c r="D95" s="1074"/>
      <c r="E95" s="1085"/>
      <c r="F95" s="1085"/>
      <c r="G95" s="1151"/>
      <c r="H95" s="1085" t="s">
        <v>1233</v>
      </c>
      <c r="I95" s="1099"/>
      <c r="J95" s="1099"/>
      <c r="K95" s="1099"/>
      <c r="L95" s="1100">
        <f t="shared" si="11"/>
        <v>0</v>
      </c>
      <c r="M95" s="1088"/>
      <c r="N95" s="1088"/>
      <c r="O95" s="1099"/>
      <c r="P95" s="216"/>
      <c r="Q95" s="930"/>
    </row>
    <row r="96" spans="1:17" s="1725" customFormat="1" ht="13.5" thickBot="1" x14ac:dyDescent="0.25">
      <c r="A96" s="1733" t="s">
        <v>1220</v>
      </c>
      <c r="B96" s="1140"/>
      <c r="C96" s="1075"/>
      <c r="D96" s="1075"/>
      <c r="E96" s="1086"/>
      <c r="F96" s="1086"/>
      <c r="G96" s="1152"/>
      <c r="H96" s="1086"/>
      <c r="I96" s="290">
        <v>70000</v>
      </c>
      <c r="J96" s="290">
        <v>70000</v>
      </c>
      <c r="K96" s="290">
        <f t="shared" ref="K96" si="13">SUM(K91:K95)</f>
        <v>70000</v>
      </c>
      <c r="L96" s="1102">
        <f t="shared" si="11"/>
        <v>0</v>
      </c>
      <c r="M96" s="1090"/>
      <c r="N96" s="1090"/>
      <c r="O96" s="300"/>
      <c r="P96" s="595">
        <f>'Sumář  výdaje kapitol'!AT73</f>
        <v>70000</v>
      </c>
      <c r="Q96" s="929">
        <f>+P96-K96</f>
        <v>0</v>
      </c>
    </row>
    <row r="97" spans="1:17" s="1725" customFormat="1" outlineLevel="1" x14ac:dyDescent="0.2">
      <c r="A97" s="1064"/>
      <c r="B97" s="1115" t="s">
        <v>840</v>
      </c>
      <c r="C97" s="1113" t="s">
        <v>869</v>
      </c>
      <c r="D97" s="1113"/>
      <c r="E97" s="1114"/>
      <c r="F97" s="1114"/>
      <c r="G97" s="1127"/>
      <c r="H97" s="1114" t="s">
        <v>1233</v>
      </c>
      <c r="I97" s="278">
        <v>0</v>
      </c>
      <c r="J97" s="278">
        <v>0</v>
      </c>
      <c r="K97" s="278">
        <f>'[5]MŠ Kollárova'!$B$9</f>
        <v>0</v>
      </c>
      <c r="L97" s="369">
        <f t="shared" si="11"/>
        <v>0</v>
      </c>
      <c r="M97" s="1108"/>
      <c r="N97" s="1108"/>
      <c r="O97" s="278"/>
      <c r="P97" s="216"/>
      <c r="Q97" s="930"/>
    </row>
    <row r="98" spans="1:17" s="1725" customFormat="1" outlineLevel="1" x14ac:dyDescent="0.2">
      <c r="A98" s="1064"/>
      <c r="B98" s="1115" t="s">
        <v>840</v>
      </c>
      <c r="C98" s="1113" t="s">
        <v>437</v>
      </c>
      <c r="D98" s="1113"/>
      <c r="E98" s="1114"/>
      <c r="F98" s="1114"/>
      <c r="G98" s="1127"/>
      <c r="H98" s="1114" t="s">
        <v>1233</v>
      </c>
      <c r="I98" s="278">
        <v>0</v>
      </c>
      <c r="J98" s="278">
        <v>0</v>
      </c>
      <c r="K98" s="278">
        <f>'[5]MŠ Kollárova'!$B$21</f>
        <v>0</v>
      </c>
      <c r="L98" s="369">
        <f t="shared" si="11"/>
        <v>0</v>
      </c>
      <c r="M98" s="1108"/>
      <c r="N98" s="1108"/>
      <c r="O98" s="278"/>
      <c r="P98" s="216"/>
      <c r="Q98" s="930"/>
    </row>
    <row r="99" spans="1:17" s="1725" customFormat="1" ht="13.5" outlineLevel="1" thickBot="1" x14ac:dyDescent="0.25">
      <c r="A99" s="1066" t="s">
        <v>297</v>
      </c>
      <c r="B99" s="1187" t="s">
        <v>840</v>
      </c>
      <c r="C99" s="1188" t="s">
        <v>1195</v>
      </c>
      <c r="D99" s="1188"/>
      <c r="E99" s="1189"/>
      <c r="F99" s="1190">
        <v>42917</v>
      </c>
      <c r="G99" s="1191">
        <v>43008</v>
      </c>
      <c r="H99" s="1189" t="s">
        <v>872</v>
      </c>
      <c r="I99" s="1192">
        <v>3500000</v>
      </c>
      <c r="J99" s="1192">
        <v>2700000</v>
      </c>
      <c r="K99" s="1192">
        <f>'[5]MŠ Kollárova'!$B$17</f>
        <v>2287000</v>
      </c>
      <c r="L99" s="1193">
        <f t="shared" si="11"/>
        <v>-413000</v>
      </c>
      <c r="M99" s="1088"/>
      <c r="N99" s="1088"/>
      <c r="O99" s="1099"/>
      <c r="P99" s="216"/>
      <c r="Q99" s="930"/>
    </row>
    <row r="100" spans="1:17" s="1725" customFormat="1" ht="13.5" thickBot="1" x14ac:dyDescent="0.25">
      <c r="A100" s="1733" t="s">
        <v>1221</v>
      </c>
      <c r="B100" s="1140"/>
      <c r="C100" s="1075"/>
      <c r="D100" s="1075"/>
      <c r="E100" s="1086"/>
      <c r="F100" s="1086"/>
      <c r="G100" s="1152"/>
      <c r="H100" s="1086"/>
      <c r="I100" s="290">
        <v>3500000</v>
      </c>
      <c r="J100" s="290">
        <v>2700000</v>
      </c>
      <c r="K100" s="290">
        <f t="shared" ref="K100" si="14">SUM(K97:K99)</f>
        <v>2287000</v>
      </c>
      <c r="L100" s="1102">
        <f t="shared" si="11"/>
        <v>-413000</v>
      </c>
      <c r="M100" s="1090"/>
      <c r="N100" s="1090"/>
      <c r="O100" s="300"/>
      <c r="P100" s="595">
        <f>'Sumář  výdaje kapitol'!BC73</f>
        <v>2287000</v>
      </c>
      <c r="Q100" s="929">
        <f>+P100-K100</f>
        <v>0</v>
      </c>
    </row>
    <row r="101" spans="1:17" s="1725" customFormat="1" outlineLevel="1" x14ac:dyDescent="0.2">
      <c r="A101" s="1132"/>
      <c r="B101" s="1137" t="s">
        <v>452</v>
      </c>
      <c r="C101" s="1113" t="s">
        <v>340</v>
      </c>
      <c r="D101" s="1113"/>
      <c r="E101" s="1114"/>
      <c r="F101" s="1114"/>
      <c r="G101" s="1127"/>
      <c r="H101" s="1114" t="s">
        <v>1233</v>
      </c>
      <c r="I101" s="278">
        <v>80000</v>
      </c>
      <c r="J101" s="278">
        <v>80000</v>
      </c>
      <c r="K101" s="278">
        <f>'[5]Jídelna ZŠ'!$B$9</f>
        <v>80000</v>
      </c>
      <c r="L101" s="369">
        <f t="shared" si="11"/>
        <v>0</v>
      </c>
      <c r="M101" s="1108"/>
      <c r="N101" s="1108"/>
      <c r="O101" s="278"/>
      <c r="P101" s="216"/>
      <c r="Q101" s="930"/>
    </row>
    <row r="102" spans="1:17" s="1725" customFormat="1" outlineLevel="1" x14ac:dyDescent="0.2">
      <c r="A102" s="1132"/>
      <c r="B102" s="1141" t="s">
        <v>452</v>
      </c>
      <c r="C102" s="1116" t="s">
        <v>1397</v>
      </c>
      <c r="D102" s="1116"/>
      <c r="E102" s="1117"/>
      <c r="F102" s="1117"/>
      <c r="G102" s="1126"/>
      <c r="H102" s="1117"/>
      <c r="I102" s="211">
        <v>200000</v>
      </c>
      <c r="J102" s="211">
        <v>200000</v>
      </c>
      <c r="K102" s="211">
        <f>'[5]Jídelna ZŠ'!$B$15</f>
        <v>200000</v>
      </c>
      <c r="L102" s="370">
        <f t="shared" si="11"/>
        <v>0</v>
      </c>
      <c r="M102" s="1118"/>
      <c r="N102" s="1118"/>
      <c r="O102" s="211"/>
      <c r="P102" s="216"/>
      <c r="Q102" s="930"/>
    </row>
    <row r="103" spans="1:17" s="1725" customFormat="1" ht="13.5" outlineLevel="1" thickBot="1" x14ac:dyDescent="0.25">
      <c r="A103" s="1144" t="s">
        <v>1202</v>
      </c>
      <c r="B103" s="1138" t="s">
        <v>452</v>
      </c>
      <c r="C103" s="1074" t="s">
        <v>334</v>
      </c>
      <c r="D103" s="1074"/>
      <c r="E103" s="1085"/>
      <c r="F103" s="1085"/>
      <c r="G103" s="1151"/>
      <c r="H103" s="1085" t="s">
        <v>872</v>
      </c>
      <c r="I103" s="1099">
        <v>0</v>
      </c>
      <c r="J103" s="1099">
        <v>0</v>
      </c>
      <c r="K103" s="1099">
        <f>'[5]Jídelna ZŠ'!$B$12</f>
        <v>0</v>
      </c>
      <c r="L103" s="1100">
        <f t="shared" si="11"/>
        <v>0</v>
      </c>
      <c r="M103" s="1088"/>
      <c r="N103" s="1088"/>
      <c r="O103" s="1099"/>
      <c r="P103" s="216"/>
      <c r="Q103" s="930"/>
    </row>
    <row r="104" spans="1:17" s="1725" customFormat="1" ht="13.5" thickBot="1" x14ac:dyDescent="0.25">
      <c r="A104" s="1733" t="s">
        <v>1222</v>
      </c>
      <c r="B104" s="1140"/>
      <c r="C104" s="1075"/>
      <c r="D104" s="1075"/>
      <c r="E104" s="1086"/>
      <c r="F104" s="1086"/>
      <c r="G104" s="1152"/>
      <c r="H104" s="1086"/>
      <c r="I104" s="290">
        <v>280000</v>
      </c>
      <c r="J104" s="290">
        <v>280000</v>
      </c>
      <c r="K104" s="290">
        <f t="shared" ref="K104" si="15">SUM(K101:K103)</f>
        <v>280000</v>
      </c>
      <c r="L104" s="1102">
        <f t="shared" si="11"/>
        <v>0</v>
      </c>
      <c r="M104" s="1090"/>
      <c r="N104" s="1090"/>
      <c r="O104" s="300"/>
      <c r="P104" s="595">
        <f>'Sumář  výdaje kapitol'!BF73</f>
        <v>280000</v>
      </c>
      <c r="Q104" s="929">
        <f>+P104-K104</f>
        <v>0</v>
      </c>
    </row>
    <row r="105" spans="1:17" s="1725" customFormat="1" outlineLevel="1" x14ac:dyDescent="0.2">
      <c r="A105" s="1132"/>
      <c r="B105" s="1137" t="s">
        <v>842</v>
      </c>
      <c r="C105" s="1113" t="s">
        <v>1204</v>
      </c>
      <c r="D105" s="1113"/>
      <c r="E105" s="1114"/>
      <c r="F105" s="1114"/>
      <c r="G105" s="1127"/>
      <c r="H105" s="1114" t="s">
        <v>1233</v>
      </c>
      <c r="I105" s="278">
        <v>800000</v>
      </c>
      <c r="J105" s="278">
        <v>500000</v>
      </c>
      <c r="K105" s="278">
        <f>'[5]MŠ Cukrovar'!$B$13</f>
        <v>500000</v>
      </c>
      <c r="L105" s="369">
        <f t="shared" si="11"/>
        <v>0</v>
      </c>
      <c r="M105" s="1108"/>
      <c r="N105" s="1108"/>
      <c r="O105" s="278"/>
      <c r="P105" s="216"/>
      <c r="Q105" s="930"/>
    </row>
    <row r="106" spans="1:17" s="1725" customFormat="1" ht="13.5" outlineLevel="1" thickBot="1" x14ac:dyDescent="0.25">
      <c r="A106" s="1144" t="s">
        <v>1203</v>
      </c>
      <c r="B106" s="1138" t="s">
        <v>842</v>
      </c>
      <c r="C106" s="1074" t="s">
        <v>396</v>
      </c>
      <c r="D106" s="1074"/>
      <c r="E106" s="1085"/>
      <c r="F106" s="1085"/>
      <c r="G106" s="1151"/>
      <c r="H106" s="1085" t="s">
        <v>1233</v>
      </c>
      <c r="I106" s="1099">
        <v>30000</v>
      </c>
      <c r="J106" s="1099">
        <v>30000</v>
      </c>
      <c r="K106" s="1099">
        <f>'[5]MŠ Cukrovar'!$B$20</f>
        <v>30000</v>
      </c>
      <c r="L106" s="1100">
        <f t="shared" si="11"/>
        <v>0</v>
      </c>
      <c r="M106" s="1088"/>
      <c r="N106" s="1088"/>
      <c r="O106" s="1099"/>
      <c r="P106" s="216"/>
      <c r="Q106" s="930"/>
    </row>
    <row r="107" spans="1:17" s="1725" customFormat="1" ht="13.5" thickBot="1" x14ac:dyDescent="0.25">
      <c r="A107" s="1733" t="s">
        <v>1223</v>
      </c>
      <c r="B107" s="1140"/>
      <c r="C107" s="1075"/>
      <c r="D107" s="1075"/>
      <c r="E107" s="1086"/>
      <c r="F107" s="1086"/>
      <c r="G107" s="1152"/>
      <c r="H107" s="1086"/>
      <c r="I107" s="290">
        <v>830000</v>
      </c>
      <c r="J107" s="290">
        <v>530000</v>
      </c>
      <c r="K107" s="290">
        <f t="shared" ref="K107" si="16">SUM(K105:K106)</f>
        <v>530000</v>
      </c>
      <c r="L107" s="1102">
        <f t="shared" si="11"/>
        <v>0</v>
      </c>
      <c r="M107" s="1090"/>
      <c r="N107" s="1090"/>
      <c r="O107" s="300"/>
      <c r="P107" s="595">
        <f>'Sumář  výdaje kapitol'!BJ73</f>
        <v>530000</v>
      </c>
      <c r="Q107" s="929">
        <f>+P107-K107</f>
        <v>0</v>
      </c>
    </row>
    <row r="108" spans="1:17" s="1725" customFormat="1" outlineLevel="1" x14ac:dyDescent="0.2">
      <c r="A108" s="1064"/>
      <c r="B108" s="1136" t="s">
        <v>232</v>
      </c>
      <c r="C108" s="1113" t="s">
        <v>1390</v>
      </c>
      <c r="D108" s="1113"/>
      <c r="E108" s="1114"/>
      <c r="F108" s="1157">
        <v>42979</v>
      </c>
      <c r="G108" s="1158">
        <v>43069</v>
      </c>
      <c r="H108" s="1114" t="s">
        <v>1233</v>
      </c>
      <c r="I108" s="278">
        <v>60000</v>
      </c>
      <c r="J108" s="278">
        <v>60000</v>
      </c>
      <c r="K108" s="278">
        <f>[4]VO!$B$23</f>
        <v>60000</v>
      </c>
      <c r="L108" s="369">
        <f t="shared" si="11"/>
        <v>0</v>
      </c>
      <c r="M108" s="1108"/>
      <c r="N108" s="1108"/>
      <c r="O108" s="278"/>
      <c r="P108" s="216"/>
      <c r="Q108" s="930"/>
    </row>
    <row r="109" spans="1:17" s="1725" customFormat="1" outlineLevel="1" x14ac:dyDescent="0.2">
      <c r="A109" s="1064"/>
      <c r="B109" s="1137" t="s">
        <v>232</v>
      </c>
      <c r="C109" s="1113" t="s">
        <v>426</v>
      </c>
      <c r="D109" s="1113"/>
      <c r="E109" s="1114"/>
      <c r="F109" s="1114"/>
      <c r="G109" s="1127"/>
      <c r="H109" s="1114" t="s">
        <v>1233</v>
      </c>
      <c r="I109" s="278">
        <v>416000</v>
      </c>
      <c r="J109" s="278">
        <v>416000</v>
      </c>
      <c r="K109" s="278">
        <f>[4]VO!$B$24</f>
        <v>416000</v>
      </c>
      <c r="L109" s="369">
        <f t="shared" si="11"/>
        <v>0</v>
      </c>
      <c r="M109" s="1108"/>
      <c r="N109" s="1108"/>
      <c r="O109" s="278"/>
      <c r="P109" s="216"/>
      <c r="Q109" s="930"/>
    </row>
    <row r="110" spans="1:17" s="1725" customFormat="1" outlineLevel="1" x14ac:dyDescent="0.2">
      <c r="A110" s="1064"/>
      <c r="B110" s="1141" t="s">
        <v>232</v>
      </c>
      <c r="C110" s="1116" t="s">
        <v>404</v>
      </c>
      <c r="D110" s="1116"/>
      <c r="E110" s="1117"/>
      <c r="F110" s="1117"/>
      <c r="G110" s="1126"/>
      <c r="H110" s="1117" t="s">
        <v>1233</v>
      </c>
      <c r="I110" s="211">
        <v>2000000</v>
      </c>
      <c r="J110" s="211">
        <v>2000000</v>
      </c>
      <c r="K110" s="211">
        <f>[4]VO!$B$25</f>
        <v>2000000</v>
      </c>
      <c r="L110" s="370">
        <f t="shared" si="11"/>
        <v>0</v>
      </c>
      <c r="M110" s="1118"/>
      <c r="N110" s="1118"/>
      <c r="O110" s="211"/>
      <c r="P110" s="216"/>
      <c r="Q110" s="930"/>
    </row>
    <row r="111" spans="1:17" s="1725" customFormat="1" outlineLevel="1" x14ac:dyDescent="0.2">
      <c r="A111" s="1064"/>
      <c r="B111" s="1141" t="s">
        <v>232</v>
      </c>
      <c r="C111" s="1116" t="s">
        <v>404</v>
      </c>
      <c r="D111" s="1116"/>
      <c r="E111" s="1117"/>
      <c r="F111" s="1117"/>
      <c r="G111" s="1126"/>
      <c r="H111" s="1117" t="s">
        <v>1233</v>
      </c>
      <c r="I111" s="211">
        <v>300000</v>
      </c>
      <c r="J111" s="211">
        <v>300000</v>
      </c>
      <c r="K111" s="211">
        <f>[4]VO!$B$26</f>
        <v>300000</v>
      </c>
      <c r="L111" s="370">
        <f t="shared" si="11"/>
        <v>0</v>
      </c>
      <c r="M111" s="1118"/>
      <c r="N111" s="1118"/>
      <c r="O111" s="211"/>
      <c r="P111" s="216"/>
      <c r="Q111" s="930"/>
    </row>
    <row r="112" spans="1:17" s="1725" customFormat="1" ht="25.5" outlineLevel="1" x14ac:dyDescent="0.2">
      <c r="A112" s="1064"/>
      <c r="B112" s="1141" t="s">
        <v>232</v>
      </c>
      <c r="C112" s="1116" t="s">
        <v>1130</v>
      </c>
      <c r="D112" s="1116"/>
      <c r="E112" s="1117"/>
      <c r="F112" s="1117"/>
      <c r="G112" s="1126"/>
      <c r="H112" s="1117"/>
      <c r="I112" s="211"/>
      <c r="J112" s="211"/>
      <c r="K112" s="211"/>
      <c r="L112" s="370">
        <f t="shared" si="11"/>
        <v>0</v>
      </c>
      <c r="M112" s="1118"/>
      <c r="N112" s="1118"/>
      <c r="O112" s="211"/>
      <c r="P112" s="216"/>
      <c r="Q112" s="930"/>
    </row>
    <row r="113" spans="1:17" s="1725" customFormat="1" outlineLevel="1" x14ac:dyDescent="0.2">
      <c r="A113" s="1064"/>
      <c r="B113" s="1141" t="s">
        <v>232</v>
      </c>
      <c r="C113" s="1116" t="s">
        <v>1391</v>
      </c>
      <c r="D113" s="1116"/>
      <c r="E113" s="1117"/>
      <c r="F113" s="1117"/>
      <c r="G113" s="1126"/>
      <c r="H113" s="1117" t="s">
        <v>1233</v>
      </c>
      <c r="I113" s="211">
        <v>16000</v>
      </c>
      <c r="J113" s="211">
        <v>16000</v>
      </c>
      <c r="K113" s="211">
        <f>[4]VO!$B$27</f>
        <v>16000</v>
      </c>
      <c r="L113" s="370">
        <f t="shared" si="11"/>
        <v>0</v>
      </c>
      <c r="M113" s="1118"/>
      <c r="N113" s="1118"/>
      <c r="O113" s="211"/>
      <c r="P113" s="216"/>
      <c r="Q113" s="930"/>
    </row>
    <row r="114" spans="1:17" s="1725" customFormat="1" outlineLevel="1" x14ac:dyDescent="0.2">
      <c r="A114" s="1064"/>
      <c r="B114" s="1141" t="s">
        <v>232</v>
      </c>
      <c r="C114" s="1116" t="s">
        <v>844</v>
      </c>
      <c r="D114" s="1116"/>
      <c r="E114" s="1117"/>
      <c r="F114" s="1117"/>
      <c r="G114" s="1126"/>
      <c r="H114" s="1117" t="s">
        <v>1233</v>
      </c>
      <c r="I114" s="211">
        <v>0</v>
      </c>
      <c r="J114" s="211">
        <v>0</v>
      </c>
      <c r="K114" s="211">
        <f>[4]VO!$B$28</f>
        <v>0</v>
      </c>
      <c r="L114" s="370">
        <f t="shared" si="11"/>
        <v>0</v>
      </c>
      <c r="M114" s="1118"/>
      <c r="N114" s="1118"/>
      <c r="O114" s="211"/>
      <c r="P114" s="216"/>
      <c r="Q114" s="930"/>
    </row>
    <row r="115" spans="1:17" s="1725" customFormat="1" outlineLevel="1" x14ac:dyDescent="0.2">
      <c r="A115" s="1064"/>
      <c r="B115" s="1141" t="s">
        <v>232</v>
      </c>
      <c r="C115" s="1116" t="s">
        <v>1409</v>
      </c>
      <c r="D115" s="1116"/>
      <c r="E115" s="1117"/>
      <c r="F115" s="1117"/>
      <c r="G115" s="1126"/>
      <c r="H115" s="1117"/>
      <c r="I115" s="211">
        <v>0</v>
      </c>
      <c r="J115" s="211">
        <v>0</v>
      </c>
      <c r="K115" s="211">
        <v>0</v>
      </c>
      <c r="L115" s="370">
        <f t="shared" si="11"/>
        <v>0</v>
      </c>
      <c r="M115" s="1118"/>
      <c r="N115" s="1118"/>
      <c r="O115" s="211"/>
      <c r="P115" s="216"/>
      <c r="Q115" s="930"/>
    </row>
    <row r="116" spans="1:17" s="1725" customFormat="1" outlineLevel="1" x14ac:dyDescent="0.2">
      <c r="A116" s="1064"/>
      <c r="B116" s="1141" t="s">
        <v>232</v>
      </c>
      <c r="C116" s="1116" t="s">
        <v>451</v>
      </c>
      <c r="D116" s="1116"/>
      <c r="E116" s="1117"/>
      <c r="F116" s="1117"/>
      <c r="G116" s="1126"/>
      <c r="H116" s="1117" t="s">
        <v>1233</v>
      </c>
      <c r="I116" s="211"/>
      <c r="J116" s="211"/>
      <c r="K116" s="211"/>
      <c r="L116" s="370">
        <f t="shared" si="11"/>
        <v>0</v>
      </c>
      <c r="M116" s="1118"/>
      <c r="N116" s="1118"/>
      <c r="O116" s="211"/>
      <c r="P116" s="216"/>
      <c r="Q116" s="930"/>
    </row>
    <row r="117" spans="1:17" s="1725" customFormat="1" ht="13.5" outlineLevel="1" thickBot="1" x14ac:dyDescent="0.25">
      <c r="A117" s="1066">
        <v>3631</v>
      </c>
      <c r="B117" s="1174" t="s">
        <v>232</v>
      </c>
      <c r="C117" s="1182" t="s">
        <v>1408</v>
      </c>
      <c r="D117" s="1182"/>
      <c r="E117" s="1183"/>
      <c r="F117" s="1183"/>
      <c r="G117" s="1186"/>
      <c r="H117" s="1183" t="s">
        <v>872</v>
      </c>
      <c r="I117" s="1180"/>
      <c r="J117" s="1180"/>
      <c r="K117" s="1180"/>
      <c r="L117" s="370">
        <f t="shared" si="11"/>
        <v>0</v>
      </c>
      <c r="M117" s="1088"/>
      <c r="N117" s="1088"/>
      <c r="O117" s="211"/>
      <c r="P117" s="216"/>
      <c r="Q117" s="930"/>
    </row>
    <row r="118" spans="1:17" s="1725" customFormat="1" ht="13.5" thickBot="1" x14ac:dyDescent="0.25">
      <c r="A118" s="1961" t="s">
        <v>1224</v>
      </c>
      <c r="B118" s="1962"/>
      <c r="C118" s="1075"/>
      <c r="D118" s="1075"/>
      <c r="E118" s="1086"/>
      <c r="F118" s="1086"/>
      <c r="G118" s="1152"/>
      <c r="H118" s="1086"/>
      <c r="I118" s="290">
        <v>2792000</v>
      </c>
      <c r="J118" s="290">
        <v>2792000</v>
      </c>
      <c r="K118" s="290">
        <f>SUM(K108:K117)</f>
        <v>2792000</v>
      </c>
      <c r="L118" s="1102">
        <f t="shared" si="11"/>
        <v>0</v>
      </c>
      <c r="M118" s="1090"/>
      <c r="N118" s="1090"/>
      <c r="O118" s="300"/>
      <c r="P118" s="595">
        <f>'Sumář  výdaje kapitol'!BN73</f>
        <v>2792000</v>
      </c>
      <c r="Q118" s="929">
        <f>+P118-K118</f>
        <v>0</v>
      </c>
    </row>
    <row r="119" spans="1:17" s="1727" customFormat="1" ht="15" customHeight="1" outlineLevel="1" x14ac:dyDescent="0.25">
      <c r="A119" s="1064"/>
      <c r="B119" s="1136" t="s">
        <v>233</v>
      </c>
      <c r="C119" s="1119" t="s">
        <v>1261</v>
      </c>
      <c r="D119" s="1119"/>
      <c r="E119" s="1120"/>
      <c r="F119" s="1120"/>
      <c r="G119" s="1153"/>
      <c r="H119" s="1120" t="s">
        <v>1233</v>
      </c>
      <c r="I119" s="856">
        <v>1593315</v>
      </c>
      <c r="J119" s="856">
        <v>1593315</v>
      </c>
      <c r="K119" s="856">
        <f>'[5]Silnice stavba'!$B$9</f>
        <v>1593315</v>
      </c>
      <c r="L119" s="1111">
        <f t="shared" si="11"/>
        <v>0</v>
      </c>
      <c r="M119" s="1112"/>
      <c r="N119" s="1112"/>
      <c r="O119" s="856"/>
      <c r="P119" s="92"/>
      <c r="Q119" s="931"/>
    </row>
    <row r="120" spans="1:17" s="1727" customFormat="1" ht="15" customHeight="1" outlineLevel="1" x14ac:dyDescent="0.25">
      <c r="A120" s="1064"/>
      <c r="B120" s="1141" t="s">
        <v>233</v>
      </c>
      <c r="C120" s="1121" t="s">
        <v>967</v>
      </c>
      <c r="D120" s="1121"/>
      <c r="E120" s="1122"/>
      <c r="F120" s="1122"/>
      <c r="G120" s="1154"/>
      <c r="H120" s="1122" t="s">
        <v>1233</v>
      </c>
      <c r="I120" s="211">
        <v>0</v>
      </c>
      <c r="J120" s="211">
        <v>0</v>
      </c>
      <c r="K120" s="211">
        <f>'[5]Silnice stavba'!$B$22</f>
        <v>0</v>
      </c>
      <c r="L120" s="370">
        <f t="shared" si="11"/>
        <v>0</v>
      </c>
      <c r="M120" s="1118"/>
      <c r="N120" s="1118"/>
      <c r="O120" s="211"/>
      <c r="P120" s="92"/>
      <c r="Q120" s="931"/>
    </row>
    <row r="121" spans="1:17" s="1727" customFormat="1" ht="15" customHeight="1" outlineLevel="1" x14ac:dyDescent="0.25">
      <c r="A121" s="1064"/>
      <c r="B121" s="1141" t="s">
        <v>233</v>
      </c>
      <c r="C121" s="1121" t="s">
        <v>968</v>
      </c>
      <c r="D121" s="1121"/>
      <c r="E121" s="1122"/>
      <c r="F121" s="1122"/>
      <c r="G121" s="1154"/>
      <c r="H121" s="1122" t="s">
        <v>1233</v>
      </c>
      <c r="I121" s="211">
        <v>0</v>
      </c>
      <c r="J121" s="211">
        <v>0</v>
      </c>
      <c r="K121" s="211">
        <f>'[5]Silnice stavba'!$B$32</f>
        <v>0</v>
      </c>
      <c r="L121" s="370">
        <f t="shared" si="11"/>
        <v>0</v>
      </c>
      <c r="M121" s="1118"/>
      <c r="N121" s="1118"/>
      <c r="O121" s="211"/>
      <c r="P121" s="92"/>
      <c r="Q121" s="931"/>
    </row>
    <row r="122" spans="1:17" s="1727" customFormat="1" ht="15" customHeight="1" outlineLevel="1" x14ac:dyDescent="0.25">
      <c r="A122" s="1064"/>
      <c r="B122" s="1141" t="s">
        <v>233</v>
      </c>
      <c r="C122" s="1121" t="s">
        <v>1262</v>
      </c>
      <c r="D122" s="1121"/>
      <c r="E122" s="1122"/>
      <c r="F122" s="1122"/>
      <c r="G122" s="1154"/>
      <c r="H122" s="1122" t="s">
        <v>1233</v>
      </c>
      <c r="I122" s="211">
        <v>0</v>
      </c>
      <c r="J122" s="211">
        <v>0</v>
      </c>
      <c r="K122" s="211">
        <f>'[5]Silnice stavba'!$B$36</f>
        <v>0</v>
      </c>
      <c r="L122" s="370">
        <f t="shared" si="11"/>
        <v>0</v>
      </c>
      <c r="M122" s="1118"/>
      <c r="N122" s="1118"/>
      <c r="O122" s="211"/>
      <c r="P122" s="92"/>
      <c r="Q122" s="931"/>
    </row>
    <row r="123" spans="1:17" s="1727" customFormat="1" ht="15" customHeight="1" outlineLevel="1" x14ac:dyDescent="0.25">
      <c r="A123" s="1064"/>
      <c r="B123" s="1141" t="s">
        <v>233</v>
      </c>
      <c r="C123" s="1121" t="s">
        <v>845</v>
      </c>
      <c r="D123" s="1121"/>
      <c r="E123" s="1122"/>
      <c r="F123" s="1122"/>
      <c r="G123" s="1154"/>
      <c r="H123" s="1122" t="s">
        <v>1233</v>
      </c>
      <c r="I123" s="211">
        <v>178920</v>
      </c>
      <c r="J123" s="211">
        <v>178920</v>
      </c>
      <c r="K123" s="211">
        <f>'[5]Silnice stavba'!$B$35</f>
        <v>191020</v>
      </c>
      <c r="L123" s="370">
        <f t="shared" si="11"/>
        <v>12100</v>
      </c>
      <c r="M123" s="1118"/>
      <c r="N123" s="1118"/>
      <c r="O123" s="211"/>
      <c r="P123" s="92"/>
      <c r="Q123" s="931"/>
    </row>
    <row r="124" spans="1:17" s="1727" customFormat="1" ht="15" customHeight="1" outlineLevel="1" x14ac:dyDescent="0.25">
      <c r="A124" s="1064"/>
      <c r="B124" s="1861" t="s">
        <v>233</v>
      </c>
      <c r="C124" s="1862" t="s">
        <v>1263</v>
      </c>
      <c r="D124" s="1862"/>
      <c r="E124" s="1863"/>
      <c r="F124" s="1864"/>
      <c r="G124" s="1865"/>
      <c r="H124" s="1863" t="s">
        <v>1233</v>
      </c>
      <c r="I124" s="1866">
        <v>0</v>
      </c>
      <c r="J124" s="1866">
        <v>0</v>
      </c>
      <c r="K124" s="1866">
        <f>'[5]Silnice stavba'!$B$52</f>
        <v>0</v>
      </c>
      <c r="L124" s="1867">
        <f t="shared" si="11"/>
        <v>0</v>
      </c>
      <c r="M124" s="1118"/>
      <c r="N124" s="1118"/>
      <c r="O124" s="211"/>
      <c r="P124" s="92"/>
      <c r="Q124" s="931"/>
    </row>
    <row r="125" spans="1:17" s="1727" customFormat="1" ht="15" customHeight="1" outlineLevel="1" x14ac:dyDescent="0.25">
      <c r="A125" s="1064"/>
      <c r="B125" s="1861" t="s">
        <v>233</v>
      </c>
      <c r="C125" s="1862" t="s">
        <v>846</v>
      </c>
      <c r="D125" s="1862"/>
      <c r="E125" s="1863" t="s">
        <v>1258</v>
      </c>
      <c r="F125" s="1864">
        <v>42614</v>
      </c>
      <c r="G125" s="1865">
        <v>43038</v>
      </c>
      <c r="H125" s="1863" t="s">
        <v>1234</v>
      </c>
      <c r="I125" s="1866">
        <v>80000</v>
      </c>
      <c r="J125" s="1866">
        <v>1089246</v>
      </c>
      <c r="K125" s="1866">
        <f>'[5]Silnice stavba'!$B$51</f>
        <v>1140246</v>
      </c>
      <c r="L125" s="1867">
        <f t="shared" si="11"/>
        <v>51000</v>
      </c>
      <c r="M125" s="1118"/>
      <c r="N125" s="1118"/>
      <c r="O125" s="211"/>
      <c r="P125" s="92"/>
      <c r="Q125" s="931"/>
    </row>
    <row r="126" spans="1:17" s="1727" customFormat="1" ht="15" customHeight="1" outlineLevel="1" x14ac:dyDescent="0.25">
      <c r="A126" s="1064"/>
      <c r="B126" s="1141" t="s">
        <v>233</v>
      </c>
      <c r="C126" s="1121" t="s">
        <v>1264</v>
      </c>
      <c r="D126" s="1121"/>
      <c r="E126" s="1122"/>
      <c r="F126" s="1122"/>
      <c r="G126" s="1154"/>
      <c r="H126" s="1122" t="s">
        <v>1233</v>
      </c>
      <c r="I126" s="211">
        <v>400000</v>
      </c>
      <c r="J126" s="211">
        <v>400000</v>
      </c>
      <c r="K126" s="211">
        <f>'[5]Silnice stavba'!$B$67</f>
        <v>400000</v>
      </c>
      <c r="L126" s="370">
        <f t="shared" si="11"/>
        <v>0</v>
      </c>
      <c r="M126" s="1118"/>
      <c r="N126" s="1118"/>
      <c r="O126" s="211"/>
      <c r="P126" s="92"/>
      <c r="Q126" s="931"/>
    </row>
    <row r="127" spans="1:17" s="1727" customFormat="1" ht="15" customHeight="1" outlineLevel="1" x14ac:dyDescent="0.25">
      <c r="A127" s="1064"/>
      <c r="B127" s="1141" t="s">
        <v>233</v>
      </c>
      <c r="C127" s="1121" t="s">
        <v>848</v>
      </c>
      <c r="D127" s="1121"/>
      <c r="E127" s="1122"/>
      <c r="F127" s="1122"/>
      <c r="G127" s="1154"/>
      <c r="H127" s="1122" t="s">
        <v>1233</v>
      </c>
      <c r="I127" s="211">
        <v>600000</v>
      </c>
      <c r="J127" s="211">
        <v>600000</v>
      </c>
      <c r="K127" s="211">
        <f>'[5]Silnice stavba'!$B$66</f>
        <v>600000</v>
      </c>
      <c r="L127" s="370">
        <f t="shared" si="11"/>
        <v>0</v>
      </c>
      <c r="M127" s="1118"/>
      <c r="N127" s="1118"/>
      <c r="O127" s="211"/>
      <c r="P127" s="92"/>
      <c r="Q127" s="931"/>
    </row>
    <row r="128" spans="1:17" s="1727" customFormat="1" ht="15" customHeight="1" outlineLevel="1" x14ac:dyDescent="0.25">
      <c r="A128" s="1064"/>
      <c r="B128" s="1141" t="s">
        <v>233</v>
      </c>
      <c r="C128" s="1121" t="s">
        <v>1265</v>
      </c>
      <c r="D128" s="1121"/>
      <c r="E128" s="1122"/>
      <c r="F128" s="1122"/>
      <c r="G128" s="1154"/>
      <c r="H128" s="1122" t="s">
        <v>1233</v>
      </c>
      <c r="I128" s="211">
        <v>0</v>
      </c>
      <c r="J128" s="211">
        <v>0</v>
      </c>
      <c r="K128" s="211">
        <f>'[5]Silnice stavba'!$B$80</f>
        <v>0</v>
      </c>
      <c r="L128" s="370">
        <f t="shared" si="11"/>
        <v>0</v>
      </c>
      <c r="M128" s="1118"/>
      <c r="N128" s="1118"/>
      <c r="O128" s="211"/>
      <c r="P128" s="92"/>
      <c r="Q128" s="931"/>
    </row>
    <row r="129" spans="1:17" s="1727" customFormat="1" ht="15" customHeight="1" outlineLevel="1" x14ac:dyDescent="0.25">
      <c r="A129" s="1064"/>
      <c r="B129" s="1141" t="s">
        <v>233</v>
      </c>
      <c r="C129" s="1121" t="s">
        <v>400</v>
      </c>
      <c r="D129" s="1121"/>
      <c r="E129" s="1122"/>
      <c r="F129" s="1122"/>
      <c r="G129" s="1154"/>
      <c r="H129" s="1122" t="s">
        <v>1233</v>
      </c>
      <c r="I129" s="211">
        <v>0</v>
      </c>
      <c r="J129" s="211">
        <v>0</v>
      </c>
      <c r="K129" s="211">
        <f>'[5]Silnice stavba'!$B$79</f>
        <v>0</v>
      </c>
      <c r="L129" s="370">
        <f t="shared" si="11"/>
        <v>0</v>
      </c>
      <c r="M129" s="1118"/>
      <c r="N129" s="1118"/>
      <c r="O129" s="211"/>
      <c r="P129" s="92"/>
      <c r="Q129" s="931"/>
    </row>
    <row r="130" spans="1:17" s="1727" customFormat="1" ht="15" customHeight="1" outlineLevel="1" x14ac:dyDescent="0.25">
      <c r="A130" s="1064"/>
      <c r="B130" s="1141" t="s">
        <v>233</v>
      </c>
      <c r="C130" s="1121" t="s">
        <v>1266</v>
      </c>
      <c r="D130" s="1121"/>
      <c r="E130" s="1122"/>
      <c r="F130" s="1122"/>
      <c r="G130" s="1154"/>
      <c r="H130" s="1122" t="s">
        <v>1233</v>
      </c>
      <c r="I130" s="211">
        <v>0</v>
      </c>
      <c r="J130" s="211">
        <v>0</v>
      </c>
      <c r="K130" s="211">
        <f>'[5]Silnice stavba'!$B$97</f>
        <v>500000</v>
      </c>
      <c r="L130" s="370">
        <f t="shared" si="11"/>
        <v>500000</v>
      </c>
      <c r="M130" s="1118"/>
      <c r="N130" s="1118"/>
      <c r="O130" s="211"/>
      <c r="P130" s="92"/>
      <c r="Q130" s="931"/>
    </row>
    <row r="131" spans="1:17" s="1727" customFormat="1" ht="15" customHeight="1" outlineLevel="1" x14ac:dyDescent="0.25">
      <c r="A131" s="1064"/>
      <c r="B131" s="1141" t="s">
        <v>233</v>
      </c>
      <c r="C131" s="1121" t="s">
        <v>438</v>
      </c>
      <c r="D131" s="1121"/>
      <c r="E131" s="1122"/>
      <c r="F131" s="1122"/>
      <c r="G131" s="1154"/>
      <c r="H131" s="1122" t="s">
        <v>1233</v>
      </c>
      <c r="I131" s="211">
        <v>0</v>
      </c>
      <c r="J131" s="211">
        <v>0</v>
      </c>
      <c r="K131" s="211">
        <f>'[5]Silnice stavba'!$B$96</f>
        <v>0</v>
      </c>
      <c r="L131" s="370">
        <f t="shared" si="11"/>
        <v>0</v>
      </c>
      <c r="M131" s="1118"/>
      <c r="N131" s="1118"/>
      <c r="O131" s="211"/>
      <c r="P131" s="92"/>
      <c r="Q131" s="931"/>
    </row>
    <row r="132" spans="1:17" s="1727" customFormat="1" ht="15" customHeight="1" outlineLevel="1" x14ac:dyDescent="0.25">
      <c r="A132" s="1064"/>
      <c r="B132" s="1141" t="s">
        <v>233</v>
      </c>
      <c r="C132" s="1121" t="s">
        <v>1398</v>
      </c>
      <c r="D132" s="1121"/>
      <c r="E132" s="1122"/>
      <c r="F132" s="1122"/>
      <c r="G132" s="1154"/>
      <c r="H132" s="1122" t="s">
        <v>1233</v>
      </c>
      <c r="I132" s="211">
        <v>0</v>
      </c>
      <c r="J132" s="211">
        <v>0</v>
      </c>
      <c r="K132" s="211">
        <f>'[5]Silnice stavba'!$B$112</f>
        <v>0</v>
      </c>
      <c r="L132" s="370">
        <f t="shared" si="11"/>
        <v>0</v>
      </c>
      <c r="M132" s="1118"/>
      <c r="N132" s="1118"/>
      <c r="O132" s="211"/>
      <c r="P132" s="92"/>
      <c r="Q132" s="931"/>
    </row>
    <row r="133" spans="1:17" s="1727" customFormat="1" ht="15" customHeight="1" outlineLevel="1" x14ac:dyDescent="0.25">
      <c r="A133" s="1064"/>
      <c r="B133" s="1141" t="s">
        <v>233</v>
      </c>
      <c r="C133" s="1121" t="s">
        <v>439</v>
      </c>
      <c r="D133" s="1121"/>
      <c r="E133" s="1122"/>
      <c r="F133" s="1122"/>
      <c r="G133" s="1154"/>
      <c r="H133" s="1122" t="s">
        <v>1233</v>
      </c>
      <c r="I133" s="211">
        <v>0</v>
      </c>
      <c r="J133" s="211">
        <v>0</v>
      </c>
      <c r="K133" s="211">
        <f>'[5]Silnice stavba'!$B$111</f>
        <v>0</v>
      </c>
      <c r="L133" s="370">
        <f t="shared" si="11"/>
        <v>0</v>
      </c>
      <c r="M133" s="1118"/>
      <c r="N133" s="1118"/>
      <c r="O133" s="211"/>
      <c r="P133" s="92"/>
      <c r="Q133" s="931"/>
    </row>
    <row r="134" spans="1:17" s="1727" customFormat="1" ht="15" customHeight="1" outlineLevel="1" x14ac:dyDescent="0.25">
      <c r="A134" s="1064"/>
      <c r="B134" s="1141" t="s">
        <v>233</v>
      </c>
      <c r="C134" s="1121" t="s">
        <v>1399</v>
      </c>
      <c r="D134" s="1121"/>
      <c r="E134" s="1122"/>
      <c r="F134" s="1122"/>
      <c r="G134" s="1154"/>
      <c r="H134" s="1122" t="s">
        <v>1233</v>
      </c>
      <c r="I134" s="211">
        <v>234396</v>
      </c>
      <c r="J134" s="211">
        <v>234396</v>
      </c>
      <c r="K134" s="211">
        <f>'[5]Silnice stavba'!$B$125</f>
        <v>234396</v>
      </c>
      <c r="L134" s="370">
        <f t="shared" si="11"/>
        <v>0</v>
      </c>
      <c r="M134" s="1118"/>
      <c r="N134" s="1118"/>
      <c r="O134" s="211"/>
      <c r="P134" s="92"/>
      <c r="Q134" s="931"/>
    </row>
    <row r="135" spans="1:17" s="1727" customFormat="1" ht="15" customHeight="1" outlineLevel="1" x14ac:dyDescent="0.25">
      <c r="A135" s="1064"/>
      <c r="B135" s="1141" t="s">
        <v>233</v>
      </c>
      <c r="C135" s="1121" t="s">
        <v>1400</v>
      </c>
      <c r="D135" s="1121"/>
      <c r="E135" s="1122"/>
      <c r="F135" s="1122"/>
      <c r="G135" s="1154"/>
      <c r="H135" s="1122" t="s">
        <v>1233</v>
      </c>
      <c r="I135" s="211">
        <v>750000</v>
      </c>
      <c r="J135" s="211">
        <v>0</v>
      </c>
      <c r="K135" s="210">
        <f>'[5]Silnice stavba'!$B$124</f>
        <v>0</v>
      </c>
      <c r="L135" s="370">
        <f t="shared" si="11"/>
        <v>0</v>
      </c>
      <c r="M135" s="1118"/>
      <c r="N135" s="1118"/>
      <c r="O135" s="211"/>
      <c r="P135" s="92"/>
      <c r="Q135" s="931"/>
    </row>
    <row r="136" spans="1:17" s="1727" customFormat="1" ht="15" customHeight="1" outlineLevel="1" x14ac:dyDescent="0.25">
      <c r="A136" s="1064"/>
      <c r="B136" s="1141" t="s">
        <v>233</v>
      </c>
      <c r="C136" s="1121" t="s">
        <v>1267</v>
      </c>
      <c r="D136" s="1121"/>
      <c r="E136" s="1122"/>
      <c r="F136" s="1122"/>
      <c r="G136" s="1154"/>
      <c r="H136" s="1122" t="s">
        <v>1233</v>
      </c>
      <c r="I136" s="211">
        <v>95000</v>
      </c>
      <c r="J136" s="211">
        <v>95000</v>
      </c>
      <c r="K136" s="211">
        <f>'[5]Silnice stavba'!$B$140</f>
        <v>95000</v>
      </c>
      <c r="L136" s="370">
        <f t="shared" si="11"/>
        <v>0</v>
      </c>
      <c r="M136" s="1118"/>
      <c r="N136" s="1118"/>
      <c r="O136" s="211"/>
      <c r="P136" s="92"/>
      <c r="Q136" s="931"/>
    </row>
    <row r="137" spans="1:17" s="1727" customFormat="1" ht="15" customHeight="1" outlineLevel="1" x14ac:dyDescent="0.25">
      <c r="A137" s="1064"/>
      <c r="B137" s="1141" t="s">
        <v>233</v>
      </c>
      <c r="C137" s="1121" t="s">
        <v>442</v>
      </c>
      <c r="D137" s="1121"/>
      <c r="E137" s="1122"/>
      <c r="F137" s="1122"/>
      <c r="G137" s="1154"/>
      <c r="H137" s="1122" t="s">
        <v>1233</v>
      </c>
      <c r="I137" s="211">
        <v>0</v>
      </c>
      <c r="J137" s="211">
        <v>0</v>
      </c>
      <c r="K137" s="211">
        <f>'[5]Silnice stavba'!$B$139</f>
        <v>0</v>
      </c>
      <c r="L137" s="370">
        <f t="shared" si="11"/>
        <v>0</v>
      </c>
      <c r="M137" s="1118"/>
      <c r="N137" s="1118"/>
      <c r="O137" s="211"/>
      <c r="P137" s="92"/>
      <c r="Q137" s="931"/>
    </row>
    <row r="138" spans="1:17" s="1727" customFormat="1" ht="15" customHeight="1" outlineLevel="1" x14ac:dyDescent="0.25">
      <c r="A138" s="1064"/>
      <c r="B138" s="1141" t="s">
        <v>233</v>
      </c>
      <c r="C138" s="1121" t="s">
        <v>1268</v>
      </c>
      <c r="D138" s="1121"/>
      <c r="E138" s="1122"/>
      <c r="F138" s="1122"/>
      <c r="G138" s="1154"/>
      <c r="H138" s="1122" t="s">
        <v>1233</v>
      </c>
      <c r="I138" s="211">
        <v>0</v>
      </c>
      <c r="J138" s="211">
        <v>0</v>
      </c>
      <c r="K138" s="211">
        <f>'[5]Silnice stavba'!$B$155</f>
        <v>0</v>
      </c>
      <c r="L138" s="370">
        <f t="shared" ref="L138:L167" si="17">+K138-J138</f>
        <v>0</v>
      </c>
      <c r="M138" s="1118"/>
      <c r="N138" s="1118"/>
      <c r="O138" s="211"/>
      <c r="P138" s="92"/>
      <c r="Q138" s="931"/>
    </row>
    <row r="139" spans="1:17" s="1727" customFormat="1" ht="15" customHeight="1" outlineLevel="1" x14ac:dyDescent="0.25">
      <c r="A139" s="1064"/>
      <c r="B139" s="1141" t="s">
        <v>233</v>
      </c>
      <c r="C139" s="1121" t="s">
        <v>850</v>
      </c>
      <c r="D139" s="1121"/>
      <c r="E139" s="1122"/>
      <c r="F139" s="1122"/>
      <c r="G139" s="1154"/>
      <c r="H139" s="1122" t="s">
        <v>1233</v>
      </c>
      <c r="I139" s="211">
        <v>0</v>
      </c>
      <c r="J139" s="211">
        <v>0</v>
      </c>
      <c r="K139" s="211">
        <f>'[5]Silnice stavba'!$B$154</f>
        <v>0</v>
      </c>
      <c r="L139" s="370">
        <f t="shared" si="17"/>
        <v>0</v>
      </c>
      <c r="M139" s="1118"/>
      <c r="N139" s="1118"/>
      <c r="O139" s="211"/>
      <c r="P139" s="92"/>
      <c r="Q139" s="931"/>
    </row>
    <row r="140" spans="1:17" s="1727" customFormat="1" ht="15" customHeight="1" outlineLevel="1" x14ac:dyDescent="0.25">
      <c r="A140" s="1064"/>
      <c r="B140" s="1141" t="s">
        <v>233</v>
      </c>
      <c r="C140" s="1121" t="s">
        <v>642</v>
      </c>
      <c r="D140" s="1121"/>
      <c r="E140" s="1122"/>
      <c r="F140" s="1122"/>
      <c r="G140" s="1154"/>
      <c r="H140" s="1122" t="s">
        <v>1233</v>
      </c>
      <c r="I140" s="211">
        <v>0</v>
      </c>
      <c r="J140" s="211">
        <v>0</v>
      </c>
      <c r="K140" s="211">
        <f>'[5]Silnice stavba'!$B$170</f>
        <v>0</v>
      </c>
      <c r="L140" s="370">
        <f t="shared" si="17"/>
        <v>0</v>
      </c>
      <c r="M140" s="1118"/>
      <c r="N140" s="1118"/>
      <c r="O140" s="211"/>
      <c r="P140" s="92"/>
      <c r="Q140" s="931"/>
    </row>
    <row r="141" spans="1:17" s="1727" customFormat="1" ht="15" customHeight="1" outlineLevel="1" x14ac:dyDescent="0.25">
      <c r="A141" s="1064"/>
      <c r="B141" s="1141" t="s">
        <v>233</v>
      </c>
      <c r="C141" s="1121" t="s">
        <v>1269</v>
      </c>
      <c r="D141" s="1121"/>
      <c r="E141" s="1122"/>
      <c r="F141" s="1122"/>
      <c r="G141" s="1154"/>
      <c r="H141" s="1122" t="s">
        <v>1233</v>
      </c>
      <c r="I141" s="211">
        <v>0</v>
      </c>
      <c r="J141" s="211">
        <v>0</v>
      </c>
      <c r="K141" s="211">
        <f>'[5]Silnice stavba'!$B$174</f>
        <v>0</v>
      </c>
      <c r="L141" s="370">
        <f t="shared" si="17"/>
        <v>0</v>
      </c>
      <c r="M141" s="1118"/>
      <c r="N141" s="1118"/>
      <c r="O141" s="211"/>
      <c r="P141" s="92"/>
      <c r="Q141" s="931"/>
    </row>
    <row r="142" spans="1:17" s="1727" customFormat="1" ht="15" customHeight="1" outlineLevel="1" x14ac:dyDescent="0.25">
      <c r="A142" s="1064"/>
      <c r="B142" s="1141" t="s">
        <v>233</v>
      </c>
      <c r="C142" s="1121" t="s">
        <v>851</v>
      </c>
      <c r="D142" s="1121"/>
      <c r="E142" s="1122"/>
      <c r="F142" s="1122"/>
      <c r="G142" s="1154"/>
      <c r="H142" s="1122" t="s">
        <v>1233</v>
      </c>
      <c r="I142" s="211">
        <v>0</v>
      </c>
      <c r="J142" s="211">
        <v>0</v>
      </c>
      <c r="K142" s="211">
        <f>'[5]Silnice stavba'!$B$173</f>
        <v>0</v>
      </c>
      <c r="L142" s="370">
        <f t="shared" si="17"/>
        <v>0</v>
      </c>
      <c r="M142" s="1118"/>
      <c r="N142" s="1118"/>
      <c r="O142" s="211"/>
      <c r="P142" s="92"/>
      <c r="Q142" s="931"/>
    </row>
    <row r="143" spans="1:17" s="1727" customFormat="1" ht="15" customHeight="1" outlineLevel="1" x14ac:dyDescent="0.25">
      <c r="A143" s="1064"/>
      <c r="B143" s="1141" t="s">
        <v>233</v>
      </c>
      <c r="C143" s="1121" t="s">
        <v>1270</v>
      </c>
      <c r="D143" s="1121"/>
      <c r="E143" s="1122"/>
      <c r="F143" s="1122"/>
      <c r="G143" s="1154"/>
      <c r="H143" s="1122" t="s">
        <v>1233</v>
      </c>
      <c r="I143" s="211">
        <v>0</v>
      </c>
      <c r="J143" s="211">
        <v>0</v>
      </c>
      <c r="K143" s="211">
        <f>'[5]Silnice stavba'!$B$185</f>
        <v>0</v>
      </c>
      <c r="L143" s="370">
        <f t="shared" si="17"/>
        <v>0</v>
      </c>
      <c r="M143" s="1118"/>
      <c r="N143" s="1118"/>
      <c r="O143" s="211"/>
      <c r="P143" s="92"/>
      <c r="Q143" s="931"/>
    </row>
    <row r="144" spans="1:17" s="1727" customFormat="1" ht="15" customHeight="1" outlineLevel="1" x14ac:dyDescent="0.25">
      <c r="A144" s="1064"/>
      <c r="B144" s="1141" t="s">
        <v>233</v>
      </c>
      <c r="C144" s="1121" t="s">
        <v>882</v>
      </c>
      <c r="D144" s="1121"/>
      <c r="E144" s="1122"/>
      <c r="F144" s="1122"/>
      <c r="G144" s="1154"/>
      <c r="H144" s="1122" t="s">
        <v>1233</v>
      </c>
      <c r="I144" s="211">
        <v>0</v>
      </c>
      <c r="J144" s="211">
        <v>0</v>
      </c>
      <c r="K144" s="211">
        <f>'[5]Silnice stavba'!$B$184</f>
        <v>0</v>
      </c>
      <c r="L144" s="370">
        <f t="shared" si="17"/>
        <v>0</v>
      </c>
      <c r="M144" s="1118"/>
      <c r="N144" s="1118"/>
      <c r="O144" s="211"/>
      <c r="P144" s="92"/>
      <c r="Q144" s="931"/>
    </row>
    <row r="145" spans="1:17" s="1727" customFormat="1" ht="15" customHeight="1" outlineLevel="1" x14ac:dyDescent="0.25">
      <c r="A145" s="1064"/>
      <c r="B145" s="1141" t="s">
        <v>233</v>
      </c>
      <c r="C145" s="1121" t="s">
        <v>1271</v>
      </c>
      <c r="D145" s="1121"/>
      <c r="E145" s="1122"/>
      <c r="F145" s="1122"/>
      <c r="G145" s="1154"/>
      <c r="H145" s="1122" t="s">
        <v>1233</v>
      </c>
      <c r="I145" s="211">
        <v>0</v>
      </c>
      <c r="J145" s="211">
        <v>0</v>
      </c>
      <c r="K145" s="211">
        <f>'[5]Silnice stavba'!$B$196</f>
        <v>0</v>
      </c>
      <c r="L145" s="370">
        <f t="shared" si="17"/>
        <v>0</v>
      </c>
      <c r="M145" s="1118"/>
      <c r="N145" s="1118"/>
      <c r="O145" s="211"/>
      <c r="P145" s="92"/>
      <c r="Q145" s="931"/>
    </row>
    <row r="146" spans="1:17" s="1727" customFormat="1" ht="15" customHeight="1" outlineLevel="1" x14ac:dyDescent="0.25">
      <c r="A146" s="1064"/>
      <c r="B146" s="1141" t="s">
        <v>233</v>
      </c>
      <c r="C146" s="1121" t="s">
        <v>852</v>
      </c>
      <c r="D146" s="1121"/>
      <c r="E146" s="1122"/>
      <c r="F146" s="1122"/>
      <c r="G146" s="1154"/>
      <c r="H146" s="1122" t="s">
        <v>1233</v>
      </c>
      <c r="I146" s="211">
        <v>0</v>
      </c>
      <c r="J146" s="211">
        <v>0</v>
      </c>
      <c r="K146" s="211">
        <f>'[5]Silnice stavba'!$B$195</f>
        <v>0</v>
      </c>
      <c r="L146" s="370">
        <f t="shared" si="17"/>
        <v>0</v>
      </c>
      <c r="M146" s="1118"/>
      <c r="N146" s="1118"/>
      <c r="O146" s="211"/>
      <c r="P146" s="92"/>
      <c r="Q146" s="931"/>
    </row>
    <row r="147" spans="1:17" s="1727" customFormat="1" ht="15" customHeight="1" outlineLevel="1" x14ac:dyDescent="0.25">
      <c r="A147" s="1064"/>
      <c r="B147" s="1141" t="s">
        <v>233</v>
      </c>
      <c r="C147" s="1121" t="s">
        <v>1272</v>
      </c>
      <c r="D147" s="1121"/>
      <c r="E147" s="1122"/>
      <c r="F147" s="1122"/>
      <c r="G147" s="1154"/>
      <c r="H147" s="1122" t="s">
        <v>1233</v>
      </c>
      <c r="I147" s="211">
        <v>0</v>
      </c>
      <c r="J147" s="211">
        <v>0</v>
      </c>
      <c r="K147" s="211">
        <f>'[5]Silnice stavba'!$B$207</f>
        <v>0</v>
      </c>
      <c r="L147" s="370">
        <f t="shared" si="17"/>
        <v>0</v>
      </c>
      <c r="M147" s="1118"/>
      <c r="N147" s="1118"/>
      <c r="O147" s="211"/>
      <c r="P147" s="92"/>
      <c r="Q147" s="931"/>
    </row>
    <row r="148" spans="1:17" s="1727" customFormat="1" ht="15" customHeight="1" outlineLevel="1" x14ac:dyDescent="0.25">
      <c r="A148" s="1064"/>
      <c r="B148" s="1141" t="s">
        <v>233</v>
      </c>
      <c r="C148" s="1121" t="s">
        <v>853</v>
      </c>
      <c r="D148" s="1121"/>
      <c r="E148" s="1122"/>
      <c r="F148" s="1122"/>
      <c r="G148" s="1154"/>
      <c r="H148" s="1122" t="s">
        <v>1233</v>
      </c>
      <c r="I148" s="211">
        <v>200000</v>
      </c>
      <c r="J148" s="211">
        <v>0</v>
      </c>
      <c r="K148" s="210">
        <f>'[5]Silnice stavba'!$B$206</f>
        <v>0</v>
      </c>
      <c r="L148" s="370">
        <f t="shared" si="17"/>
        <v>0</v>
      </c>
      <c r="M148" s="1118"/>
      <c r="N148" s="1118"/>
      <c r="O148" s="211"/>
      <c r="P148" s="92"/>
      <c r="Q148" s="931"/>
    </row>
    <row r="149" spans="1:17" s="1727" customFormat="1" ht="15" customHeight="1" outlineLevel="1" x14ac:dyDescent="0.25">
      <c r="A149" s="1064"/>
      <c r="B149" s="1141" t="s">
        <v>233</v>
      </c>
      <c r="C149" s="1121" t="s">
        <v>1273</v>
      </c>
      <c r="D149" s="1121"/>
      <c r="E149" s="1122"/>
      <c r="F149" s="1122"/>
      <c r="G149" s="1154"/>
      <c r="H149" s="1122" t="s">
        <v>1233</v>
      </c>
      <c r="I149" s="211">
        <v>190000</v>
      </c>
      <c r="J149" s="211">
        <v>0</v>
      </c>
      <c r="K149" s="210">
        <f>'[5]Silnice stavba'!$B$218</f>
        <v>0</v>
      </c>
      <c r="L149" s="370">
        <f t="shared" si="17"/>
        <v>0</v>
      </c>
      <c r="M149" s="1118"/>
      <c r="N149" s="1118"/>
      <c r="O149" s="211"/>
      <c r="P149" s="92"/>
      <c r="Q149" s="931"/>
    </row>
    <row r="150" spans="1:17" s="1727" customFormat="1" ht="15" customHeight="1" outlineLevel="1" x14ac:dyDescent="0.25">
      <c r="A150" s="1064"/>
      <c r="B150" s="1141" t="s">
        <v>233</v>
      </c>
      <c r="C150" s="1121" t="s">
        <v>854</v>
      </c>
      <c r="D150" s="1121"/>
      <c r="E150" s="1122"/>
      <c r="F150" s="1122"/>
      <c r="G150" s="1154"/>
      <c r="H150" s="1122" t="s">
        <v>1233</v>
      </c>
      <c r="I150" s="211">
        <v>0</v>
      </c>
      <c r="J150" s="211">
        <v>0</v>
      </c>
      <c r="K150" s="211">
        <f>'[5]Silnice stavba'!$B$217</f>
        <v>0</v>
      </c>
      <c r="L150" s="370">
        <f t="shared" si="17"/>
        <v>0</v>
      </c>
      <c r="M150" s="1118"/>
      <c r="N150" s="1118"/>
      <c r="O150" s="211"/>
      <c r="P150" s="92"/>
      <c r="Q150" s="931"/>
    </row>
    <row r="151" spans="1:17" s="1727" customFormat="1" ht="15" customHeight="1" outlineLevel="1" x14ac:dyDescent="0.25">
      <c r="A151" s="1064"/>
      <c r="B151" s="1141" t="s">
        <v>233</v>
      </c>
      <c r="C151" s="1837" t="s">
        <v>1624</v>
      </c>
      <c r="D151" s="1121"/>
      <c r="E151" s="1122"/>
      <c r="F151" s="1122"/>
      <c r="G151" s="1154"/>
      <c r="H151" s="1122" t="s">
        <v>1233</v>
      </c>
      <c r="I151" s="211">
        <v>100000</v>
      </c>
      <c r="J151" s="211">
        <v>100000</v>
      </c>
      <c r="K151" s="211">
        <f>'[5]Silnice stavba'!$B$229</f>
        <v>100000</v>
      </c>
      <c r="L151" s="370">
        <f t="shared" si="17"/>
        <v>0</v>
      </c>
      <c r="M151" s="1118"/>
      <c r="N151" s="1118"/>
      <c r="O151" s="211"/>
      <c r="P151" s="92"/>
      <c r="Q151" s="931"/>
    </row>
    <row r="152" spans="1:17" s="1727" customFormat="1" ht="15" customHeight="1" outlineLevel="1" x14ac:dyDescent="0.25">
      <c r="A152" s="1064"/>
      <c r="B152" s="1141" t="s">
        <v>233</v>
      </c>
      <c r="C152" s="1121" t="s">
        <v>1623</v>
      </c>
      <c r="D152" s="1121"/>
      <c r="E152" s="1122"/>
      <c r="F152" s="1122"/>
      <c r="G152" s="1154"/>
      <c r="H152" s="1122" t="s">
        <v>1233</v>
      </c>
      <c r="I152" s="211">
        <v>200000</v>
      </c>
      <c r="J152" s="211">
        <v>200000</v>
      </c>
      <c r="K152" s="211">
        <f>'[5]Silnice stavba'!$B$228</f>
        <v>200000</v>
      </c>
      <c r="L152" s="370">
        <f t="shared" si="17"/>
        <v>0</v>
      </c>
      <c r="M152" s="1118"/>
      <c r="N152" s="1118"/>
      <c r="O152" s="211"/>
      <c r="P152" s="92"/>
      <c r="Q152" s="931"/>
    </row>
    <row r="153" spans="1:17" s="1727" customFormat="1" ht="15" customHeight="1" outlineLevel="1" x14ac:dyDescent="0.25">
      <c r="A153" s="1064"/>
      <c r="B153" s="1141" t="s">
        <v>233</v>
      </c>
      <c r="C153" s="1121" t="s">
        <v>1274</v>
      </c>
      <c r="D153" s="1121"/>
      <c r="E153" s="1122"/>
      <c r="F153" s="1122"/>
      <c r="G153" s="1154"/>
      <c r="H153" s="1122" t="s">
        <v>1233</v>
      </c>
      <c r="I153" s="211">
        <v>50000</v>
      </c>
      <c r="J153" s="211">
        <v>50000</v>
      </c>
      <c r="K153" s="211">
        <f>'[5]Silnice stavba'!$B$240</f>
        <v>50000</v>
      </c>
      <c r="L153" s="370">
        <f t="shared" si="17"/>
        <v>0</v>
      </c>
      <c r="M153" s="1118"/>
      <c r="N153" s="1118"/>
      <c r="O153" s="211"/>
      <c r="P153" s="92"/>
      <c r="Q153" s="931"/>
    </row>
    <row r="154" spans="1:17" s="1727" customFormat="1" ht="15" customHeight="1" outlineLevel="1" x14ac:dyDescent="0.25">
      <c r="A154" s="1064"/>
      <c r="B154" s="1141" t="s">
        <v>233</v>
      </c>
      <c r="C154" s="1121" t="s">
        <v>855</v>
      </c>
      <c r="D154" s="1121"/>
      <c r="E154" s="1122"/>
      <c r="F154" s="1122"/>
      <c r="G154" s="1154"/>
      <c r="H154" s="1122" t="s">
        <v>1233</v>
      </c>
      <c r="I154" s="211">
        <v>0</v>
      </c>
      <c r="J154" s="211">
        <v>200960</v>
      </c>
      <c r="K154" s="211">
        <f>'[5]Silnice stavba'!$B$239</f>
        <v>200960</v>
      </c>
      <c r="L154" s="370">
        <f t="shared" si="17"/>
        <v>0</v>
      </c>
      <c r="M154" s="1118"/>
      <c r="N154" s="1118"/>
      <c r="O154" s="211"/>
      <c r="P154" s="92"/>
      <c r="Q154" s="931"/>
    </row>
    <row r="155" spans="1:17" s="1727" customFormat="1" ht="15" customHeight="1" outlineLevel="1" x14ac:dyDescent="0.25">
      <c r="A155" s="1064"/>
      <c r="B155" s="1141" t="s">
        <v>233</v>
      </c>
      <c r="C155" s="1121" t="s">
        <v>1275</v>
      </c>
      <c r="D155" s="1121"/>
      <c r="E155" s="1122"/>
      <c r="F155" s="1122"/>
      <c r="G155" s="1154"/>
      <c r="H155" s="1122" t="s">
        <v>1233</v>
      </c>
      <c r="I155" s="211">
        <v>50000</v>
      </c>
      <c r="J155" s="211">
        <v>50000</v>
      </c>
      <c r="K155" s="211">
        <f>'[5]Silnice stavba'!$B$255</f>
        <v>50000</v>
      </c>
      <c r="L155" s="370">
        <f t="shared" si="17"/>
        <v>0</v>
      </c>
      <c r="M155" s="1118"/>
      <c r="N155" s="1118"/>
      <c r="O155" s="211"/>
      <c r="P155" s="92"/>
      <c r="Q155" s="931"/>
    </row>
    <row r="156" spans="1:17" s="1727" customFormat="1" ht="15" customHeight="1" outlineLevel="1" x14ac:dyDescent="0.25">
      <c r="A156" s="1064"/>
      <c r="B156" s="1141" t="s">
        <v>233</v>
      </c>
      <c r="C156" s="1121" t="s">
        <v>856</v>
      </c>
      <c r="D156" s="1121"/>
      <c r="E156" s="1122"/>
      <c r="F156" s="1122"/>
      <c r="G156" s="1154"/>
      <c r="H156" s="1122" t="s">
        <v>1233</v>
      </c>
      <c r="I156" s="211">
        <v>0</v>
      </c>
      <c r="J156" s="211">
        <v>0</v>
      </c>
      <c r="K156" s="211">
        <f>'[5]Silnice stavba'!$B$254</f>
        <v>0</v>
      </c>
      <c r="L156" s="370">
        <f t="shared" si="17"/>
        <v>0</v>
      </c>
      <c r="M156" s="1118"/>
      <c r="N156" s="1118"/>
      <c r="O156" s="211"/>
      <c r="P156" s="92"/>
      <c r="Q156" s="931"/>
    </row>
    <row r="157" spans="1:17" s="1727" customFormat="1" ht="15" customHeight="1" outlineLevel="1" x14ac:dyDescent="0.25">
      <c r="A157" s="1064"/>
      <c r="B157" s="1141" t="s">
        <v>233</v>
      </c>
      <c r="C157" s="1121" t="s">
        <v>1645</v>
      </c>
      <c r="D157" s="1121"/>
      <c r="E157" s="1122"/>
      <c r="F157" s="1122">
        <v>42886</v>
      </c>
      <c r="G157" s="1154">
        <v>42977</v>
      </c>
      <c r="H157" s="1122" t="s">
        <v>1233</v>
      </c>
      <c r="I157" s="211">
        <v>400000</v>
      </c>
      <c r="J157" s="211">
        <f>'[5]Silnice stavba'!$B$273</f>
        <v>400000</v>
      </c>
      <c r="K157" s="211">
        <f>'[5]Silnice stavba'!$B$273</f>
        <v>400000</v>
      </c>
      <c r="L157" s="370">
        <f t="shared" si="17"/>
        <v>0</v>
      </c>
      <c r="M157" s="1118"/>
      <c r="N157" s="1118"/>
      <c r="O157" s="211"/>
      <c r="P157" s="92"/>
      <c r="Q157" s="931"/>
    </row>
    <row r="158" spans="1:17" s="1727" customFormat="1" ht="15" customHeight="1" outlineLevel="1" x14ac:dyDescent="0.25">
      <c r="A158" s="1064"/>
      <c r="B158" s="1174" t="s">
        <v>233</v>
      </c>
      <c r="C158" s="1175" t="s">
        <v>857</v>
      </c>
      <c r="D158" s="1175"/>
      <c r="E158" s="1176"/>
      <c r="F158" s="1177">
        <v>42886</v>
      </c>
      <c r="G158" s="1178">
        <v>42977</v>
      </c>
      <c r="H158" s="1176" t="s">
        <v>1320</v>
      </c>
      <c r="I158" s="1179">
        <v>34553730</v>
      </c>
      <c r="J158" s="1179">
        <v>37129584</v>
      </c>
      <c r="K158" s="1179">
        <f>'[5]Silnice stavba'!$B$268</f>
        <v>38954584</v>
      </c>
      <c r="L158" s="1181">
        <f t="shared" si="17"/>
        <v>1825000</v>
      </c>
      <c r="M158" s="1118"/>
      <c r="N158" s="1118"/>
      <c r="O158" s="211"/>
      <c r="P158" s="92"/>
      <c r="Q158" s="931"/>
    </row>
    <row r="159" spans="1:17" s="1727" customFormat="1" ht="15" customHeight="1" outlineLevel="1" x14ac:dyDescent="0.25">
      <c r="A159" s="1064"/>
      <c r="B159" s="1868" t="s">
        <v>233</v>
      </c>
      <c r="C159" s="1869" t="s">
        <v>1276</v>
      </c>
      <c r="D159" s="1869"/>
      <c r="E159" s="1870"/>
      <c r="F159" s="1870"/>
      <c r="G159" s="1871"/>
      <c r="H159" s="1870" t="s">
        <v>1233</v>
      </c>
      <c r="I159" s="209">
        <v>487214</v>
      </c>
      <c r="J159" s="209">
        <v>487214</v>
      </c>
      <c r="K159" s="209">
        <f>'[5]Silnice stavba'!$B$284</f>
        <v>487214</v>
      </c>
      <c r="L159" s="579">
        <f t="shared" si="17"/>
        <v>0</v>
      </c>
      <c r="M159" s="1118"/>
      <c r="N159" s="1118"/>
      <c r="O159" s="211"/>
      <c r="P159" s="92"/>
      <c r="Q159" s="931"/>
    </row>
    <row r="160" spans="1:17" s="1727" customFormat="1" ht="15" customHeight="1" outlineLevel="1" x14ac:dyDescent="0.25">
      <c r="A160" s="1064"/>
      <c r="B160" s="1174" t="s">
        <v>233</v>
      </c>
      <c r="C160" s="1175" t="s">
        <v>884</v>
      </c>
      <c r="D160" s="1175"/>
      <c r="E160" s="1176"/>
      <c r="F160" s="1177"/>
      <c r="G160" s="1178"/>
      <c r="H160" s="1176" t="s">
        <v>5</v>
      </c>
      <c r="I160" s="1179">
        <v>0</v>
      </c>
      <c r="J160" s="1179">
        <v>0</v>
      </c>
      <c r="K160" s="1179">
        <f>'[5]Silnice stavba'!$B$283</f>
        <v>0</v>
      </c>
      <c r="L160" s="1181">
        <f t="shared" si="17"/>
        <v>0</v>
      </c>
      <c r="M160" s="1118"/>
      <c r="N160" s="1118"/>
      <c r="O160" s="211"/>
      <c r="P160" s="92"/>
      <c r="Q160" s="931"/>
    </row>
    <row r="161" spans="1:17" s="1727" customFormat="1" ht="15" customHeight="1" outlineLevel="1" x14ac:dyDescent="0.25">
      <c r="A161" s="1064"/>
      <c r="B161" s="1141" t="s">
        <v>233</v>
      </c>
      <c r="C161" s="1121" t="s">
        <v>1277</v>
      </c>
      <c r="D161" s="1121"/>
      <c r="E161" s="1122"/>
      <c r="F161" s="1122"/>
      <c r="G161" s="1154"/>
      <c r="H161" s="1122" t="s">
        <v>1233</v>
      </c>
      <c r="I161" s="211">
        <v>0</v>
      </c>
      <c r="J161" s="211">
        <v>0</v>
      </c>
      <c r="K161" s="211">
        <f>'[5]Silnice stavba'!$B$298</f>
        <v>0</v>
      </c>
      <c r="L161" s="370">
        <f t="shared" si="17"/>
        <v>0</v>
      </c>
      <c r="M161" s="1118"/>
      <c r="N161" s="1118"/>
      <c r="O161" s="211"/>
      <c r="P161" s="92"/>
      <c r="Q161" s="931"/>
    </row>
    <row r="162" spans="1:17" s="1727" customFormat="1" ht="15" customHeight="1" outlineLevel="1" x14ac:dyDescent="0.25">
      <c r="A162" s="1064"/>
      <c r="B162" s="1141" t="s">
        <v>233</v>
      </c>
      <c r="C162" s="1121" t="s">
        <v>1047</v>
      </c>
      <c r="D162" s="1121"/>
      <c r="E162" s="1122"/>
      <c r="F162" s="1122"/>
      <c r="G162" s="1154"/>
      <c r="H162" s="1122" t="s">
        <v>1233</v>
      </c>
      <c r="I162" s="211">
        <v>0</v>
      </c>
      <c r="J162" s="211">
        <v>0</v>
      </c>
      <c r="K162" s="211">
        <f>'[5]Silnice stavba'!$B$299</f>
        <v>0</v>
      </c>
      <c r="L162" s="370">
        <f t="shared" si="17"/>
        <v>0</v>
      </c>
      <c r="M162" s="1118"/>
      <c r="N162" s="1118"/>
      <c r="O162" s="211"/>
      <c r="P162" s="92"/>
      <c r="Q162" s="931"/>
    </row>
    <row r="163" spans="1:17" s="1727" customFormat="1" ht="15" customHeight="1" outlineLevel="1" x14ac:dyDescent="0.25">
      <c r="A163" s="1064"/>
      <c r="B163" s="1141" t="s">
        <v>233</v>
      </c>
      <c r="C163" s="1121" t="s">
        <v>1291</v>
      </c>
      <c r="D163" s="1121"/>
      <c r="E163" s="1122"/>
      <c r="F163" s="1122"/>
      <c r="G163" s="1154"/>
      <c r="H163" s="1122" t="s">
        <v>1233</v>
      </c>
      <c r="I163" s="211">
        <v>100000</v>
      </c>
      <c r="J163" s="211">
        <v>100000</v>
      </c>
      <c r="K163" s="211">
        <f>'[5]Silnice stavba'!$B$310</f>
        <v>100000</v>
      </c>
      <c r="L163" s="370">
        <f t="shared" si="17"/>
        <v>0</v>
      </c>
      <c r="M163" s="1118"/>
      <c r="N163" s="1118"/>
      <c r="O163" s="211"/>
      <c r="P163" s="92"/>
      <c r="Q163" s="931"/>
    </row>
    <row r="164" spans="1:17" s="1727" customFormat="1" ht="15" customHeight="1" outlineLevel="1" x14ac:dyDescent="0.25">
      <c r="A164" s="1064"/>
      <c r="B164" s="1141" t="s">
        <v>233</v>
      </c>
      <c r="C164" s="1121" t="s">
        <v>1144</v>
      </c>
      <c r="D164" s="1121"/>
      <c r="E164" s="1122"/>
      <c r="F164" s="1122"/>
      <c r="G164" s="1154"/>
      <c r="H164" s="1122" t="s">
        <v>1233</v>
      </c>
      <c r="I164" s="211">
        <v>0</v>
      </c>
      <c r="J164" s="211">
        <v>0</v>
      </c>
      <c r="K164" s="211">
        <f>'[5]Silnice stavba'!$B$309</f>
        <v>0</v>
      </c>
      <c r="L164" s="370">
        <f t="shared" si="17"/>
        <v>0</v>
      </c>
      <c r="M164" s="1118"/>
      <c r="N164" s="1118"/>
      <c r="O164" s="211"/>
      <c r="P164" s="92"/>
      <c r="Q164" s="931"/>
    </row>
    <row r="165" spans="1:17" s="1727" customFormat="1" ht="15" customHeight="1" outlineLevel="1" x14ac:dyDescent="0.25">
      <c r="A165" s="1064"/>
      <c r="B165" s="1141" t="s">
        <v>233</v>
      </c>
      <c r="C165" s="1121" t="s">
        <v>849</v>
      </c>
      <c r="D165" s="1121"/>
      <c r="E165" s="1122"/>
      <c r="F165" s="1122"/>
      <c r="G165" s="1154"/>
      <c r="H165" s="1122" t="s">
        <v>1233</v>
      </c>
      <c r="I165" s="211">
        <v>0</v>
      </c>
      <c r="J165" s="211">
        <v>0</v>
      </c>
      <c r="K165" s="211">
        <f>'[5]Silnice stavba'!$B$321</f>
        <v>0</v>
      </c>
      <c r="L165" s="370">
        <f t="shared" si="17"/>
        <v>0</v>
      </c>
      <c r="M165" s="1118"/>
      <c r="N165" s="1118"/>
      <c r="O165" s="211"/>
      <c r="P165" s="92"/>
      <c r="Q165" s="931"/>
    </row>
    <row r="166" spans="1:17" s="1727" customFormat="1" ht="15" customHeight="1" outlineLevel="1" x14ac:dyDescent="0.25">
      <c r="A166" s="1064"/>
      <c r="B166" s="1174" t="s">
        <v>233</v>
      </c>
      <c r="C166" s="1175" t="s">
        <v>849</v>
      </c>
      <c r="D166" s="1175"/>
      <c r="E166" s="1176"/>
      <c r="F166" s="1176"/>
      <c r="G166" s="1847"/>
      <c r="H166" s="1176" t="s">
        <v>872</v>
      </c>
      <c r="I166" s="1179"/>
      <c r="J166" s="1179">
        <v>1540087.96</v>
      </c>
      <c r="K166" s="1179">
        <f>'[5]Silnice stavba'!$B$320</f>
        <v>1540087.96</v>
      </c>
      <c r="L166" s="1181">
        <f t="shared" si="17"/>
        <v>0</v>
      </c>
      <c r="M166" s="1118"/>
      <c r="N166" s="1118"/>
      <c r="O166" s="211"/>
      <c r="P166" s="92"/>
      <c r="Q166" s="931"/>
    </row>
    <row r="167" spans="1:17" s="1727" customFormat="1" ht="15" customHeight="1" outlineLevel="1" x14ac:dyDescent="0.25">
      <c r="A167" s="1064"/>
      <c r="B167" s="1141" t="s">
        <v>233</v>
      </c>
      <c r="C167" s="1908" t="s">
        <v>1644</v>
      </c>
      <c r="D167" s="1121"/>
      <c r="E167" s="1122"/>
      <c r="F167" s="1122"/>
      <c r="G167" s="1154"/>
      <c r="H167" s="1122"/>
      <c r="I167" s="211"/>
      <c r="J167" s="211"/>
      <c r="K167" s="211">
        <f>'[5]Silnice stavba'!$B$336</f>
        <v>230000</v>
      </c>
      <c r="L167" s="370">
        <f t="shared" si="17"/>
        <v>230000</v>
      </c>
      <c r="M167" s="1118"/>
      <c r="N167" s="1118"/>
      <c r="O167" s="211"/>
      <c r="P167" s="276"/>
      <c r="Q167" s="931"/>
    </row>
    <row r="168" spans="1:17" s="1727" customFormat="1" ht="15" customHeight="1" outlineLevel="1" x14ac:dyDescent="0.25">
      <c r="A168" s="1064"/>
      <c r="B168" s="1141" t="s">
        <v>233</v>
      </c>
      <c r="C168" s="1908" t="s">
        <v>1644</v>
      </c>
      <c r="D168" s="1121"/>
      <c r="E168" s="1122"/>
      <c r="F168" s="1122"/>
      <c r="G168" s="1154"/>
      <c r="H168" s="1122"/>
      <c r="I168" s="211">
        <v>0</v>
      </c>
      <c r="J168" s="211">
        <v>0</v>
      </c>
      <c r="K168" s="211">
        <f>'[5]Silnice stavba'!$B$339</f>
        <v>0</v>
      </c>
      <c r="L168" s="370"/>
      <c r="M168" s="1118"/>
      <c r="N168" s="1118"/>
      <c r="O168" s="211"/>
      <c r="P168" s="276"/>
      <c r="Q168" s="931"/>
    </row>
    <row r="169" spans="1:17" s="1727" customFormat="1" ht="15" customHeight="1" outlineLevel="1" x14ac:dyDescent="0.25">
      <c r="A169" s="1064"/>
      <c r="B169" s="1141" t="s">
        <v>233</v>
      </c>
      <c r="C169" s="1121" t="s">
        <v>1044</v>
      </c>
      <c r="D169" s="1121"/>
      <c r="E169" s="1122"/>
      <c r="F169" s="1122"/>
      <c r="G169" s="1154"/>
      <c r="H169" s="1122"/>
      <c r="I169" s="211">
        <v>15000</v>
      </c>
      <c r="J169" s="211">
        <v>15000</v>
      </c>
      <c r="K169" s="1866">
        <f>'[5]Silnice - pozemky'!$B$6</f>
        <v>15000</v>
      </c>
      <c r="L169" s="370">
        <f t="shared" ref="L169:L202" si="18">+K169-J169</f>
        <v>0</v>
      </c>
      <c r="M169" s="1118"/>
      <c r="N169" s="1118"/>
      <c r="O169" s="211"/>
      <c r="P169" s="92"/>
      <c r="Q169" s="928"/>
    </row>
    <row r="170" spans="1:17" s="1727" customFormat="1" ht="15" customHeight="1" outlineLevel="1" x14ac:dyDescent="0.25">
      <c r="A170" s="1064"/>
      <c r="B170" s="1141" t="s">
        <v>233</v>
      </c>
      <c r="C170" s="1121" t="s">
        <v>1646</v>
      </c>
      <c r="D170" s="1121"/>
      <c r="E170" s="1122"/>
      <c r="F170" s="1122"/>
      <c r="G170" s="1154"/>
      <c r="H170" s="1122"/>
      <c r="I170" s="211"/>
      <c r="J170" s="211"/>
      <c r="K170" s="1866">
        <f>'[5]Silnice - pozemky'!$B$7</f>
        <v>4500</v>
      </c>
      <c r="L170" s="370"/>
      <c r="M170" s="1118"/>
      <c r="N170" s="1118"/>
      <c r="O170" s="211"/>
      <c r="P170" s="92"/>
      <c r="Q170" s="928"/>
    </row>
    <row r="171" spans="1:17" s="1727" customFormat="1" ht="15" customHeight="1" outlineLevel="1" x14ac:dyDescent="0.25">
      <c r="A171" s="1064"/>
      <c r="B171" s="1141" t="s">
        <v>233</v>
      </c>
      <c r="C171" s="1121" t="s">
        <v>1401</v>
      </c>
      <c r="D171" s="1121"/>
      <c r="E171" s="1122"/>
      <c r="F171" s="1122"/>
      <c r="G171" s="1154"/>
      <c r="H171" s="1122"/>
      <c r="I171" s="211">
        <v>500000</v>
      </c>
      <c r="J171" s="211">
        <v>0</v>
      </c>
      <c r="K171" s="1866">
        <f>'[2]Silnice-2212'!$B$9</f>
        <v>0</v>
      </c>
      <c r="L171" s="370">
        <f t="shared" si="18"/>
        <v>0</v>
      </c>
      <c r="M171" s="1118"/>
      <c r="N171" s="1118"/>
      <c r="O171" s="211"/>
      <c r="P171" s="92"/>
      <c r="Q171" s="928"/>
    </row>
    <row r="172" spans="1:17" s="1727" customFormat="1" ht="15" customHeight="1" outlineLevel="1" x14ac:dyDescent="0.25">
      <c r="A172" s="1064"/>
      <c r="B172" s="1141" t="s">
        <v>233</v>
      </c>
      <c r="C172" s="1121" t="s">
        <v>1410</v>
      </c>
      <c r="D172" s="1121"/>
      <c r="E172" s="1122"/>
      <c r="F172" s="1122"/>
      <c r="G172" s="1154"/>
      <c r="H172" s="1122"/>
      <c r="I172" s="211">
        <v>0</v>
      </c>
      <c r="J172" s="211">
        <v>0</v>
      </c>
      <c r="K172" s="211">
        <f>'[5]Silnice stavba'!$B$8</f>
        <v>0</v>
      </c>
      <c r="L172" s="370">
        <f t="shared" si="18"/>
        <v>0</v>
      </c>
      <c r="M172" s="1118"/>
      <c r="N172" s="1118"/>
      <c r="O172" s="211"/>
      <c r="P172" s="92"/>
      <c r="Q172" s="928"/>
    </row>
    <row r="173" spans="1:17" s="1727" customFormat="1" ht="15" customHeight="1" outlineLevel="1" x14ac:dyDescent="0.25">
      <c r="A173" s="1064"/>
      <c r="B173" s="1141" t="s">
        <v>233</v>
      </c>
      <c r="C173" s="1121" t="s">
        <v>1211</v>
      </c>
      <c r="D173" s="1121"/>
      <c r="E173" s="1122"/>
      <c r="F173" s="1122"/>
      <c r="G173" s="1154"/>
      <c r="H173" s="1122"/>
      <c r="I173" s="211"/>
      <c r="J173" s="211"/>
      <c r="K173" s="210"/>
      <c r="L173" s="370">
        <f t="shared" si="18"/>
        <v>0</v>
      </c>
      <c r="M173" s="1118"/>
      <c r="N173" s="1118"/>
      <c r="O173" s="211"/>
      <c r="P173" s="92"/>
      <c r="Q173" s="928"/>
    </row>
    <row r="174" spans="1:17" s="1727" customFormat="1" ht="15" customHeight="1" outlineLevel="1" x14ac:dyDescent="0.25">
      <c r="A174" s="1064"/>
      <c r="B174" s="1141" t="s">
        <v>233</v>
      </c>
      <c r="C174" s="1121" t="s">
        <v>1389</v>
      </c>
      <c r="D174" s="1121"/>
      <c r="E174" s="1122"/>
      <c r="F174" s="1122"/>
      <c r="G174" s="1154"/>
      <c r="H174" s="1122"/>
      <c r="I174" s="211">
        <v>500000</v>
      </c>
      <c r="J174" s="211">
        <v>500000</v>
      </c>
      <c r="K174" s="210">
        <f>'[2]Silnice-2212'!$B$6</f>
        <v>500000</v>
      </c>
      <c r="L174" s="370">
        <f t="shared" si="18"/>
        <v>0</v>
      </c>
      <c r="M174" s="1118"/>
      <c r="N174" s="1118"/>
      <c r="O174" s="211"/>
      <c r="P174" s="92"/>
      <c r="Q174" s="928"/>
    </row>
    <row r="175" spans="1:17" s="1727" customFormat="1" ht="15" customHeight="1" outlineLevel="1" x14ac:dyDescent="0.25">
      <c r="A175" s="1064"/>
      <c r="B175" s="1141" t="s">
        <v>233</v>
      </c>
      <c r="C175" s="1121" t="s">
        <v>1045</v>
      </c>
      <c r="D175" s="1121"/>
      <c r="E175" s="1122"/>
      <c r="F175" s="1122"/>
      <c r="G175" s="1154"/>
      <c r="H175" s="1122"/>
      <c r="I175" s="211"/>
      <c r="J175" s="211"/>
      <c r="K175" s="211"/>
      <c r="L175" s="370">
        <f t="shared" si="18"/>
        <v>0</v>
      </c>
      <c r="M175" s="1118"/>
      <c r="N175" s="1118"/>
      <c r="O175" s="211"/>
      <c r="P175" s="92"/>
      <c r="Q175" s="928"/>
    </row>
    <row r="176" spans="1:17" s="1727" customFormat="1" ht="15" customHeight="1" outlineLevel="1" x14ac:dyDescent="0.25">
      <c r="A176" s="1064"/>
      <c r="B176" s="1141" t="s">
        <v>233</v>
      </c>
      <c r="C176" s="1121" t="s">
        <v>1212</v>
      </c>
      <c r="D176" s="1121"/>
      <c r="E176" s="1122"/>
      <c r="F176" s="1122"/>
      <c r="G176" s="1154"/>
      <c r="H176" s="1122"/>
      <c r="I176" s="211">
        <v>45000</v>
      </c>
      <c r="J176" s="211">
        <v>45000</v>
      </c>
      <c r="K176" s="210">
        <f>'[2]Silnice-2212'!$B$10</f>
        <v>45000</v>
      </c>
      <c r="L176" s="370">
        <f t="shared" si="18"/>
        <v>0</v>
      </c>
      <c r="M176" s="1118"/>
      <c r="N176" s="1118"/>
      <c r="O176" s="211"/>
      <c r="P176" s="92"/>
      <c r="Q176" s="928"/>
    </row>
    <row r="177" spans="1:17" s="1727" customFormat="1" ht="15" customHeight="1" outlineLevel="1" x14ac:dyDescent="0.25">
      <c r="A177" s="1064"/>
      <c r="B177" s="1141" t="s">
        <v>233</v>
      </c>
      <c r="C177" s="1121" t="s">
        <v>871</v>
      </c>
      <c r="D177" s="1121"/>
      <c r="E177" s="1122"/>
      <c r="F177" s="1122"/>
      <c r="G177" s="1154"/>
      <c r="H177" s="1122"/>
      <c r="I177" s="211"/>
      <c r="J177" s="211"/>
      <c r="K177" s="211"/>
      <c r="L177" s="370">
        <f t="shared" si="18"/>
        <v>0</v>
      </c>
      <c r="M177" s="1118"/>
      <c r="N177" s="1118"/>
      <c r="O177" s="211"/>
      <c r="P177" s="92"/>
      <c r="Q177" s="928"/>
    </row>
    <row r="178" spans="1:17" s="1727" customFormat="1" ht="15" customHeight="1" outlineLevel="1" thickBot="1" x14ac:dyDescent="0.3">
      <c r="A178" s="1064"/>
      <c r="B178" s="1141" t="s">
        <v>233</v>
      </c>
      <c r="C178" s="1121" t="s">
        <v>1411</v>
      </c>
      <c r="D178" s="1121"/>
      <c r="E178" s="1122"/>
      <c r="F178" s="1122"/>
      <c r="G178" s="1154"/>
      <c r="H178" s="1122"/>
      <c r="I178" s="211"/>
      <c r="J178" s="211"/>
      <c r="K178" s="211"/>
      <c r="L178" s="370">
        <f t="shared" si="18"/>
        <v>0</v>
      </c>
      <c r="M178" s="1118"/>
      <c r="N178" s="1118"/>
      <c r="O178" s="211"/>
      <c r="P178" s="92"/>
      <c r="Q178" s="928"/>
    </row>
    <row r="179" spans="1:17" s="1725" customFormat="1" ht="12.75" customHeight="1" thickBot="1" x14ac:dyDescent="0.25">
      <c r="A179" s="1961" t="s">
        <v>1225</v>
      </c>
      <c r="B179" s="1962"/>
      <c r="C179" s="1075"/>
      <c r="D179" s="1075"/>
      <c r="E179" s="1086"/>
      <c r="F179" s="1086"/>
      <c r="G179" s="1152"/>
      <c r="H179" s="1086"/>
      <c r="I179" s="290">
        <v>41342575</v>
      </c>
      <c r="J179" s="290">
        <v>45028722.960000001</v>
      </c>
      <c r="K179" s="290">
        <f>SUM(K119:K178)</f>
        <v>47631322.960000001</v>
      </c>
      <c r="L179" s="1102">
        <f t="shared" si="18"/>
        <v>2602600</v>
      </c>
      <c r="M179" s="1090"/>
      <c r="N179" s="1090"/>
      <c r="O179" s="300"/>
      <c r="P179" s="595">
        <f>'Sumář  výdaje kapitol'!BQ73</f>
        <v>47631322.960000001</v>
      </c>
      <c r="Q179" s="929">
        <f>+P179-K179</f>
        <v>0</v>
      </c>
    </row>
    <row r="180" spans="1:17" s="1725" customFormat="1" ht="12.75" customHeight="1" thickBot="1" x14ac:dyDescent="0.25">
      <c r="A180" s="1733">
        <v>3633</v>
      </c>
      <c r="B180" s="1142" t="s">
        <v>239</v>
      </c>
      <c r="C180" s="1104" t="s">
        <v>334</v>
      </c>
      <c r="D180" s="1104"/>
      <c r="E180" s="1105"/>
      <c r="F180" s="1105"/>
      <c r="G180" s="1155"/>
      <c r="H180" s="1105"/>
      <c r="I180" s="290">
        <v>1000000</v>
      </c>
      <c r="J180" s="290">
        <v>1000000</v>
      </c>
      <c r="K180" s="290">
        <f>'[5]Inženýrské sítě'!$B$4+'[5]Inženýrské sítě'!$B$5+'[4]Inženýrské sítě'!$B$4</f>
        <v>1000000</v>
      </c>
      <c r="L180" s="1098">
        <f t="shared" si="18"/>
        <v>0</v>
      </c>
      <c r="M180" s="1090"/>
      <c r="N180" s="1090"/>
      <c r="O180" s="300"/>
      <c r="P180" s="595">
        <f>'Sumář  výdaje kapitol'!CA73</f>
        <v>1000000</v>
      </c>
      <c r="Q180" s="929">
        <f>+P180-K180</f>
        <v>0</v>
      </c>
    </row>
    <row r="181" spans="1:17" s="1725" customFormat="1" outlineLevel="1" x14ac:dyDescent="0.2">
      <c r="A181" s="1064"/>
      <c r="B181" s="1136" t="s">
        <v>237</v>
      </c>
      <c r="C181" s="1123" t="s">
        <v>1283</v>
      </c>
      <c r="D181" s="1123"/>
      <c r="E181" s="1124"/>
      <c r="F181" s="1124"/>
      <c r="G181" s="1125"/>
      <c r="H181" s="1117" t="s">
        <v>1233</v>
      </c>
      <c r="I181" s="856">
        <v>0</v>
      </c>
      <c r="J181" s="856">
        <v>0</v>
      </c>
      <c r="K181" s="856">
        <f>[5]Kanalizace!$B$12</f>
        <v>0</v>
      </c>
      <c r="L181" s="1111">
        <f t="shared" si="18"/>
        <v>0</v>
      </c>
      <c r="M181" s="1112"/>
      <c r="N181" s="1112"/>
      <c r="O181" s="856"/>
      <c r="P181" s="216"/>
      <c r="Q181" s="930"/>
    </row>
    <row r="182" spans="1:17" s="1725" customFormat="1" outlineLevel="1" x14ac:dyDescent="0.2">
      <c r="A182" s="1064"/>
      <c r="B182" s="1174" t="s">
        <v>237</v>
      </c>
      <c r="C182" s="1182" t="s">
        <v>858</v>
      </c>
      <c r="D182" s="1182"/>
      <c r="E182" s="1183" t="s">
        <v>1258</v>
      </c>
      <c r="F182" s="1184">
        <v>42826</v>
      </c>
      <c r="G182" s="1185">
        <v>43100</v>
      </c>
      <c r="H182" s="1183" t="s">
        <v>872</v>
      </c>
      <c r="I182" s="1180">
        <v>8400000</v>
      </c>
      <c r="J182" s="1180">
        <v>5700000</v>
      </c>
      <c r="K182" s="1180">
        <f>[5]Kanalizace!$B$18</f>
        <v>9200000</v>
      </c>
      <c r="L182" s="1181">
        <f t="shared" si="18"/>
        <v>3500000</v>
      </c>
      <c r="M182" s="1118"/>
      <c r="N182" s="1118"/>
      <c r="O182" s="211"/>
      <c r="P182" s="216"/>
      <c r="Q182" s="930"/>
    </row>
    <row r="183" spans="1:17" s="1725" customFormat="1" outlineLevel="1" x14ac:dyDescent="0.2">
      <c r="A183" s="1064"/>
      <c r="B183" s="1141" t="s">
        <v>237</v>
      </c>
      <c r="C183" s="1116" t="s">
        <v>409</v>
      </c>
      <c r="D183" s="1116"/>
      <c r="E183" s="1117"/>
      <c r="F183" s="1117"/>
      <c r="G183" s="1126"/>
      <c r="H183" s="1117" t="s">
        <v>1233</v>
      </c>
      <c r="I183" s="211">
        <v>310000</v>
      </c>
      <c r="J183" s="211">
        <v>310000</v>
      </c>
      <c r="K183" s="211">
        <f>[5]Kanalizace!$B$26</f>
        <v>310000</v>
      </c>
      <c r="L183" s="370">
        <f t="shared" si="18"/>
        <v>0</v>
      </c>
      <c r="M183" s="1118"/>
      <c r="N183" s="1118"/>
      <c r="O183" s="211"/>
      <c r="P183" s="216"/>
      <c r="Q183" s="930"/>
    </row>
    <row r="184" spans="1:17" s="1725" customFormat="1" outlineLevel="1" x14ac:dyDescent="0.2">
      <c r="A184" s="1064"/>
      <c r="B184" s="1141" t="s">
        <v>237</v>
      </c>
      <c r="C184" s="1116" t="s">
        <v>1284</v>
      </c>
      <c r="D184" s="1116"/>
      <c r="E184" s="1117"/>
      <c r="F184" s="1117"/>
      <c r="G184" s="1126"/>
      <c r="H184" s="1117" t="s">
        <v>1233</v>
      </c>
      <c r="I184" s="211">
        <v>0</v>
      </c>
      <c r="J184" s="211">
        <v>0</v>
      </c>
      <c r="K184" s="211">
        <f>[5]Kanalizace!$B$33</f>
        <v>0</v>
      </c>
      <c r="L184" s="370">
        <f t="shared" si="18"/>
        <v>0</v>
      </c>
      <c r="M184" s="1118"/>
      <c r="N184" s="1118"/>
      <c r="O184" s="211"/>
      <c r="P184" s="216"/>
      <c r="Q184" s="930"/>
    </row>
    <row r="185" spans="1:17" s="1725" customFormat="1" outlineLevel="1" x14ac:dyDescent="0.2">
      <c r="A185" s="1064"/>
      <c r="B185" s="1141" t="s">
        <v>237</v>
      </c>
      <c r="C185" s="1116" t="s">
        <v>1206</v>
      </c>
      <c r="D185" s="1116"/>
      <c r="E185" s="1117"/>
      <c r="F185" s="1117"/>
      <c r="G185" s="1126"/>
      <c r="H185" s="1117" t="s">
        <v>1233</v>
      </c>
      <c r="I185" s="211">
        <v>0</v>
      </c>
      <c r="J185" s="211">
        <v>0</v>
      </c>
      <c r="K185" s="211">
        <f>[5]Kanalizace!$B$38</f>
        <v>0</v>
      </c>
      <c r="L185" s="370">
        <f t="shared" si="18"/>
        <v>0</v>
      </c>
      <c r="M185" s="1118"/>
      <c r="N185" s="1118"/>
      <c r="O185" s="211"/>
      <c r="P185" s="216"/>
      <c r="Q185" s="930"/>
    </row>
    <row r="186" spans="1:17" s="1725" customFormat="1" outlineLevel="1" x14ac:dyDescent="0.2">
      <c r="A186" s="1064"/>
      <c r="B186" s="1137" t="s">
        <v>237</v>
      </c>
      <c r="C186" s="1113" t="s">
        <v>1285</v>
      </c>
      <c r="D186" s="1113"/>
      <c r="E186" s="1114"/>
      <c r="F186" s="1114"/>
      <c r="G186" s="1127"/>
      <c r="H186" s="1117" t="s">
        <v>1233</v>
      </c>
      <c r="I186" s="278">
        <v>500000</v>
      </c>
      <c r="J186" s="278">
        <v>0</v>
      </c>
      <c r="K186" s="278">
        <f>[5]Kanalizace!$B$45</f>
        <v>0</v>
      </c>
      <c r="L186" s="369">
        <f t="shared" si="18"/>
        <v>0</v>
      </c>
      <c r="M186" s="1108"/>
      <c r="N186" s="1108"/>
      <c r="O186" s="278"/>
      <c r="P186" s="216"/>
      <c r="Q186" s="930"/>
    </row>
    <row r="187" spans="1:17" s="1725" customFormat="1" ht="13.5" outlineLevel="1" thickBot="1" x14ac:dyDescent="0.25">
      <c r="A187" s="1065"/>
      <c r="B187" s="1138" t="s">
        <v>237</v>
      </c>
      <c r="C187" s="1074" t="s">
        <v>1207</v>
      </c>
      <c r="D187" s="1074"/>
      <c r="E187" s="1085"/>
      <c r="F187" s="1085"/>
      <c r="G187" s="1151"/>
      <c r="H187" s="1085" t="s">
        <v>1233</v>
      </c>
      <c r="I187" s="1099">
        <v>0</v>
      </c>
      <c r="J187" s="1099">
        <v>0</v>
      </c>
      <c r="K187" s="1099">
        <f>[5]Kanalizace!$B$50</f>
        <v>0</v>
      </c>
      <c r="L187" s="1100">
        <f t="shared" si="18"/>
        <v>0</v>
      </c>
      <c r="M187" s="1088"/>
      <c r="N187" s="1088"/>
      <c r="O187" s="1099"/>
      <c r="P187" s="216"/>
      <c r="Q187" s="930"/>
    </row>
    <row r="188" spans="1:17" s="1725" customFormat="1" ht="13.5" thickBot="1" x14ac:dyDescent="0.25">
      <c r="A188" s="1963" t="s">
        <v>1226</v>
      </c>
      <c r="B188" s="1964"/>
      <c r="C188" s="1075"/>
      <c r="D188" s="1075"/>
      <c r="E188" s="1086"/>
      <c r="F188" s="1086"/>
      <c r="G188" s="1152"/>
      <c r="H188" s="1086"/>
      <c r="I188" s="290">
        <v>9210000</v>
      </c>
      <c r="J188" s="290">
        <v>6010000</v>
      </c>
      <c r="K188" s="290">
        <f t="shared" ref="K188" si="19">SUM(K181:K187)</f>
        <v>9510000</v>
      </c>
      <c r="L188" s="1102">
        <f t="shared" si="18"/>
        <v>3500000</v>
      </c>
      <c r="M188" s="1090"/>
      <c r="N188" s="1090"/>
      <c r="O188" s="300"/>
      <c r="P188" s="595">
        <f>'Sumář  výdaje kapitol'!BY73</f>
        <v>9510000</v>
      </c>
      <c r="Q188" s="929">
        <f>+P188-K188</f>
        <v>0</v>
      </c>
    </row>
    <row r="189" spans="1:17" s="1725" customFormat="1" outlineLevel="1" x14ac:dyDescent="0.2">
      <c r="A189" s="1132"/>
      <c r="B189" s="1123" t="s">
        <v>235</v>
      </c>
      <c r="C189" s="1123" t="s">
        <v>1281</v>
      </c>
      <c r="D189" s="1123"/>
      <c r="E189" s="1124"/>
      <c r="F189" s="1124"/>
      <c r="G189" s="1125"/>
      <c r="H189" s="1124" t="s">
        <v>1233</v>
      </c>
      <c r="I189" s="856">
        <v>500000</v>
      </c>
      <c r="J189" s="856">
        <v>0</v>
      </c>
      <c r="K189" s="856">
        <f>[5]Vodovod!$B$14</f>
        <v>0</v>
      </c>
      <c r="L189" s="1111">
        <f t="shared" si="18"/>
        <v>0</v>
      </c>
      <c r="M189" s="1112"/>
      <c r="N189" s="1112"/>
      <c r="O189" s="856"/>
      <c r="P189" s="216"/>
      <c r="Q189" s="930"/>
    </row>
    <row r="190" spans="1:17" s="1725" customFormat="1" ht="13.5" outlineLevel="1" thickBot="1" x14ac:dyDescent="0.25">
      <c r="A190" s="1144">
        <v>2310</v>
      </c>
      <c r="B190" s="1074" t="s">
        <v>235</v>
      </c>
      <c r="C190" s="1074" t="s">
        <v>1280</v>
      </c>
      <c r="D190" s="1074"/>
      <c r="E190" s="1085"/>
      <c r="F190" s="1085"/>
      <c r="G190" s="1151"/>
      <c r="H190" s="1085" t="s">
        <v>1233</v>
      </c>
      <c r="I190" s="1099">
        <v>0</v>
      </c>
      <c r="J190" s="1099">
        <v>0</v>
      </c>
      <c r="K190" s="1099">
        <f>[5]Vodovod!$B$25</f>
        <v>0</v>
      </c>
      <c r="L190" s="1100">
        <f t="shared" si="18"/>
        <v>0</v>
      </c>
      <c r="M190" s="1088"/>
      <c r="N190" s="1088"/>
      <c r="O190" s="1099"/>
      <c r="P190" s="216"/>
      <c r="Q190" s="930"/>
    </row>
    <row r="191" spans="1:17" s="1725" customFormat="1" ht="13.5" thickBot="1" x14ac:dyDescent="0.25">
      <c r="A191" s="1733" t="s">
        <v>1282</v>
      </c>
      <c r="B191" s="1140"/>
      <c r="C191" s="1075"/>
      <c r="D191" s="1075"/>
      <c r="E191" s="1086"/>
      <c r="F191" s="1086"/>
      <c r="G191" s="1152"/>
      <c r="H191" s="1086"/>
      <c r="I191" s="1068">
        <v>500000</v>
      </c>
      <c r="J191" s="1068">
        <v>0</v>
      </c>
      <c r="K191" s="1068">
        <f>SUM(K189:K190)</f>
        <v>0</v>
      </c>
      <c r="L191" s="1068">
        <f t="shared" si="18"/>
        <v>0</v>
      </c>
      <c r="M191" s="1090"/>
      <c r="N191" s="1090"/>
      <c r="O191" s="300"/>
      <c r="P191" s="595">
        <f>'Sumář  výdaje kapitol'!BU73</f>
        <v>0</v>
      </c>
      <c r="Q191" s="929">
        <f>+P191-K191</f>
        <v>0</v>
      </c>
    </row>
    <row r="192" spans="1:17" s="1725" customFormat="1" ht="13.5" thickBot="1" x14ac:dyDescent="0.25">
      <c r="A192" s="1733">
        <v>3635</v>
      </c>
      <c r="B192" s="1142" t="s">
        <v>231</v>
      </c>
      <c r="C192" s="1104" t="s">
        <v>174</v>
      </c>
      <c r="D192" s="1104"/>
      <c r="E192" s="1105"/>
      <c r="F192" s="1105"/>
      <c r="G192" s="1155"/>
      <c r="H192" s="1105" t="s">
        <v>1233</v>
      </c>
      <c r="I192" s="290">
        <v>254100</v>
      </c>
      <c r="J192" s="290">
        <v>254100</v>
      </c>
      <c r="K192" s="290">
        <f>'[2]Územní plán 3635'!$B$29</f>
        <v>254100</v>
      </c>
      <c r="L192" s="1098">
        <f t="shared" si="18"/>
        <v>0</v>
      </c>
      <c r="M192" s="1090"/>
      <c r="N192" s="1090"/>
      <c r="O192" s="300"/>
      <c r="P192" s="595">
        <f>'Sumář  výdaje kapitol'!BM73</f>
        <v>254100</v>
      </c>
      <c r="Q192" s="929">
        <f>+P192-K192</f>
        <v>0</v>
      </c>
    </row>
    <row r="193" spans="1:17" s="1725" customFormat="1" outlineLevel="1" x14ac:dyDescent="0.2">
      <c r="A193" s="1064"/>
      <c r="B193" s="1123" t="s">
        <v>247</v>
      </c>
      <c r="C193" s="1123" t="s">
        <v>340</v>
      </c>
      <c r="D193" s="1123"/>
      <c r="E193" s="1124"/>
      <c r="F193" s="1124"/>
      <c r="G193" s="1125"/>
      <c r="H193" s="1124" t="s">
        <v>1233</v>
      </c>
      <c r="I193" s="856">
        <v>0</v>
      </c>
      <c r="J193" s="856">
        <v>0</v>
      </c>
      <c r="K193" s="856">
        <f>[5]Pošembeří!$B$8</f>
        <v>0</v>
      </c>
      <c r="L193" s="1111">
        <f t="shared" si="18"/>
        <v>0</v>
      </c>
      <c r="M193" s="1112"/>
      <c r="N193" s="1112"/>
      <c r="O193" s="856"/>
      <c r="P193" s="216"/>
      <c r="Q193" s="930"/>
    </row>
    <row r="194" spans="1:17" s="1725" customFormat="1" ht="13.5" outlineLevel="1" thickBot="1" x14ac:dyDescent="0.25">
      <c r="A194" s="1144">
        <v>3330</v>
      </c>
      <c r="B194" s="1074" t="s">
        <v>247</v>
      </c>
      <c r="C194" s="1074" t="s">
        <v>1286</v>
      </c>
      <c r="D194" s="1074"/>
      <c r="E194" s="1085"/>
      <c r="F194" s="1085"/>
      <c r="G194" s="1151"/>
      <c r="H194" s="1085" t="s">
        <v>1233</v>
      </c>
      <c r="I194" s="1099">
        <v>90000</v>
      </c>
      <c r="J194" s="1099">
        <v>90000</v>
      </c>
      <c r="K194" s="1099">
        <f>[5]Pošembeří!$B$14+[2]Pošembeří!$B$17</f>
        <v>90000</v>
      </c>
      <c r="L194" s="1100">
        <f t="shared" si="18"/>
        <v>0</v>
      </c>
      <c r="M194" s="1088"/>
      <c r="N194" s="1088"/>
      <c r="O194" s="1099"/>
      <c r="P194" s="216"/>
      <c r="Q194" s="930"/>
    </row>
    <row r="195" spans="1:17" s="1725" customFormat="1" ht="13.5" thickBot="1" x14ac:dyDescent="0.25">
      <c r="A195" s="1733" t="s">
        <v>1227</v>
      </c>
      <c r="B195" s="1140"/>
      <c r="C195" s="1075"/>
      <c r="D195" s="1075"/>
      <c r="E195" s="1086"/>
      <c r="F195" s="1086"/>
      <c r="G195" s="1152"/>
      <c r="H195" s="1086"/>
      <c r="I195" s="290">
        <v>90000</v>
      </c>
      <c r="J195" s="290">
        <v>90000</v>
      </c>
      <c r="K195" s="290">
        <f t="shared" ref="K195" si="20">SUM(K193:K194)</f>
        <v>90000</v>
      </c>
      <c r="L195" s="1102">
        <f t="shared" si="18"/>
        <v>0</v>
      </c>
      <c r="M195" s="1090"/>
      <c r="N195" s="1090"/>
      <c r="O195" s="300"/>
      <c r="P195" s="595">
        <f>'Sumář  výdaje kapitol'!CW73</f>
        <v>90000</v>
      </c>
      <c r="Q195" s="929">
        <f>+P195-K195</f>
        <v>0</v>
      </c>
    </row>
    <row r="196" spans="1:17" s="1725" customFormat="1" outlineLevel="1" x14ac:dyDescent="0.2">
      <c r="A196" s="1132"/>
      <c r="B196" s="1872" t="s">
        <v>863</v>
      </c>
      <c r="C196" s="1872" t="s">
        <v>1636</v>
      </c>
      <c r="D196" s="1872"/>
      <c r="E196" s="1873"/>
      <c r="F196" s="1873"/>
      <c r="G196" s="1874"/>
      <c r="H196" s="1877" t="s">
        <v>1630</v>
      </c>
      <c r="I196" s="1875">
        <v>0</v>
      </c>
      <c r="J196" s="1875">
        <f>'[7]Park Úvaly 3749-1'!$B$32</f>
        <v>2058000</v>
      </c>
      <c r="K196" s="1875">
        <f>'[2]Park Úvaly 3749-1'!$B$32</f>
        <v>2058000</v>
      </c>
      <c r="L196" s="1876">
        <f t="shared" si="18"/>
        <v>0</v>
      </c>
      <c r="M196" s="1112"/>
      <c r="N196" s="1112"/>
      <c r="O196" s="856"/>
      <c r="P196" s="216"/>
      <c r="Q196" s="930"/>
    </row>
    <row r="197" spans="1:17" s="1725" customFormat="1" ht="13.5" outlineLevel="1" thickBot="1" x14ac:dyDescent="0.25">
      <c r="A197" s="1144"/>
      <c r="B197" s="1074" t="s">
        <v>863</v>
      </c>
      <c r="C197" s="1074" t="s">
        <v>1302</v>
      </c>
      <c r="D197" s="1074"/>
      <c r="E197" s="1085"/>
      <c r="F197" s="1085"/>
      <c r="G197" s="1151"/>
      <c r="H197" s="1085" t="s">
        <v>5</v>
      </c>
      <c r="I197" s="1099">
        <v>0</v>
      </c>
      <c r="J197" s="1099">
        <v>0</v>
      </c>
      <c r="K197" s="1099">
        <f>'[2]Park Úvaly 3749-1'!$B$100</f>
        <v>0</v>
      </c>
      <c r="L197" s="1100">
        <f t="shared" si="18"/>
        <v>0</v>
      </c>
      <c r="M197" s="1088"/>
      <c r="N197" s="1088"/>
      <c r="O197" s="1099"/>
      <c r="P197" s="216"/>
      <c r="Q197" s="930"/>
    </row>
    <row r="198" spans="1:17" s="1725" customFormat="1" ht="13.5" thickBot="1" x14ac:dyDescent="0.25">
      <c r="A198" s="1733" t="s">
        <v>459</v>
      </c>
      <c r="B198" s="1140" t="s">
        <v>863</v>
      </c>
      <c r="C198" s="1075" t="s">
        <v>497</v>
      </c>
      <c r="D198" s="1075"/>
      <c r="E198" s="1086"/>
      <c r="F198" s="1086"/>
      <c r="G198" s="1152"/>
      <c r="H198" s="1086"/>
      <c r="I198" s="290">
        <v>0</v>
      </c>
      <c r="J198" s="290">
        <v>2058000</v>
      </c>
      <c r="K198" s="290">
        <f>SUM(K196:K197)</f>
        <v>2058000</v>
      </c>
      <c r="L198" s="1102">
        <f t="shared" si="18"/>
        <v>0</v>
      </c>
      <c r="M198" s="1090"/>
      <c r="N198" s="1090"/>
      <c r="O198" s="300"/>
      <c r="P198" s="595">
        <f>'Sumář  výdaje kapitol'!CT73</f>
        <v>2058000</v>
      </c>
      <c r="Q198" s="929">
        <f>+P198-K198</f>
        <v>0</v>
      </c>
    </row>
    <row r="199" spans="1:17" s="1725" customFormat="1" ht="13.5" thickBot="1" x14ac:dyDescent="0.25">
      <c r="A199" s="1733">
        <v>3744</v>
      </c>
      <c r="B199" s="1140" t="s">
        <v>244</v>
      </c>
      <c r="C199" s="1075" t="s">
        <v>1393</v>
      </c>
      <c r="D199" s="1075"/>
      <c r="E199" s="1086"/>
      <c r="F199" s="1086"/>
      <c r="G199" s="1152"/>
      <c r="H199" s="1086"/>
      <c r="I199" s="290">
        <v>0</v>
      </c>
      <c r="J199" s="290">
        <v>0</v>
      </c>
      <c r="K199" s="290">
        <f>'[2]Povodeň 3744'!$B$33</f>
        <v>0</v>
      </c>
      <c r="L199" s="1102">
        <f t="shared" si="18"/>
        <v>0</v>
      </c>
      <c r="M199" s="1090"/>
      <c r="N199" s="1090"/>
      <c r="O199" s="300"/>
      <c r="P199" s="595">
        <f>'Sumář  výdaje kapitol'!CN73</f>
        <v>0</v>
      </c>
      <c r="Q199" s="929">
        <f>+P199-K199</f>
        <v>0</v>
      </c>
    </row>
    <row r="200" spans="1:17" s="1727" customFormat="1" ht="15" customHeight="1" outlineLevel="1" x14ac:dyDescent="0.25">
      <c r="A200" s="1064"/>
      <c r="B200" s="1141"/>
      <c r="C200" s="1121"/>
      <c r="D200" s="1121"/>
      <c r="E200" s="1122"/>
      <c r="F200" s="1122"/>
      <c r="G200" s="1154"/>
      <c r="H200" s="1122" t="s">
        <v>1233</v>
      </c>
      <c r="I200" s="211"/>
      <c r="J200" s="211"/>
      <c r="K200" s="211"/>
      <c r="L200" s="370">
        <f t="shared" si="18"/>
        <v>0</v>
      </c>
      <c r="M200" s="1118"/>
      <c r="N200" s="1118"/>
      <c r="O200" s="211"/>
      <c r="P200" s="92"/>
      <c r="Q200" s="928"/>
    </row>
    <row r="201" spans="1:17" s="1727" customFormat="1" ht="15" customHeight="1" outlineLevel="1" x14ac:dyDescent="0.25">
      <c r="A201" s="1064"/>
      <c r="B201" s="1141"/>
      <c r="C201" s="1121"/>
      <c r="D201" s="1121"/>
      <c r="E201" s="1122"/>
      <c r="F201" s="1122"/>
      <c r="G201" s="1154"/>
      <c r="H201" s="1122" t="s">
        <v>872</v>
      </c>
      <c r="I201" s="211"/>
      <c r="J201" s="211"/>
      <c r="K201" s="211"/>
      <c r="L201" s="370">
        <f t="shared" si="18"/>
        <v>0</v>
      </c>
      <c r="M201" s="1118"/>
      <c r="N201" s="1118"/>
      <c r="O201" s="211"/>
      <c r="P201" s="92"/>
      <c r="Q201" s="928"/>
    </row>
    <row r="202" spans="1:17" s="1727" customFormat="1" ht="15" customHeight="1" outlineLevel="1" x14ac:dyDescent="0.25">
      <c r="A202" s="1064"/>
      <c r="B202" s="1141"/>
      <c r="C202" s="1121"/>
      <c r="D202" s="1121"/>
      <c r="E202" s="1122"/>
      <c r="F202" s="1122"/>
      <c r="G202" s="1154"/>
      <c r="H202" s="1122" t="s">
        <v>1233</v>
      </c>
      <c r="I202" s="211"/>
      <c r="J202" s="211"/>
      <c r="K202" s="211"/>
      <c r="L202" s="370">
        <f t="shared" si="18"/>
        <v>0</v>
      </c>
      <c r="M202" s="1118"/>
      <c r="N202" s="1118"/>
      <c r="O202" s="211"/>
      <c r="P202" s="92"/>
      <c r="Q202" s="928"/>
    </row>
    <row r="203" spans="1:17" s="1725" customFormat="1" ht="13.5" outlineLevel="1" thickBot="1" x14ac:dyDescent="0.25">
      <c r="A203" s="1065"/>
      <c r="B203" s="1074"/>
      <c r="C203" s="1074"/>
      <c r="D203" s="1074"/>
      <c r="E203" s="1085"/>
      <c r="F203" s="1085"/>
      <c r="G203" s="1151"/>
      <c r="H203" s="1085" t="s">
        <v>1233</v>
      </c>
      <c r="I203" s="1099"/>
      <c r="J203" s="1099"/>
      <c r="K203" s="1099"/>
      <c r="L203" s="1100">
        <f t="shared" ref="L203:L215" si="21">+K203-J203</f>
        <v>0</v>
      </c>
      <c r="M203" s="1088"/>
      <c r="N203" s="1088"/>
      <c r="O203" s="211"/>
      <c r="P203" s="216"/>
      <c r="Q203" s="930"/>
    </row>
    <row r="204" spans="1:17" s="1725" customFormat="1" ht="13.5" thickBot="1" x14ac:dyDescent="0.25">
      <c r="A204" s="1733" t="s">
        <v>503</v>
      </c>
      <c r="B204" s="1140" t="s">
        <v>504</v>
      </c>
      <c r="C204" s="1075"/>
      <c r="D204" s="1075"/>
      <c r="E204" s="1086"/>
      <c r="F204" s="1086"/>
      <c r="G204" s="1152"/>
      <c r="H204" s="1086"/>
      <c r="I204" s="290">
        <v>0</v>
      </c>
      <c r="J204" s="290">
        <v>0</v>
      </c>
      <c r="K204" s="290">
        <f t="shared" ref="K204" si="22">SUM(K200:K203)</f>
        <v>0</v>
      </c>
      <c r="L204" s="1102">
        <f t="shared" si="21"/>
        <v>0</v>
      </c>
      <c r="M204" s="1090"/>
      <c r="N204" s="1090"/>
      <c r="O204" s="300"/>
      <c r="P204" s="595">
        <f>'Sumář  výdaje kapitol'!CS73</f>
        <v>0</v>
      </c>
      <c r="Q204" s="929">
        <f>+P204-K204</f>
        <v>0</v>
      </c>
    </row>
    <row r="205" spans="1:17" s="1727" customFormat="1" ht="15" customHeight="1" outlineLevel="1" x14ac:dyDescent="0.25">
      <c r="A205" s="1064"/>
      <c r="B205" s="1141"/>
      <c r="C205" s="1121"/>
      <c r="D205" s="1121"/>
      <c r="E205" s="1122"/>
      <c r="F205" s="1122"/>
      <c r="G205" s="1154"/>
      <c r="H205" s="1122" t="s">
        <v>1233</v>
      </c>
      <c r="I205" s="211"/>
      <c r="J205" s="211"/>
      <c r="K205" s="211"/>
      <c r="L205" s="370">
        <f t="shared" si="21"/>
        <v>0</v>
      </c>
      <c r="M205" s="1118"/>
      <c r="N205" s="1118"/>
      <c r="O205" s="211"/>
      <c r="P205" s="92"/>
      <c r="Q205" s="928"/>
    </row>
    <row r="206" spans="1:17" s="1727" customFormat="1" ht="15" customHeight="1" outlineLevel="1" x14ac:dyDescent="0.25">
      <c r="A206" s="1064"/>
      <c r="B206" s="1141"/>
      <c r="C206" s="1121"/>
      <c r="D206" s="1121"/>
      <c r="E206" s="1122"/>
      <c r="F206" s="1122"/>
      <c r="G206" s="1154"/>
      <c r="H206" s="1122" t="s">
        <v>872</v>
      </c>
      <c r="I206" s="211"/>
      <c r="J206" s="211"/>
      <c r="K206" s="211"/>
      <c r="L206" s="370">
        <f t="shared" si="21"/>
        <v>0</v>
      </c>
      <c r="M206" s="1118"/>
      <c r="N206" s="1118"/>
      <c r="O206" s="211"/>
      <c r="P206" s="92"/>
      <c r="Q206" s="928"/>
    </row>
    <row r="207" spans="1:17" s="1727" customFormat="1" ht="15" customHeight="1" outlineLevel="1" x14ac:dyDescent="0.25">
      <c r="A207" s="1064"/>
      <c r="B207" s="1141"/>
      <c r="C207" s="1121"/>
      <c r="D207" s="1121"/>
      <c r="E207" s="1122"/>
      <c r="F207" s="1122"/>
      <c r="G207" s="1154"/>
      <c r="H207" s="1122" t="s">
        <v>1233</v>
      </c>
      <c r="I207" s="211"/>
      <c r="J207" s="211"/>
      <c r="K207" s="211"/>
      <c r="L207" s="370">
        <f t="shared" si="21"/>
        <v>0</v>
      </c>
      <c r="M207" s="1118"/>
      <c r="N207" s="1118"/>
      <c r="O207" s="211"/>
      <c r="P207" s="92"/>
      <c r="Q207" s="928"/>
    </row>
    <row r="208" spans="1:17" s="1725" customFormat="1" ht="13.5" outlineLevel="1" thickBot="1" x14ac:dyDescent="0.25">
      <c r="A208" s="1065"/>
      <c r="B208" s="1074"/>
      <c r="C208" s="1074"/>
      <c r="D208" s="1074"/>
      <c r="E208" s="1085"/>
      <c r="F208" s="1085"/>
      <c r="G208" s="1151"/>
      <c r="H208" s="1085" t="s">
        <v>1233</v>
      </c>
      <c r="I208" s="1099"/>
      <c r="J208" s="1099"/>
      <c r="K208" s="1099"/>
      <c r="L208" s="1100">
        <f t="shared" si="21"/>
        <v>0</v>
      </c>
      <c r="M208" s="1088"/>
      <c r="N208" s="1088"/>
      <c r="O208" s="211"/>
      <c r="P208" s="216"/>
      <c r="Q208" s="930"/>
    </row>
    <row r="209" spans="1:17" s="1725" customFormat="1" ht="13.5" thickBot="1" x14ac:dyDescent="0.25">
      <c r="A209" s="1733" t="s">
        <v>268</v>
      </c>
      <c r="B209" s="1140" t="s">
        <v>246</v>
      </c>
      <c r="C209" s="1075"/>
      <c r="D209" s="1075"/>
      <c r="E209" s="1086"/>
      <c r="F209" s="1086"/>
      <c r="G209" s="1152"/>
      <c r="H209" s="1086"/>
      <c r="I209" s="290">
        <v>0</v>
      </c>
      <c r="J209" s="290">
        <v>0</v>
      </c>
      <c r="K209" s="290">
        <f t="shared" ref="K209" si="23">SUM(K205:K208)</f>
        <v>0</v>
      </c>
      <c r="L209" s="1102">
        <f t="shared" si="21"/>
        <v>0</v>
      </c>
      <c r="M209" s="1090"/>
      <c r="N209" s="1090"/>
      <c r="O209" s="300"/>
      <c r="P209" s="595">
        <f>'Sumář  výdaje kapitol'!CX68</f>
        <v>0</v>
      </c>
      <c r="Q209" s="929">
        <f>+P209-K209</f>
        <v>0</v>
      </c>
    </row>
    <row r="210" spans="1:17" s="1727" customFormat="1" ht="15" customHeight="1" outlineLevel="1" x14ac:dyDescent="0.25">
      <c r="A210" s="1064"/>
      <c r="B210" s="1141" t="s">
        <v>248</v>
      </c>
      <c r="C210" s="1121" t="s">
        <v>1205</v>
      </c>
      <c r="D210" s="1121"/>
      <c r="E210" s="1122"/>
      <c r="F210" s="1122"/>
      <c r="G210" s="1154"/>
      <c r="H210" s="1122" t="s">
        <v>1233</v>
      </c>
      <c r="I210" s="211">
        <v>170000</v>
      </c>
      <c r="J210" s="211">
        <v>170000</v>
      </c>
      <c r="K210" s="211">
        <f>[5]Cyklostezky!$B$8</f>
        <v>170000</v>
      </c>
      <c r="L210" s="370">
        <f t="shared" si="21"/>
        <v>0</v>
      </c>
      <c r="M210" s="1118"/>
      <c r="N210" s="1118"/>
      <c r="O210" s="211"/>
      <c r="P210" s="92"/>
      <c r="Q210" s="928"/>
    </row>
    <row r="211" spans="1:17" s="1727" customFormat="1" ht="15" customHeight="1" outlineLevel="1" x14ac:dyDescent="0.25">
      <c r="A211" s="1064"/>
      <c r="B211" s="1174" t="s">
        <v>248</v>
      </c>
      <c r="C211" s="1175" t="s">
        <v>415</v>
      </c>
      <c r="D211" s="1175"/>
      <c r="E211" s="1176"/>
      <c r="F211" s="1176"/>
      <c r="G211" s="1847"/>
      <c r="H211" s="1176" t="s">
        <v>872</v>
      </c>
      <c r="I211" s="1179">
        <v>1100000</v>
      </c>
      <c r="J211" s="1179">
        <v>0</v>
      </c>
      <c r="K211" s="1179">
        <f>[5]Cyklostezky!$B$14</f>
        <v>0</v>
      </c>
      <c r="L211" s="1181">
        <f t="shared" si="21"/>
        <v>0</v>
      </c>
      <c r="M211" s="1118"/>
      <c r="N211" s="1118"/>
      <c r="O211" s="211"/>
      <c r="P211" s="92"/>
      <c r="Q211" s="928"/>
    </row>
    <row r="212" spans="1:17" s="1727" customFormat="1" ht="15" customHeight="1" outlineLevel="1" x14ac:dyDescent="0.25">
      <c r="A212" s="1064"/>
      <c r="B212" s="1141" t="s">
        <v>248</v>
      </c>
      <c r="C212" s="1121" t="s">
        <v>1136</v>
      </c>
      <c r="D212" s="1121"/>
      <c r="E212" s="1122"/>
      <c r="F212" s="1122"/>
      <c r="G212" s="1154"/>
      <c r="H212" s="1122" t="s">
        <v>1233</v>
      </c>
      <c r="I212" s="211">
        <v>0</v>
      </c>
      <c r="J212" s="211">
        <v>0</v>
      </c>
      <c r="K212" s="211">
        <f>[5]Cyklostezky!$B$31</f>
        <v>72000</v>
      </c>
      <c r="L212" s="370">
        <f t="shared" si="21"/>
        <v>72000</v>
      </c>
      <c r="M212" s="1118"/>
      <c r="N212" s="1118"/>
      <c r="O212" s="211"/>
      <c r="P212" s="92"/>
      <c r="Q212" s="928"/>
    </row>
    <row r="213" spans="1:17" s="1725" customFormat="1" ht="13.5" outlineLevel="1" thickBot="1" x14ac:dyDescent="0.25">
      <c r="A213" s="1065"/>
      <c r="B213" s="1074" t="s">
        <v>248</v>
      </c>
      <c r="C213" s="1074" t="s">
        <v>1135</v>
      </c>
      <c r="D213" s="1074"/>
      <c r="E213" s="1085"/>
      <c r="F213" s="1085"/>
      <c r="G213" s="1151"/>
      <c r="H213" s="1085" t="s">
        <v>1233</v>
      </c>
      <c r="I213" s="1099">
        <v>500000</v>
      </c>
      <c r="J213" s="1099">
        <v>0</v>
      </c>
      <c r="K213" s="1167">
        <f>[5]Cyklostezky!$B$35</f>
        <v>0</v>
      </c>
      <c r="L213" s="1100">
        <f t="shared" si="21"/>
        <v>0</v>
      </c>
      <c r="M213" s="1088"/>
      <c r="N213" s="1088"/>
      <c r="O213" s="211"/>
      <c r="P213" s="216"/>
      <c r="Q213" s="930"/>
    </row>
    <row r="214" spans="1:17" s="1725" customFormat="1" ht="13.5" thickBot="1" x14ac:dyDescent="0.25">
      <c r="A214" s="1733" t="s">
        <v>1228</v>
      </c>
      <c r="B214" s="1140"/>
      <c r="C214" s="1075"/>
      <c r="D214" s="1075"/>
      <c r="E214" s="1086"/>
      <c r="F214" s="1086"/>
      <c r="G214" s="1152"/>
      <c r="H214" s="1086"/>
      <c r="I214" s="290">
        <v>1770000</v>
      </c>
      <c r="J214" s="290">
        <v>170000</v>
      </c>
      <c r="K214" s="290">
        <f t="shared" ref="K214" si="24">SUM(K210:K213)</f>
        <v>242000</v>
      </c>
      <c r="L214" s="1102">
        <f t="shared" si="21"/>
        <v>72000</v>
      </c>
      <c r="M214" s="1090"/>
      <c r="N214" s="1090"/>
      <c r="O214" s="300"/>
      <c r="P214" s="595">
        <f>'Sumář  výdaje kapitol'!CX73</f>
        <v>242000</v>
      </c>
      <c r="Q214" s="929">
        <f>+P214-K214</f>
        <v>0</v>
      </c>
    </row>
    <row r="215" spans="1:17" s="1728" customFormat="1" ht="20.100000000000001" customHeight="1" thickBot="1" x14ac:dyDescent="0.3">
      <c r="A215" s="110"/>
      <c r="B215" s="1128"/>
      <c r="C215" s="1077" t="s">
        <v>2</v>
      </c>
      <c r="D215" s="1077"/>
      <c r="E215" s="1087"/>
      <c r="F215" s="1087"/>
      <c r="G215" s="1156"/>
      <c r="H215" s="1087"/>
      <c r="I215" s="1069">
        <f>+I214+I209+I204+I199+I198+I195+I192+I191+I188+I180+I179+I118+I107+I104+I100+I96+I90+I79+I75+I72+I71+I67+I64+I60+I57+I53+I43+I27+I24+I20+I16</f>
        <v>113916958</v>
      </c>
      <c r="J215" s="1069">
        <v>115368936.96000001</v>
      </c>
      <c r="K215" s="1069">
        <f>+K214+K209+K204+K199+K198+K195+K192+K191+K188+K180+K179+K118+K107+K104+K100+K96+K90+K79+K75+K72+K71+K67+K64+K60+K57+K53+K43+K27+K24+K20+K16</f>
        <v>116734196.96000001</v>
      </c>
      <c r="L215" s="1103">
        <f t="shared" si="21"/>
        <v>1365260</v>
      </c>
      <c r="M215" s="1081"/>
      <c r="N215" s="1081"/>
      <c r="O215" s="1168"/>
      <c r="P215" s="95"/>
      <c r="Q215" s="933"/>
    </row>
    <row r="216" spans="1:17" x14ac:dyDescent="0.2">
      <c r="A216" s="82"/>
      <c r="B216" s="82"/>
      <c r="C216" s="82"/>
      <c r="D216" s="82"/>
      <c r="E216" s="1080"/>
      <c r="F216" s="1080"/>
      <c r="G216" s="1080"/>
      <c r="H216" s="1080"/>
      <c r="I216" s="84">
        <f>+'Sumář  výdaje kapitol'!G62+'Sumář  výdaje kapitol'!G63+'Sumář  výdaje kapitol'!G64+'Sumář  výdaje kapitol'!G65+'Sumář  výdaje kapitol'!G66+'Sumář  výdaje kapitol'!G67+'Sumář  výdaje kapitol'!G68+'Sumář  výdaje kapitol'!G69</f>
        <v>113916958</v>
      </c>
      <c r="J216" s="84">
        <v>115368936.96000001</v>
      </c>
      <c r="K216" s="84">
        <f>+'Sumář  výdaje kapitol'!I62+'Sumář  výdaje kapitol'!I63+'Sumář  výdaje kapitol'!I61+'Sumář  výdaje kapitol'!I64+'Sumář  výdaje kapitol'!I65+'Sumář  výdaje kapitol'!I66+'Sumář  výdaje kapitol'!I67+'Sumář  výdaje kapitol'!I68+'Sumář  výdaje kapitol'!I69</f>
        <v>116734196.96000001</v>
      </c>
      <c r="L216" s="586"/>
      <c r="M216" s="1091"/>
      <c r="N216" s="1091"/>
      <c r="O216" s="84"/>
      <c r="P216" s="82"/>
      <c r="Q216" s="585"/>
    </row>
    <row r="217" spans="1:17" x14ac:dyDescent="0.2">
      <c r="A217" s="82"/>
      <c r="B217" s="82"/>
      <c r="C217" s="82"/>
      <c r="D217" s="82"/>
      <c r="E217" s="1080"/>
      <c r="F217" s="1080"/>
      <c r="G217" s="1080"/>
      <c r="H217" s="1080"/>
      <c r="I217" s="84">
        <f>+I216-I215</f>
        <v>0</v>
      </c>
      <c r="J217" s="84">
        <v>0</v>
      </c>
      <c r="K217" s="84">
        <f>+K216-K215</f>
        <v>0</v>
      </c>
      <c r="L217" s="84"/>
      <c r="M217" s="1091"/>
      <c r="N217" s="1091"/>
      <c r="O217" s="84"/>
      <c r="P217" s="82"/>
      <c r="Q217" s="585"/>
    </row>
    <row r="218" spans="1:17" x14ac:dyDescent="0.2">
      <c r="A218" s="497" t="s">
        <v>1028</v>
      </c>
      <c r="B218" s="82"/>
      <c r="C218" s="82"/>
      <c r="D218" s="82"/>
      <c r="E218" s="1080"/>
      <c r="F218" s="1080"/>
      <c r="G218" s="1080"/>
      <c r="H218" s="1080"/>
      <c r="I218" s="82"/>
      <c r="J218" s="82"/>
      <c r="K218" s="461"/>
      <c r="L218" s="585"/>
      <c r="M218" s="1080"/>
      <c r="N218" s="1080"/>
      <c r="O218" s="82"/>
      <c r="P218" s="82"/>
      <c r="Q218" s="585"/>
    </row>
    <row r="219" spans="1:17" x14ac:dyDescent="0.2">
      <c r="K219" s="1730"/>
    </row>
  </sheetData>
  <mergeCells count="5">
    <mergeCell ref="A179:B179"/>
    <mergeCell ref="A188:B188"/>
    <mergeCell ref="A16:B16"/>
    <mergeCell ref="A90:B90"/>
    <mergeCell ref="A118:B118"/>
  </mergeCells>
  <pageMargins left="0.23622047244094491" right="0.23622047244094491" top="0.35433070866141736" bottom="0.35433070866141736" header="0.31496062992125984" footer="0.31496062992125984"/>
  <pageSetup paperSize="9" scale="50" fitToHeight="3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K119"/>
  <sheetViews>
    <sheetView topLeftCell="A70" workbookViewId="0"/>
  </sheetViews>
  <sheetFormatPr defaultRowHeight="12.75" outlineLevelRow="1" x14ac:dyDescent="0.2"/>
  <cols>
    <col min="1" max="2" width="9.7109375" style="1682" customWidth="1"/>
    <col min="3" max="3" width="67.140625" style="1682" customWidth="1"/>
    <col min="4" max="4" width="15.42578125" style="1693" customWidth="1"/>
    <col min="5" max="5" width="14.140625" style="1693" customWidth="1"/>
    <col min="6" max="6" width="11.28515625" style="1693" customWidth="1"/>
    <col min="7" max="7" width="15.140625" style="1700" customWidth="1"/>
    <col min="8" max="9" width="8.85546875" style="1741" bestFit="1" customWidth="1"/>
    <col min="10" max="10" width="20.28515625" style="1682" bestFit="1" customWidth="1"/>
    <col min="11" max="16384" width="9.140625" style="1682"/>
  </cols>
  <sheetData>
    <row r="1" spans="1:11" s="1829" customFormat="1" ht="16.5" customHeight="1" x14ac:dyDescent="0.4">
      <c r="A1" s="1833"/>
      <c r="B1" s="1833"/>
      <c r="C1" s="1834"/>
    </row>
    <row r="2" spans="1:11" s="1829" customFormat="1" ht="24" customHeight="1" x14ac:dyDescent="0.4">
      <c r="A2" s="1833" t="s">
        <v>1368</v>
      </c>
      <c r="B2" s="1833"/>
      <c r="C2" s="1834"/>
    </row>
    <row r="3" spans="1:11" s="1830" customFormat="1" ht="15" customHeight="1" x14ac:dyDescent="0.2">
      <c r="A3" s="1835"/>
      <c r="B3" s="1835"/>
    </row>
    <row r="4" spans="1:11" s="1830" customFormat="1" ht="20.25" customHeight="1" x14ac:dyDescent="0.3">
      <c r="A4" s="1965" t="s">
        <v>1038</v>
      </c>
      <c r="B4" s="1965"/>
      <c r="C4" s="1966"/>
    </row>
    <row r="5" spans="1:11" s="1741" customFormat="1" ht="13.5" thickBot="1" x14ac:dyDescent="0.25">
      <c r="D5" s="1740"/>
      <c r="E5" s="1740"/>
      <c r="F5" s="1740"/>
      <c r="G5" s="1740"/>
    </row>
    <row r="6" spans="1:11" ht="19.5" customHeight="1" thickBot="1" x14ac:dyDescent="0.3">
      <c r="A6" s="432" t="s">
        <v>1</v>
      </c>
      <c r="B6" s="118" t="s">
        <v>125</v>
      </c>
      <c r="C6" s="44" t="s">
        <v>8</v>
      </c>
      <c r="D6" s="45" t="s">
        <v>1378</v>
      </c>
      <c r="E6" s="45" t="s">
        <v>637</v>
      </c>
      <c r="F6" s="45" t="s">
        <v>799</v>
      </c>
      <c r="G6" s="465" t="s">
        <v>7</v>
      </c>
    </row>
    <row r="7" spans="1:11" ht="15.75" customHeight="1" outlineLevel="1" x14ac:dyDescent="0.2">
      <c r="A7" s="225">
        <v>6171</v>
      </c>
      <c r="B7" s="46">
        <v>5171</v>
      </c>
      <c r="C7" s="47" t="s">
        <v>307</v>
      </c>
      <c r="D7" s="472">
        <v>300000</v>
      </c>
      <c r="E7" s="472">
        <v>300000</v>
      </c>
      <c r="F7" s="472">
        <f>[3]Správa!$B$91</f>
        <v>300000</v>
      </c>
      <c r="G7" s="474">
        <f>+F7-E7</f>
        <v>0</v>
      </c>
    </row>
    <row r="8" spans="1:11" ht="15.75" customHeight="1" outlineLevel="1" x14ac:dyDescent="0.2">
      <c r="A8" s="226">
        <v>6171</v>
      </c>
      <c r="B8" s="280">
        <v>5171</v>
      </c>
      <c r="C8" s="179" t="s">
        <v>1641</v>
      </c>
      <c r="D8" s="477"/>
      <c r="E8" s="477"/>
      <c r="F8" s="477">
        <f>+[3]Správa!$D$92</f>
        <v>66000</v>
      </c>
      <c r="G8" s="475">
        <f t="shared" ref="G8:G71" si="0">+F8-E8</f>
        <v>66000</v>
      </c>
    </row>
    <row r="9" spans="1:11" ht="15.75" customHeight="1" outlineLevel="1" x14ac:dyDescent="0.2">
      <c r="A9" s="226">
        <v>6171</v>
      </c>
      <c r="B9" s="280">
        <v>5171</v>
      </c>
      <c r="C9" s="179"/>
      <c r="D9" s="477"/>
      <c r="E9" s="477"/>
      <c r="F9" s="477"/>
      <c r="G9" s="475">
        <f t="shared" si="0"/>
        <v>0</v>
      </c>
    </row>
    <row r="10" spans="1:11" s="1702" customFormat="1" ht="16.5" customHeight="1" thickBot="1" x14ac:dyDescent="0.25">
      <c r="A10" s="223"/>
      <c r="B10" s="182"/>
      <c r="C10" s="183" t="s">
        <v>325</v>
      </c>
      <c r="D10" s="184">
        <v>300000</v>
      </c>
      <c r="E10" s="184">
        <v>300000</v>
      </c>
      <c r="F10" s="184">
        <f>SUM(F7:F9)</f>
        <v>366000</v>
      </c>
      <c r="G10" s="468">
        <f t="shared" si="0"/>
        <v>66000</v>
      </c>
      <c r="H10" s="1831">
        <f>'Sumář  výdaje kapitol'!N35</f>
        <v>366000</v>
      </c>
      <c r="I10" s="1831">
        <f>+H10-F10</f>
        <v>0</v>
      </c>
      <c r="J10" s="1692"/>
      <c r="K10" s="1692"/>
    </row>
    <row r="11" spans="1:11" ht="15.75" customHeight="1" outlineLevel="1" x14ac:dyDescent="0.2">
      <c r="A11" s="225">
        <v>4351</v>
      </c>
      <c r="B11" s="46">
        <v>5171</v>
      </c>
      <c r="C11" s="47"/>
      <c r="D11" s="472">
        <v>40000</v>
      </c>
      <c r="E11" s="472">
        <v>40000</v>
      </c>
      <c r="F11" s="472">
        <f>'[3]Pečovatelská služba'!$B$60</f>
        <v>40000</v>
      </c>
      <c r="G11" s="474">
        <f t="shared" si="0"/>
        <v>0</v>
      </c>
      <c r="K11" s="1692"/>
    </row>
    <row r="12" spans="1:11" ht="15.75" customHeight="1" outlineLevel="1" x14ac:dyDescent="0.2">
      <c r="A12" s="226"/>
      <c r="B12" s="280"/>
      <c r="C12" s="179"/>
      <c r="D12" s="477">
        <v>0</v>
      </c>
      <c r="E12" s="477">
        <v>0</v>
      </c>
      <c r="F12" s="477">
        <f>[4]Správa!$B$6</f>
        <v>0</v>
      </c>
      <c r="G12" s="475">
        <f t="shared" si="0"/>
        <v>0</v>
      </c>
      <c r="K12" s="1692"/>
    </row>
    <row r="13" spans="1:11" ht="15.75" customHeight="1" outlineLevel="1" x14ac:dyDescent="0.2">
      <c r="A13" s="226">
        <v>4351</v>
      </c>
      <c r="B13" s="280">
        <v>5171</v>
      </c>
      <c r="C13" s="179"/>
      <c r="D13" s="180">
        <v>0</v>
      </c>
      <c r="E13" s="180">
        <v>0</v>
      </c>
      <c r="F13" s="180">
        <f>[4]Správa!$B$7</f>
        <v>0</v>
      </c>
      <c r="G13" s="466">
        <f t="shared" si="0"/>
        <v>0</v>
      </c>
      <c r="K13" s="1692"/>
    </row>
    <row r="14" spans="1:11" s="1702" customFormat="1" ht="16.5" customHeight="1" thickBot="1" x14ac:dyDescent="0.25">
      <c r="A14" s="223"/>
      <c r="B14" s="182"/>
      <c r="C14" s="183" t="s">
        <v>326</v>
      </c>
      <c r="D14" s="184">
        <v>40000</v>
      </c>
      <c r="E14" s="184">
        <v>40000</v>
      </c>
      <c r="F14" s="184">
        <f>SUM(F11:F13)</f>
        <v>40000</v>
      </c>
      <c r="G14" s="468">
        <f t="shared" si="0"/>
        <v>0</v>
      </c>
      <c r="H14" s="1831">
        <f>'Sumář  výdaje kapitol'!R35</f>
        <v>40000</v>
      </c>
      <c r="I14" s="1831">
        <f>+H14-F14</f>
        <v>0</v>
      </c>
      <c r="J14" s="1692"/>
      <c r="K14" s="1692"/>
    </row>
    <row r="15" spans="1:11" ht="15.75" customHeight="1" outlineLevel="1" x14ac:dyDescent="0.2">
      <c r="A15" s="225" t="s">
        <v>308</v>
      </c>
      <c r="B15" s="46">
        <v>5171</v>
      </c>
      <c r="C15" s="47" t="s">
        <v>885</v>
      </c>
      <c r="D15" s="472">
        <v>55000</v>
      </c>
      <c r="E15" s="472">
        <v>55000</v>
      </c>
      <c r="F15" s="472">
        <f>'[3]Městská policie'!$B$106</f>
        <v>55000</v>
      </c>
      <c r="G15" s="474">
        <f t="shared" si="0"/>
        <v>0</v>
      </c>
      <c r="K15" s="1692"/>
    </row>
    <row r="16" spans="1:11" ht="15.75" customHeight="1" outlineLevel="1" x14ac:dyDescent="0.2">
      <c r="A16" s="226" t="s">
        <v>308</v>
      </c>
      <c r="B16" s="280">
        <v>5171</v>
      </c>
      <c r="C16" s="179"/>
      <c r="D16" s="180"/>
      <c r="E16" s="180"/>
      <c r="F16" s="180"/>
      <c r="G16" s="466">
        <f t="shared" si="0"/>
        <v>0</v>
      </c>
      <c r="K16" s="1692"/>
    </row>
    <row r="17" spans="1:11" s="1702" customFormat="1" ht="16.5" customHeight="1" thickBot="1" x14ac:dyDescent="0.25">
      <c r="A17" s="223"/>
      <c r="B17" s="182"/>
      <c r="C17" s="183" t="s">
        <v>418</v>
      </c>
      <c r="D17" s="184">
        <v>55000</v>
      </c>
      <c r="E17" s="184">
        <v>55000</v>
      </c>
      <c r="F17" s="184">
        <f>SUM(F15:F16)</f>
        <v>55000</v>
      </c>
      <c r="G17" s="468">
        <f t="shared" si="0"/>
        <v>0</v>
      </c>
      <c r="H17" s="1831">
        <f>'Sumář  výdaje kapitol'!T35</f>
        <v>55000</v>
      </c>
      <c r="I17" s="1831">
        <f>+H17-F17</f>
        <v>0</v>
      </c>
      <c r="J17" s="1692"/>
      <c r="K17" s="1692"/>
    </row>
    <row r="18" spans="1:11" ht="15.75" customHeight="1" outlineLevel="1" x14ac:dyDescent="0.2">
      <c r="A18" s="225">
        <v>3314</v>
      </c>
      <c r="B18" s="46">
        <v>5171</v>
      </c>
      <c r="C18" s="47"/>
      <c r="D18" s="472">
        <v>15000</v>
      </c>
      <c r="E18" s="472">
        <v>15000</v>
      </c>
      <c r="F18" s="472">
        <f>[3]Knihovna!$B$68</f>
        <v>15000</v>
      </c>
      <c r="G18" s="474">
        <f t="shared" si="0"/>
        <v>0</v>
      </c>
      <c r="K18" s="1692"/>
    </row>
    <row r="19" spans="1:11" ht="15.75" customHeight="1" outlineLevel="1" x14ac:dyDescent="0.2">
      <c r="A19" s="226">
        <v>3314</v>
      </c>
      <c r="B19" s="280">
        <v>5171</v>
      </c>
      <c r="C19" s="179"/>
      <c r="D19" s="180"/>
      <c r="E19" s="180"/>
      <c r="F19" s="180"/>
      <c r="G19" s="466">
        <f t="shared" si="0"/>
        <v>0</v>
      </c>
      <c r="K19" s="1692"/>
    </row>
    <row r="20" spans="1:11" s="1702" customFormat="1" ht="16.5" customHeight="1" thickBot="1" x14ac:dyDescent="0.25">
      <c r="A20" s="223"/>
      <c r="B20" s="182"/>
      <c r="C20" s="183" t="s">
        <v>294</v>
      </c>
      <c r="D20" s="184">
        <v>15000</v>
      </c>
      <c r="E20" s="184">
        <v>15000</v>
      </c>
      <c r="F20" s="184">
        <f>SUM(F18:F19)</f>
        <v>15000</v>
      </c>
      <c r="G20" s="468">
        <f t="shared" si="0"/>
        <v>0</v>
      </c>
      <c r="H20" s="1831">
        <f>'Sumář  výdaje kapitol'!V35</f>
        <v>15000</v>
      </c>
      <c r="I20" s="1831">
        <f>+H20-F20</f>
        <v>0</v>
      </c>
      <c r="J20" s="1692"/>
      <c r="K20" s="1692"/>
    </row>
    <row r="21" spans="1:11" ht="15.75" customHeight="1" outlineLevel="1" x14ac:dyDescent="0.2">
      <c r="A21" s="225">
        <v>3612</v>
      </c>
      <c r="B21" s="46">
        <v>5171</v>
      </c>
      <c r="C21" s="47" t="s">
        <v>886</v>
      </c>
      <c r="D21" s="472">
        <v>80000</v>
      </c>
      <c r="E21" s="472">
        <v>80000</v>
      </c>
      <c r="F21" s="472">
        <f>[4]Byty!$B$12</f>
        <v>80000</v>
      </c>
      <c r="G21" s="474">
        <f t="shared" si="0"/>
        <v>0</v>
      </c>
      <c r="K21" s="1692"/>
    </row>
    <row r="22" spans="1:11" ht="15.75" customHeight="1" outlineLevel="1" x14ac:dyDescent="0.2">
      <c r="A22" s="226">
        <v>3612</v>
      </c>
      <c r="B22" s="280">
        <v>5171</v>
      </c>
      <c r="C22" s="179" t="s">
        <v>887</v>
      </c>
      <c r="D22" s="477">
        <v>200000</v>
      </c>
      <c r="E22" s="477">
        <v>200000</v>
      </c>
      <c r="F22" s="477">
        <f>[4]Byty!$B$13</f>
        <v>200000</v>
      </c>
      <c r="G22" s="475">
        <f t="shared" si="0"/>
        <v>0</v>
      </c>
      <c r="K22" s="1692"/>
    </row>
    <row r="23" spans="1:11" ht="18" customHeight="1" outlineLevel="1" x14ac:dyDescent="0.2">
      <c r="A23" s="227">
        <v>3612</v>
      </c>
      <c r="B23" s="48">
        <v>5171</v>
      </c>
      <c r="C23" s="49" t="s">
        <v>888</v>
      </c>
      <c r="D23" s="478">
        <v>50000</v>
      </c>
      <c r="E23" s="478">
        <v>50000</v>
      </c>
      <c r="F23" s="478">
        <f>[4]Byty!$B$14</f>
        <v>50000</v>
      </c>
      <c r="G23" s="476">
        <f t="shared" si="0"/>
        <v>0</v>
      </c>
      <c r="K23" s="1692"/>
    </row>
    <row r="24" spans="1:11" ht="22.5" customHeight="1" outlineLevel="1" x14ac:dyDescent="0.2">
      <c r="A24" s="227">
        <v>3612</v>
      </c>
      <c r="B24" s="48">
        <v>5171</v>
      </c>
      <c r="C24" s="49" t="s">
        <v>1440</v>
      </c>
      <c r="D24" s="478">
        <v>250000</v>
      </c>
      <c r="E24" s="478">
        <v>250000</v>
      </c>
      <c r="F24" s="478">
        <f>[4]Byty!$B$15</f>
        <v>250000</v>
      </c>
      <c r="G24" s="476">
        <f t="shared" si="0"/>
        <v>0</v>
      </c>
      <c r="K24" s="1692"/>
    </row>
    <row r="25" spans="1:11" s="1702" customFormat="1" ht="16.5" customHeight="1" thickBot="1" x14ac:dyDescent="0.25">
      <c r="A25" s="223"/>
      <c r="B25" s="182"/>
      <c r="C25" s="183" t="s">
        <v>312</v>
      </c>
      <c r="D25" s="184">
        <v>580000</v>
      </c>
      <c r="E25" s="184">
        <v>580000</v>
      </c>
      <c r="F25" s="184">
        <f>SUM(F21:F24)</f>
        <v>580000</v>
      </c>
      <c r="G25" s="468">
        <f t="shared" si="0"/>
        <v>0</v>
      </c>
      <c r="H25" s="1831">
        <f>'Sumář  výdaje kapitol'!Y35</f>
        <v>580000</v>
      </c>
      <c r="I25" s="1831">
        <f>+H25-F25</f>
        <v>0</v>
      </c>
      <c r="J25" s="1692"/>
      <c r="K25" s="1692"/>
    </row>
    <row r="26" spans="1:11" ht="16.5" customHeight="1" outlineLevel="1" x14ac:dyDescent="0.2">
      <c r="A26" s="227" t="s">
        <v>310</v>
      </c>
      <c r="B26" s="48">
        <v>5171</v>
      </c>
      <c r="C26" s="49" t="s">
        <v>1442</v>
      </c>
      <c r="D26" s="478">
        <v>150000</v>
      </c>
      <c r="E26" s="478">
        <v>150000</v>
      </c>
      <c r="F26" s="478">
        <f>[4]DPS!$B$26</f>
        <v>150000</v>
      </c>
      <c r="G26" s="476">
        <f t="shared" si="0"/>
        <v>0</v>
      </c>
      <c r="K26" s="1692"/>
    </row>
    <row r="27" spans="1:11" ht="16.5" customHeight="1" outlineLevel="1" x14ac:dyDescent="0.2">
      <c r="A27" s="227" t="s">
        <v>310</v>
      </c>
      <c r="B27" s="48">
        <v>5171</v>
      </c>
      <c r="C27" s="49" t="s">
        <v>311</v>
      </c>
      <c r="D27" s="478">
        <v>40000</v>
      </c>
      <c r="E27" s="478">
        <v>40000</v>
      </c>
      <c r="F27" s="478">
        <f>[4]DPS!$B$27</f>
        <v>40000</v>
      </c>
      <c r="G27" s="476">
        <f t="shared" si="0"/>
        <v>0</v>
      </c>
      <c r="K27" s="1692"/>
    </row>
    <row r="28" spans="1:11" ht="26.25" customHeight="1" outlineLevel="1" x14ac:dyDescent="0.2">
      <c r="A28" s="227" t="s">
        <v>310</v>
      </c>
      <c r="B28" s="48">
        <v>5171</v>
      </c>
      <c r="C28" s="49" t="s">
        <v>889</v>
      </c>
      <c r="D28" s="478">
        <v>250000</v>
      </c>
      <c r="E28" s="478">
        <v>250000</v>
      </c>
      <c r="F28" s="478">
        <f>[4]DPS!$B$28</f>
        <v>250000</v>
      </c>
      <c r="G28" s="476">
        <f t="shared" si="0"/>
        <v>0</v>
      </c>
      <c r="K28" s="1692"/>
    </row>
    <row r="29" spans="1:11" ht="16.5" customHeight="1" outlineLevel="1" x14ac:dyDescent="0.2">
      <c r="A29" s="227" t="s">
        <v>310</v>
      </c>
      <c r="B29" s="48">
        <v>5171</v>
      </c>
      <c r="C29" s="49" t="s">
        <v>306</v>
      </c>
      <c r="D29" s="478">
        <v>100000</v>
      </c>
      <c r="E29" s="478">
        <v>100000</v>
      </c>
      <c r="F29" s="478">
        <f>[4]DPS!$B$29</f>
        <v>100000</v>
      </c>
      <c r="G29" s="476">
        <f t="shared" si="0"/>
        <v>0</v>
      </c>
      <c r="K29" s="1692"/>
    </row>
    <row r="30" spans="1:11" ht="16.5" customHeight="1" thickBot="1" x14ac:dyDescent="0.25">
      <c r="A30" s="228"/>
      <c r="B30" s="185"/>
      <c r="C30" s="183" t="s">
        <v>313</v>
      </c>
      <c r="D30" s="184">
        <v>540000</v>
      </c>
      <c r="E30" s="184">
        <v>540000</v>
      </c>
      <c r="F30" s="184">
        <f>SUM(F26:F29)</f>
        <v>540000</v>
      </c>
      <c r="G30" s="468">
        <f t="shared" si="0"/>
        <v>0</v>
      </c>
      <c r="H30" s="1740">
        <f>'Sumář  výdaje kapitol'!AB35</f>
        <v>540000</v>
      </c>
      <c r="I30" s="1740">
        <f>+H30-F30</f>
        <v>0</v>
      </c>
      <c r="J30" s="1693"/>
      <c r="K30" s="1692"/>
    </row>
    <row r="31" spans="1:11" ht="16.5" customHeight="1" outlineLevel="1" x14ac:dyDescent="0.2">
      <c r="A31" s="226">
        <v>3613</v>
      </c>
      <c r="B31" s="280">
        <v>5171</v>
      </c>
      <c r="C31" s="179" t="s">
        <v>455</v>
      </c>
      <c r="D31" s="477">
        <v>150000</v>
      </c>
      <c r="E31" s="477">
        <v>150000</v>
      </c>
      <c r="F31" s="477">
        <f>[4]Nebyty!$B$12</f>
        <v>150000</v>
      </c>
      <c r="G31" s="466">
        <f t="shared" si="0"/>
        <v>0</v>
      </c>
      <c r="K31" s="1692"/>
    </row>
    <row r="32" spans="1:11" ht="16.5" customHeight="1" outlineLevel="1" x14ac:dyDescent="0.2">
      <c r="A32" s="227">
        <v>3613</v>
      </c>
      <c r="B32" s="48">
        <v>5171</v>
      </c>
      <c r="C32" s="49" t="s">
        <v>1441</v>
      </c>
      <c r="D32" s="478">
        <v>50000</v>
      </c>
      <c r="E32" s="478">
        <v>50000</v>
      </c>
      <c r="F32" s="478">
        <f>[4]Nebyty!$B$13</f>
        <v>50000</v>
      </c>
      <c r="G32" s="467">
        <f t="shared" si="0"/>
        <v>0</v>
      </c>
      <c r="K32" s="1692"/>
    </row>
    <row r="33" spans="1:11" ht="16.5" customHeight="1" outlineLevel="1" x14ac:dyDescent="0.2">
      <c r="A33" s="230"/>
      <c r="B33" s="119"/>
      <c r="C33" s="120"/>
      <c r="D33" s="121">
        <v>0</v>
      </c>
      <c r="E33" s="121">
        <v>0</v>
      </c>
      <c r="F33" s="121">
        <f>[4]Nebyty!$B$14</f>
        <v>0</v>
      </c>
      <c r="G33" s="469">
        <f t="shared" si="0"/>
        <v>0</v>
      </c>
      <c r="K33" s="1692"/>
    </row>
    <row r="34" spans="1:11" ht="16.5" customHeight="1" thickBot="1" x14ac:dyDescent="0.25">
      <c r="A34" s="228"/>
      <c r="B34" s="185"/>
      <c r="C34" s="183" t="s">
        <v>314</v>
      </c>
      <c r="D34" s="184">
        <v>200000</v>
      </c>
      <c r="E34" s="184">
        <v>200000</v>
      </c>
      <c r="F34" s="184">
        <f>SUM(F31:F33)</f>
        <v>200000</v>
      </c>
      <c r="G34" s="468">
        <f t="shared" si="0"/>
        <v>0</v>
      </c>
      <c r="H34" s="1740">
        <f>'Sumář  výdaje kapitol'!AE35</f>
        <v>200000</v>
      </c>
      <c r="I34" s="1740">
        <f>+H34-F34</f>
        <v>0</v>
      </c>
      <c r="J34" s="1693"/>
      <c r="K34" s="1692"/>
    </row>
    <row r="35" spans="1:11" ht="20.25" customHeight="1" outlineLevel="1" x14ac:dyDescent="0.2">
      <c r="A35" s="226">
        <v>5512</v>
      </c>
      <c r="B35" s="280">
        <v>5171</v>
      </c>
      <c r="C35" s="179" t="s">
        <v>1435</v>
      </c>
      <c r="D35" s="477">
        <v>100000</v>
      </c>
      <c r="E35" s="477">
        <v>100000</v>
      </c>
      <c r="F35" s="477">
        <f>[3]Hasiči!$B$83</f>
        <v>100000</v>
      </c>
      <c r="G35" s="466">
        <f t="shared" si="0"/>
        <v>0</v>
      </c>
      <c r="K35" s="1692"/>
    </row>
    <row r="36" spans="1:11" ht="20.25" customHeight="1" outlineLevel="1" x14ac:dyDescent="0.2">
      <c r="A36" s="227">
        <v>5512</v>
      </c>
      <c r="B36" s="48">
        <v>5171</v>
      </c>
      <c r="C36" s="49" t="s">
        <v>306</v>
      </c>
      <c r="D36" s="478">
        <v>50000</v>
      </c>
      <c r="E36" s="478">
        <v>50000</v>
      </c>
      <c r="F36" s="478">
        <f>[4]Hasiči!$B$12</f>
        <v>50000</v>
      </c>
      <c r="G36" s="467">
        <f t="shared" si="0"/>
        <v>0</v>
      </c>
      <c r="K36" s="1692"/>
    </row>
    <row r="37" spans="1:11" ht="20.25" customHeight="1" thickBot="1" x14ac:dyDescent="0.25">
      <c r="A37" s="228"/>
      <c r="B37" s="185"/>
      <c r="C37" s="183" t="s">
        <v>315</v>
      </c>
      <c r="D37" s="184">
        <v>150000</v>
      </c>
      <c r="E37" s="184">
        <v>150000</v>
      </c>
      <c r="F37" s="184">
        <f>SUM(F35:F36)</f>
        <v>150000</v>
      </c>
      <c r="G37" s="468">
        <f t="shared" si="0"/>
        <v>0</v>
      </c>
      <c r="H37" s="1740">
        <f>'Sumář  výdaje kapitol'!AH35</f>
        <v>150000</v>
      </c>
      <c r="I37" s="1740">
        <f>+H37-F37</f>
        <v>0</v>
      </c>
      <c r="J37" s="1693"/>
      <c r="K37" s="1692"/>
    </row>
    <row r="38" spans="1:11" ht="20.25" customHeight="1" outlineLevel="1" x14ac:dyDescent="0.2">
      <c r="A38" s="226">
        <v>3519</v>
      </c>
      <c r="B38" s="280">
        <v>5171</v>
      </c>
      <c r="C38" s="179" t="s">
        <v>296</v>
      </c>
      <c r="D38" s="477">
        <v>100000</v>
      </c>
      <c r="E38" s="477">
        <v>100000</v>
      </c>
      <c r="F38" s="477">
        <f>'[4]Zdrav. středisko'!$B$6</f>
        <v>100000</v>
      </c>
      <c r="G38" s="466">
        <f t="shared" si="0"/>
        <v>0</v>
      </c>
      <c r="K38" s="1692"/>
    </row>
    <row r="39" spans="1:11" ht="20.25" customHeight="1" outlineLevel="1" x14ac:dyDescent="0.2">
      <c r="A39" s="227">
        <v>3519</v>
      </c>
      <c r="B39" s="48">
        <v>5171</v>
      </c>
      <c r="C39" s="49" t="s">
        <v>1443</v>
      </c>
      <c r="D39" s="478">
        <v>50000</v>
      </c>
      <c r="E39" s="478">
        <v>50000</v>
      </c>
      <c r="F39" s="478">
        <f>'[4]Zdrav. středisko'!$B$7</f>
        <v>50000</v>
      </c>
      <c r="G39" s="467">
        <f t="shared" si="0"/>
        <v>0</v>
      </c>
      <c r="K39" s="1692"/>
    </row>
    <row r="40" spans="1:11" ht="20.25" customHeight="1" thickBot="1" x14ac:dyDescent="0.25">
      <c r="A40" s="228"/>
      <c r="B40" s="185"/>
      <c r="C40" s="183" t="s">
        <v>316</v>
      </c>
      <c r="D40" s="184">
        <v>150000</v>
      </c>
      <c r="E40" s="184">
        <v>150000</v>
      </c>
      <c r="F40" s="184">
        <f>SUM(F38:F39)</f>
        <v>150000</v>
      </c>
      <c r="G40" s="468">
        <f t="shared" si="0"/>
        <v>0</v>
      </c>
      <c r="H40" s="1740">
        <f>'Sumář  výdaje kapitol'!AI35</f>
        <v>150000</v>
      </c>
      <c r="I40" s="1740">
        <f>+H40-F40</f>
        <v>0</v>
      </c>
      <c r="J40" s="1693"/>
      <c r="K40" s="1692"/>
    </row>
    <row r="41" spans="1:11" ht="20.25" customHeight="1" outlineLevel="1" x14ac:dyDescent="0.2">
      <c r="A41" s="226">
        <v>3632</v>
      </c>
      <c r="B41" s="280">
        <v>5171</v>
      </c>
      <c r="C41" s="179" t="s">
        <v>1029</v>
      </c>
      <c r="D41" s="180">
        <v>50000</v>
      </c>
      <c r="E41" s="180">
        <v>50000</v>
      </c>
      <c r="F41" s="180">
        <f>[4]Hřbitov!$B$6</f>
        <v>50000</v>
      </c>
      <c r="G41" s="466">
        <f t="shared" si="0"/>
        <v>0</v>
      </c>
      <c r="K41" s="1692"/>
    </row>
    <row r="42" spans="1:11" ht="20.25" customHeight="1" outlineLevel="1" x14ac:dyDescent="0.2">
      <c r="A42" s="226"/>
      <c r="B42" s="280"/>
      <c r="C42" s="179"/>
      <c r="D42" s="180"/>
      <c r="E42" s="180"/>
      <c r="F42" s="180"/>
      <c r="G42" s="466">
        <f t="shared" si="0"/>
        <v>0</v>
      </c>
      <c r="K42" s="1692"/>
    </row>
    <row r="43" spans="1:11" ht="20.25" customHeight="1" thickBot="1" x14ac:dyDescent="0.25">
      <c r="A43" s="228"/>
      <c r="B43" s="185"/>
      <c r="C43" s="183" t="s">
        <v>419</v>
      </c>
      <c r="D43" s="184">
        <v>50000</v>
      </c>
      <c r="E43" s="184">
        <v>50000</v>
      </c>
      <c r="F43" s="184">
        <f>SUM(F41:F42)</f>
        <v>50000</v>
      </c>
      <c r="G43" s="468">
        <f t="shared" si="0"/>
        <v>0</v>
      </c>
      <c r="H43" s="1740">
        <f>'Sumář  výdaje kapitol'!AK35</f>
        <v>50000</v>
      </c>
      <c r="I43" s="1740">
        <f>+H43-F43</f>
        <v>0</v>
      </c>
      <c r="J43" s="1693"/>
      <c r="K43" s="1692"/>
    </row>
    <row r="44" spans="1:11" ht="18" customHeight="1" outlineLevel="1" x14ac:dyDescent="0.2">
      <c r="A44" s="226">
        <v>3412</v>
      </c>
      <c r="B44" s="280">
        <v>5171</v>
      </c>
      <c r="C44" s="179" t="s">
        <v>890</v>
      </c>
      <c r="D44" s="477">
        <v>150000</v>
      </c>
      <c r="E44" s="477">
        <v>150000</v>
      </c>
      <c r="F44" s="477">
        <f>'[4]Koupaliště-Hřišť'!$B$12</f>
        <v>150000</v>
      </c>
      <c r="G44" s="466">
        <f t="shared" si="0"/>
        <v>0</v>
      </c>
      <c r="K44" s="1692"/>
    </row>
    <row r="45" spans="1:11" ht="18" customHeight="1" outlineLevel="1" x14ac:dyDescent="0.2">
      <c r="A45" s="226"/>
      <c r="B45" s="280"/>
      <c r="C45" s="179" t="s">
        <v>891</v>
      </c>
      <c r="D45" s="477">
        <v>160000</v>
      </c>
      <c r="E45" s="477">
        <v>160000</v>
      </c>
      <c r="F45" s="477">
        <f>'[4]Koupaliště-Hřišť'!$B$13</f>
        <v>160000</v>
      </c>
      <c r="G45" s="466">
        <f t="shared" si="0"/>
        <v>0</v>
      </c>
      <c r="K45" s="1692"/>
    </row>
    <row r="46" spans="1:11" ht="18" customHeight="1" outlineLevel="1" x14ac:dyDescent="0.2">
      <c r="A46" s="227">
        <v>3412</v>
      </c>
      <c r="B46" s="48">
        <v>5171</v>
      </c>
      <c r="C46" s="179" t="s">
        <v>1444</v>
      </c>
      <c r="D46" s="477">
        <v>100000</v>
      </c>
      <c r="E46" s="477">
        <v>100000</v>
      </c>
      <c r="F46" s="477">
        <f>'[4]Koupaliště-Hřišť'!$B$14</f>
        <v>100000</v>
      </c>
      <c r="G46" s="466">
        <f t="shared" si="0"/>
        <v>0</v>
      </c>
      <c r="K46" s="1692"/>
    </row>
    <row r="47" spans="1:11" ht="20.25" customHeight="1" thickBot="1" x14ac:dyDescent="0.25">
      <c r="A47" s="228">
        <v>3412</v>
      </c>
      <c r="B47" s="185">
        <v>5171</v>
      </c>
      <c r="C47" s="183" t="s">
        <v>892</v>
      </c>
      <c r="D47" s="184">
        <v>410000</v>
      </c>
      <c r="E47" s="184">
        <v>410000</v>
      </c>
      <c r="F47" s="184">
        <f>SUM(F44:F46)</f>
        <v>410000</v>
      </c>
      <c r="G47" s="468">
        <f t="shared" si="0"/>
        <v>0</v>
      </c>
      <c r="H47" s="1740">
        <f>'Sumář  výdaje kapitol'!AN35</f>
        <v>410000</v>
      </c>
      <c r="I47" s="1740">
        <f>+H47-F47</f>
        <v>0</v>
      </c>
      <c r="J47" s="1693"/>
      <c r="K47" s="1692"/>
    </row>
    <row r="48" spans="1:11" ht="20.25" customHeight="1" outlineLevel="1" x14ac:dyDescent="0.2">
      <c r="A48" s="225">
        <v>3113</v>
      </c>
      <c r="B48" s="46">
        <v>5171</v>
      </c>
      <c r="C48" s="47" t="s">
        <v>1447</v>
      </c>
      <c r="D48" s="472">
        <v>700000</v>
      </c>
      <c r="E48" s="472">
        <v>700000</v>
      </c>
      <c r="F48" s="472">
        <f>[4]ZŠ!$B$14</f>
        <v>700000</v>
      </c>
      <c r="G48" s="466">
        <f t="shared" si="0"/>
        <v>0</v>
      </c>
      <c r="K48" s="1692"/>
    </row>
    <row r="49" spans="1:11" ht="20.25" customHeight="1" outlineLevel="1" x14ac:dyDescent="0.2">
      <c r="A49" s="230">
        <v>3113</v>
      </c>
      <c r="B49" s="119">
        <v>5171</v>
      </c>
      <c r="C49" s="120" t="s">
        <v>1448</v>
      </c>
      <c r="D49" s="473">
        <v>200000</v>
      </c>
      <c r="E49" s="473">
        <v>200000</v>
      </c>
      <c r="F49" s="473">
        <f>[4]ZŠ!$B$15</f>
        <v>200000</v>
      </c>
      <c r="G49" s="467">
        <f t="shared" si="0"/>
        <v>0</v>
      </c>
      <c r="K49" s="1692"/>
    </row>
    <row r="50" spans="1:11" ht="20.25" customHeight="1" thickBot="1" x14ac:dyDescent="0.25">
      <c r="A50" s="228"/>
      <c r="B50" s="185"/>
      <c r="C50" s="183" t="s">
        <v>317</v>
      </c>
      <c r="D50" s="184">
        <v>900000</v>
      </c>
      <c r="E50" s="184">
        <v>900000</v>
      </c>
      <c r="F50" s="184">
        <f>SUM(F48:F49)</f>
        <v>900000</v>
      </c>
      <c r="G50" s="468">
        <f t="shared" si="0"/>
        <v>0</v>
      </c>
      <c r="H50" s="1740">
        <f>'Sumář  výdaje kapitol'!AQ35</f>
        <v>900000</v>
      </c>
      <c r="I50" s="1740">
        <f>+H50-F50</f>
        <v>0</v>
      </c>
      <c r="J50" s="1693"/>
      <c r="K50" s="1692"/>
    </row>
    <row r="51" spans="1:11" outlineLevel="1" x14ac:dyDescent="0.2">
      <c r="A51" s="229">
        <v>3114</v>
      </c>
      <c r="B51" s="317">
        <v>5171</v>
      </c>
      <c r="C51" s="186" t="s">
        <v>1450</v>
      </c>
      <c r="D51" s="471">
        <v>200000</v>
      </c>
      <c r="E51" s="471">
        <v>200000</v>
      </c>
      <c r="F51" s="471">
        <f>[4]MDDM!$B$12</f>
        <v>200000</v>
      </c>
      <c r="G51" s="466">
        <f t="shared" si="0"/>
        <v>0</v>
      </c>
      <c r="K51" s="1692"/>
    </row>
    <row r="52" spans="1:11" ht="20.25" customHeight="1" outlineLevel="1" x14ac:dyDescent="0.2">
      <c r="A52" s="230">
        <v>3114</v>
      </c>
      <c r="B52" s="119">
        <v>5171</v>
      </c>
      <c r="C52" s="120" t="s">
        <v>893</v>
      </c>
      <c r="D52" s="473">
        <v>20000</v>
      </c>
      <c r="E52" s="473">
        <v>20000</v>
      </c>
      <c r="F52" s="473">
        <f>[4]MDDM!$B$13</f>
        <v>20000</v>
      </c>
      <c r="G52" s="466">
        <f t="shared" si="0"/>
        <v>0</v>
      </c>
      <c r="K52" s="1692"/>
    </row>
    <row r="53" spans="1:11" ht="20.25" customHeight="1" thickBot="1" x14ac:dyDescent="0.25">
      <c r="A53" s="228"/>
      <c r="B53" s="185"/>
      <c r="C53" s="183" t="s">
        <v>318</v>
      </c>
      <c r="D53" s="184">
        <v>220000</v>
      </c>
      <c r="E53" s="184">
        <v>220000</v>
      </c>
      <c r="F53" s="184">
        <f>SUM(F51:F52)</f>
        <v>220000</v>
      </c>
      <c r="G53" s="468">
        <f t="shared" si="0"/>
        <v>0</v>
      </c>
      <c r="H53" s="1740">
        <f>'Sumář  výdaje kapitol'!AW35</f>
        <v>220000</v>
      </c>
      <c r="I53" s="1740">
        <f>+H53-F53</f>
        <v>0</v>
      </c>
      <c r="J53" s="1693"/>
      <c r="K53" s="1692"/>
    </row>
    <row r="54" spans="1:11" ht="20.25" customHeight="1" outlineLevel="1" x14ac:dyDescent="0.2">
      <c r="A54" s="225" t="s">
        <v>297</v>
      </c>
      <c r="B54" s="46">
        <v>5171</v>
      </c>
      <c r="C54" s="47" t="s">
        <v>1030</v>
      </c>
      <c r="D54" s="472">
        <v>200000</v>
      </c>
      <c r="E54" s="472">
        <v>200000</v>
      </c>
      <c r="F54" s="472">
        <f>'[4]MŠ Kollárova'!$B$19</f>
        <v>200000</v>
      </c>
      <c r="G54" s="854">
        <f t="shared" si="0"/>
        <v>0</v>
      </c>
      <c r="K54" s="1692"/>
    </row>
    <row r="55" spans="1:11" ht="20.25" customHeight="1" outlineLevel="1" x14ac:dyDescent="0.2">
      <c r="A55" s="227" t="s">
        <v>297</v>
      </c>
      <c r="B55" s="48">
        <v>5171</v>
      </c>
      <c r="C55" s="49" t="s">
        <v>1031</v>
      </c>
      <c r="D55" s="478">
        <v>50000</v>
      </c>
      <c r="E55" s="478">
        <v>50000</v>
      </c>
      <c r="F55" s="478">
        <f>'[4]MŠ Kollárova'!$B$20</f>
        <v>50000</v>
      </c>
      <c r="G55" s="467">
        <f t="shared" si="0"/>
        <v>0</v>
      </c>
      <c r="K55" s="1692"/>
    </row>
    <row r="56" spans="1:11" ht="20.25" customHeight="1" outlineLevel="1" x14ac:dyDescent="0.2">
      <c r="A56" s="227" t="s">
        <v>297</v>
      </c>
      <c r="B56" s="48">
        <v>5171</v>
      </c>
      <c r="C56" s="49" t="s">
        <v>1032</v>
      </c>
      <c r="D56" s="478">
        <v>0</v>
      </c>
      <c r="E56" s="478">
        <v>0</v>
      </c>
      <c r="F56" s="478">
        <f>'[4]MŠ Kollárova'!$B$21</f>
        <v>0</v>
      </c>
      <c r="G56" s="467">
        <f t="shared" si="0"/>
        <v>0</v>
      </c>
      <c r="K56" s="1692"/>
    </row>
    <row r="57" spans="1:11" ht="20.25" customHeight="1" outlineLevel="1" x14ac:dyDescent="0.2">
      <c r="A57" s="227" t="s">
        <v>297</v>
      </c>
      <c r="B57" s="48">
        <v>5171</v>
      </c>
      <c r="C57" s="186" t="s">
        <v>1033</v>
      </c>
      <c r="D57" s="471">
        <v>100000</v>
      </c>
      <c r="E57" s="471">
        <v>100000</v>
      </c>
      <c r="F57" s="471">
        <f>'[4]MŠ Kollárova'!$B$22</f>
        <v>100000</v>
      </c>
      <c r="G57" s="466">
        <f t="shared" si="0"/>
        <v>0</v>
      </c>
      <c r="K57" s="1692"/>
    </row>
    <row r="58" spans="1:11" ht="20.25" customHeight="1" outlineLevel="1" x14ac:dyDescent="0.2">
      <c r="A58" s="230" t="s">
        <v>297</v>
      </c>
      <c r="B58" s="119">
        <v>5171</v>
      </c>
      <c r="C58" s="120" t="s">
        <v>306</v>
      </c>
      <c r="D58" s="473">
        <v>20000</v>
      </c>
      <c r="E58" s="473">
        <v>20000</v>
      </c>
      <c r="F58" s="473">
        <f>'[4]MŠ Kollárova'!$B$23</f>
        <v>20000</v>
      </c>
      <c r="G58" s="467">
        <f t="shared" si="0"/>
        <v>0</v>
      </c>
      <c r="K58" s="1692"/>
    </row>
    <row r="59" spans="1:11" ht="20.25" customHeight="1" x14ac:dyDescent="0.2">
      <c r="A59" s="230" t="s">
        <v>297</v>
      </c>
      <c r="B59" s="119">
        <v>5171</v>
      </c>
      <c r="C59" s="120"/>
      <c r="D59" s="121"/>
      <c r="E59" s="121"/>
      <c r="F59" s="121"/>
      <c r="G59" s="467">
        <f t="shared" si="0"/>
        <v>0</v>
      </c>
      <c r="K59" s="1692"/>
    </row>
    <row r="60" spans="1:11" ht="20.25" customHeight="1" thickBot="1" x14ac:dyDescent="0.25">
      <c r="A60" s="228"/>
      <c r="B60" s="185"/>
      <c r="C60" s="183" t="s">
        <v>319</v>
      </c>
      <c r="D60" s="184">
        <v>370000</v>
      </c>
      <c r="E60" s="184">
        <v>370000</v>
      </c>
      <c r="F60" s="184">
        <f>SUM(F54:F59)</f>
        <v>370000</v>
      </c>
      <c r="G60" s="468">
        <f t="shared" si="0"/>
        <v>0</v>
      </c>
      <c r="H60" s="1740">
        <f>'Sumář  výdaje kapitol'!BC35</f>
        <v>370000</v>
      </c>
      <c r="I60" s="1740">
        <f>+H60-F60</f>
        <v>0</v>
      </c>
      <c r="J60" s="1693"/>
      <c r="K60" s="1692"/>
    </row>
    <row r="61" spans="1:11" ht="20.25" customHeight="1" outlineLevel="1" x14ac:dyDescent="0.2">
      <c r="A61" s="229" t="s">
        <v>298</v>
      </c>
      <c r="B61" s="317">
        <v>5171</v>
      </c>
      <c r="C61" s="186" t="s">
        <v>1451</v>
      </c>
      <c r="D61" s="471">
        <v>20000</v>
      </c>
      <c r="E61" s="471">
        <v>20000</v>
      </c>
      <c r="F61" s="471">
        <f>'[4]MŠ Pražská'!$B$12</f>
        <v>20000</v>
      </c>
      <c r="G61" s="466">
        <f t="shared" si="0"/>
        <v>0</v>
      </c>
      <c r="K61" s="1692"/>
    </row>
    <row r="62" spans="1:11" ht="20.25" customHeight="1" outlineLevel="1" x14ac:dyDescent="0.2">
      <c r="A62" s="230" t="s">
        <v>298</v>
      </c>
      <c r="B62" s="119">
        <v>5171</v>
      </c>
      <c r="C62" s="120"/>
      <c r="D62" s="473">
        <v>50000</v>
      </c>
      <c r="E62" s="473">
        <v>50000</v>
      </c>
      <c r="F62" s="473">
        <f>'[4]MŠ Pražská'!$B$13</f>
        <v>50000</v>
      </c>
      <c r="G62" s="467">
        <f t="shared" si="0"/>
        <v>0</v>
      </c>
      <c r="K62" s="1692"/>
    </row>
    <row r="63" spans="1:11" ht="20.25" customHeight="1" thickBot="1" x14ac:dyDescent="0.25">
      <c r="A63" s="228"/>
      <c r="B63" s="185"/>
      <c r="C63" s="183" t="s">
        <v>320</v>
      </c>
      <c r="D63" s="184">
        <v>70000</v>
      </c>
      <c r="E63" s="184">
        <v>70000</v>
      </c>
      <c r="F63" s="184">
        <f>SUM(F61:F62)</f>
        <v>70000</v>
      </c>
      <c r="G63" s="468">
        <f t="shared" si="0"/>
        <v>0</v>
      </c>
      <c r="H63" s="1740">
        <f>'Sumář  výdaje kapitol'!AZ35</f>
        <v>70000</v>
      </c>
      <c r="I63" s="1740">
        <f>+H63-F63</f>
        <v>0</v>
      </c>
      <c r="J63" s="1693"/>
      <c r="K63" s="1692"/>
    </row>
    <row r="64" spans="1:11" ht="20.25" customHeight="1" outlineLevel="1" x14ac:dyDescent="0.2">
      <c r="A64" s="225" t="s">
        <v>338</v>
      </c>
      <c r="B64" s="46">
        <v>5171</v>
      </c>
      <c r="C64" s="47" t="s">
        <v>894</v>
      </c>
      <c r="D64" s="472">
        <v>80000</v>
      </c>
      <c r="E64" s="472">
        <v>80000</v>
      </c>
      <c r="F64" s="472">
        <f>'[4]MŠ Cukrovar'!$B$13</f>
        <v>80000</v>
      </c>
      <c r="G64" s="854">
        <f t="shared" si="0"/>
        <v>0</v>
      </c>
      <c r="K64" s="1692"/>
    </row>
    <row r="65" spans="1:11" ht="20.25" customHeight="1" outlineLevel="1" x14ac:dyDescent="0.2">
      <c r="A65" s="229" t="s">
        <v>338</v>
      </c>
      <c r="B65" s="317">
        <v>5171</v>
      </c>
      <c r="C65" s="186" t="s">
        <v>1034</v>
      </c>
      <c r="D65" s="471">
        <v>20000</v>
      </c>
      <c r="E65" s="471">
        <v>20000</v>
      </c>
      <c r="F65" s="471">
        <f>'[4]MŠ Cukrovar'!$B$14</f>
        <v>20000</v>
      </c>
      <c r="G65" s="467">
        <f t="shared" si="0"/>
        <v>0</v>
      </c>
      <c r="K65" s="1692"/>
    </row>
    <row r="66" spans="1:11" ht="20.25" customHeight="1" outlineLevel="1" x14ac:dyDescent="0.2">
      <c r="A66" s="230" t="s">
        <v>338</v>
      </c>
      <c r="B66" s="119">
        <v>5171</v>
      </c>
      <c r="C66" s="120" t="s">
        <v>1035</v>
      </c>
      <c r="D66" s="121">
        <v>20000</v>
      </c>
      <c r="E66" s="121">
        <v>20000</v>
      </c>
      <c r="F66" s="121">
        <f>'[4]MŠ Cukrovar'!$B$15</f>
        <v>20000</v>
      </c>
      <c r="G66" s="466">
        <f t="shared" si="0"/>
        <v>0</v>
      </c>
      <c r="K66" s="1692"/>
    </row>
    <row r="67" spans="1:11" ht="20.25" customHeight="1" outlineLevel="1" x14ac:dyDescent="0.2">
      <c r="A67" s="230" t="s">
        <v>1304</v>
      </c>
      <c r="B67" s="119">
        <v>5172</v>
      </c>
      <c r="C67" s="120"/>
      <c r="D67" s="121"/>
      <c r="E67" s="121"/>
      <c r="F67" s="121"/>
      <c r="G67" s="466">
        <f t="shared" si="0"/>
        <v>0</v>
      </c>
      <c r="K67" s="1692"/>
    </row>
    <row r="68" spans="1:11" ht="20.25" customHeight="1" thickBot="1" x14ac:dyDescent="0.25">
      <c r="A68" s="228"/>
      <c r="B68" s="185"/>
      <c r="C68" s="183" t="s">
        <v>410</v>
      </c>
      <c r="D68" s="184">
        <v>120000</v>
      </c>
      <c r="E68" s="184">
        <v>120000</v>
      </c>
      <c r="F68" s="184">
        <f>SUM(F64:F67)</f>
        <v>120000</v>
      </c>
      <c r="G68" s="468">
        <f t="shared" si="0"/>
        <v>0</v>
      </c>
      <c r="H68" s="1740">
        <f>'Sumář  výdaje kapitol'!BJ35</f>
        <v>120000</v>
      </c>
      <c r="I68" s="1740">
        <f>+H68-F68</f>
        <v>0</v>
      </c>
      <c r="J68" s="1693"/>
      <c r="K68" s="1692"/>
    </row>
    <row r="69" spans="1:11" ht="20.25" customHeight="1" outlineLevel="1" x14ac:dyDescent="0.2">
      <c r="A69" s="229" t="s">
        <v>299</v>
      </c>
      <c r="B69" s="317">
        <v>5171</v>
      </c>
      <c r="C69" s="186" t="s">
        <v>1452</v>
      </c>
      <c r="D69" s="471">
        <v>100000</v>
      </c>
      <c r="E69" s="471">
        <v>100000</v>
      </c>
      <c r="F69" s="471">
        <f>'[4]Jídelna ZŠ'!$B$6</f>
        <v>100000</v>
      </c>
      <c r="G69" s="475">
        <f t="shared" si="0"/>
        <v>0</v>
      </c>
      <c r="K69" s="1692"/>
    </row>
    <row r="70" spans="1:11" ht="20.25" customHeight="1" outlineLevel="1" x14ac:dyDescent="0.2">
      <c r="A70" s="230" t="s">
        <v>299</v>
      </c>
      <c r="B70" s="119">
        <v>5171</v>
      </c>
      <c r="C70" s="120" t="s">
        <v>300</v>
      </c>
      <c r="D70" s="473">
        <v>20000</v>
      </c>
      <c r="E70" s="473">
        <v>20000</v>
      </c>
      <c r="F70" s="473">
        <f>'[4]Jídelna ZŠ'!$B$7</f>
        <v>20000</v>
      </c>
      <c r="G70" s="476">
        <f t="shared" si="0"/>
        <v>0</v>
      </c>
      <c r="K70" s="1692"/>
    </row>
    <row r="71" spans="1:11" ht="20.25" customHeight="1" thickBot="1" x14ac:dyDescent="0.25">
      <c r="A71" s="228"/>
      <c r="B71" s="185"/>
      <c r="C71" s="183" t="s">
        <v>321</v>
      </c>
      <c r="D71" s="184">
        <v>120000</v>
      </c>
      <c r="E71" s="184">
        <v>120000</v>
      </c>
      <c r="F71" s="184">
        <f>SUM(F69:F70)</f>
        <v>120000</v>
      </c>
      <c r="G71" s="468">
        <f t="shared" si="0"/>
        <v>0</v>
      </c>
      <c r="H71" s="1740">
        <f>'Sumář  výdaje kapitol'!BF35</f>
        <v>120000</v>
      </c>
      <c r="I71" s="1740">
        <f>+H71-F71</f>
        <v>0</v>
      </c>
      <c r="J71" s="1693"/>
      <c r="K71" s="1692"/>
    </row>
    <row r="72" spans="1:11" ht="20.25" customHeight="1" outlineLevel="1" x14ac:dyDescent="0.2">
      <c r="A72" s="229" t="s">
        <v>301</v>
      </c>
      <c r="B72" s="317">
        <v>5171</v>
      </c>
      <c r="C72" s="186" t="s">
        <v>302</v>
      </c>
      <c r="D72" s="471">
        <v>20000</v>
      </c>
      <c r="E72" s="471">
        <v>20000</v>
      </c>
      <c r="F72" s="471">
        <f>'[4]Jídelna MŠ'!$B$12</f>
        <v>20000</v>
      </c>
      <c r="G72" s="475">
        <f t="shared" ref="G72:G116" si="1">+F72-E72</f>
        <v>0</v>
      </c>
      <c r="K72" s="1692"/>
    </row>
    <row r="73" spans="1:11" ht="20.25" customHeight="1" outlineLevel="1" x14ac:dyDescent="0.2">
      <c r="A73" s="230" t="s">
        <v>301</v>
      </c>
      <c r="B73" s="119">
        <v>5171</v>
      </c>
      <c r="C73" s="120"/>
      <c r="D73" s="121">
        <v>0</v>
      </c>
      <c r="E73" s="121">
        <v>0</v>
      </c>
      <c r="F73" s="121">
        <f>'[4]Jídelna MŠ'!$B$13</f>
        <v>0</v>
      </c>
      <c r="G73" s="467">
        <f t="shared" si="1"/>
        <v>0</v>
      </c>
      <c r="K73" s="1692"/>
    </row>
    <row r="74" spans="1:11" ht="20.25" customHeight="1" thickBot="1" x14ac:dyDescent="0.25">
      <c r="A74" s="228"/>
      <c r="B74" s="185"/>
      <c r="C74" s="183" t="s">
        <v>322</v>
      </c>
      <c r="D74" s="184">
        <v>20000</v>
      </c>
      <c r="E74" s="184">
        <v>20000</v>
      </c>
      <c r="F74" s="184">
        <f>SUM(F72:F73)</f>
        <v>20000</v>
      </c>
      <c r="G74" s="468">
        <f t="shared" si="1"/>
        <v>0</v>
      </c>
      <c r="H74" s="1740">
        <f>'Sumář  výdaje kapitol'!BI35</f>
        <v>20000</v>
      </c>
      <c r="I74" s="1740">
        <f>+H74-F74</f>
        <v>0</v>
      </c>
      <c r="J74" s="1693"/>
      <c r="K74" s="1692"/>
    </row>
    <row r="75" spans="1:11" ht="20.25" customHeight="1" outlineLevel="1" x14ac:dyDescent="0.2">
      <c r="A75" s="225">
        <v>3631</v>
      </c>
      <c r="B75" s="46">
        <v>5171</v>
      </c>
      <c r="C75" s="47" t="s">
        <v>417</v>
      </c>
      <c r="D75" s="472">
        <v>250000</v>
      </c>
      <c r="E75" s="472">
        <v>250000</v>
      </c>
      <c r="F75" s="472">
        <f>[4]VO!$B$14</f>
        <v>250000</v>
      </c>
      <c r="G75" s="474">
        <f t="shared" si="1"/>
        <v>0</v>
      </c>
      <c r="H75" s="1740"/>
      <c r="I75" s="1740"/>
      <c r="J75" s="1693" t="s">
        <v>391</v>
      </c>
      <c r="K75" s="1692"/>
    </row>
    <row r="76" spans="1:11" ht="20.25" customHeight="1" outlineLevel="1" x14ac:dyDescent="0.2">
      <c r="A76" s="227">
        <v>3631</v>
      </c>
      <c r="B76" s="48">
        <v>5171</v>
      </c>
      <c r="C76" s="49" t="s">
        <v>895</v>
      </c>
      <c r="D76" s="478">
        <v>100000</v>
      </c>
      <c r="E76" s="478">
        <v>100000</v>
      </c>
      <c r="F76" s="478">
        <f>[4]VO!$B$15</f>
        <v>100000</v>
      </c>
      <c r="G76" s="476">
        <f t="shared" si="1"/>
        <v>0</v>
      </c>
      <c r="H76" s="1740"/>
      <c r="I76" s="1740"/>
      <c r="J76" s="1693"/>
      <c r="K76" s="1692"/>
    </row>
    <row r="77" spans="1:11" ht="20.25" customHeight="1" outlineLevel="1" x14ac:dyDescent="0.2">
      <c r="A77" s="227"/>
      <c r="B77" s="317"/>
      <c r="C77" s="186" t="s">
        <v>1036</v>
      </c>
      <c r="D77" s="471">
        <v>50000</v>
      </c>
      <c r="E77" s="471">
        <v>50000</v>
      </c>
      <c r="F77" s="471">
        <f>[4]VO!$B$16</f>
        <v>50000</v>
      </c>
      <c r="G77" s="475">
        <f t="shared" si="1"/>
        <v>0</v>
      </c>
      <c r="H77" s="1740"/>
      <c r="I77" s="1740"/>
      <c r="J77" s="1693"/>
      <c r="K77" s="1692"/>
    </row>
    <row r="78" spans="1:11" ht="20.25" customHeight="1" outlineLevel="1" x14ac:dyDescent="0.2">
      <c r="A78" s="229">
        <v>3631</v>
      </c>
      <c r="B78" s="119">
        <v>5171</v>
      </c>
      <c r="C78" s="120" t="s">
        <v>1037</v>
      </c>
      <c r="D78" s="473">
        <v>100000</v>
      </c>
      <c r="E78" s="473">
        <v>100000</v>
      </c>
      <c r="F78" s="473">
        <f>[4]VO!$B$17</f>
        <v>100000</v>
      </c>
      <c r="G78" s="476">
        <f t="shared" si="1"/>
        <v>0</v>
      </c>
      <c r="H78" s="1740"/>
      <c r="I78" s="1740"/>
      <c r="J78" s="1693" t="s">
        <v>391</v>
      </c>
      <c r="K78" s="1692"/>
    </row>
    <row r="79" spans="1:11" ht="20.25" customHeight="1" thickBot="1" x14ac:dyDescent="0.25">
      <c r="A79" s="228"/>
      <c r="B79" s="185"/>
      <c r="C79" s="183" t="s">
        <v>232</v>
      </c>
      <c r="D79" s="184">
        <v>500000</v>
      </c>
      <c r="E79" s="184">
        <v>500000</v>
      </c>
      <c r="F79" s="184">
        <f>SUM(F75:F78)</f>
        <v>500000</v>
      </c>
      <c r="G79" s="468">
        <f t="shared" si="1"/>
        <v>0</v>
      </c>
      <c r="H79" s="1740">
        <f>'Sumář  výdaje kapitol'!BN35</f>
        <v>500000</v>
      </c>
      <c r="I79" s="1740">
        <f>+H79-F79</f>
        <v>0</v>
      </c>
      <c r="J79" s="1693"/>
      <c r="K79" s="1692"/>
    </row>
    <row r="80" spans="1:11" ht="20.25" customHeight="1" outlineLevel="1" x14ac:dyDescent="0.2">
      <c r="A80" s="225">
        <v>2212</v>
      </c>
      <c r="B80" s="46">
        <v>5171</v>
      </c>
      <c r="C80" s="47" t="s">
        <v>896</v>
      </c>
      <c r="D80" s="472">
        <v>50000</v>
      </c>
      <c r="E80" s="472">
        <v>50000</v>
      </c>
      <c r="F80" s="472">
        <f>[4]Silnice!$B$5</f>
        <v>50000</v>
      </c>
      <c r="G80" s="474">
        <f t="shared" si="1"/>
        <v>0</v>
      </c>
      <c r="J80" s="1682" t="s">
        <v>391</v>
      </c>
      <c r="K80" s="1692"/>
    </row>
    <row r="81" spans="1:11" ht="20.25" customHeight="1" outlineLevel="1" x14ac:dyDescent="0.2">
      <c r="A81" s="229">
        <v>2212</v>
      </c>
      <c r="B81" s="317">
        <v>5171</v>
      </c>
      <c r="C81" s="186" t="s">
        <v>456</v>
      </c>
      <c r="D81" s="471">
        <v>500000</v>
      </c>
      <c r="E81" s="471">
        <v>500000</v>
      </c>
      <c r="F81" s="471">
        <f>[4]Silnice!$B$6</f>
        <v>352672</v>
      </c>
      <c r="G81" s="475">
        <f t="shared" si="1"/>
        <v>-147328</v>
      </c>
      <c r="K81" s="1692"/>
    </row>
    <row r="82" spans="1:11" ht="20.25" customHeight="1" outlineLevel="1" x14ac:dyDescent="0.2">
      <c r="A82" s="230">
        <v>2212</v>
      </c>
      <c r="B82" s="119">
        <v>5171</v>
      </c>
      <c r="C82" s="120" t="s">
        <v>897</v>
      </c>
      <c r="D82" s="473">
        <v>500000</v>
      </c>
      <c r="E82" s="473">
        <v>500000</v>
      </c>
      <c r="F82" s="473">
        <f>[4]Silnice!$B$7</f>
        <v>500000</v>
      </c>
      <c r="G82" s="476">
        <f t="shared" si="1"/>
        <v>0</v>
      </c>
      <c r="K82" s="1692"/>
    </row>
    <row r="83" spans="1:11" ht="27.75" customHeight="1" outlineLevel="1" x14ac:dyDescent="0.2">
      <c r="A83" s="230">
        <v>2212</v>
      </c>
      <c r="B83" s="119">
        <v>5171</v>
      </c>
      <c r="C83" s="120" t="s">
        <v>1453</v>
      </c>
      <c r="D83" s="473">
        <v>100000</v>
      </c>
      <c r="E83" s="473">
        <v>100000</v>
      </c>
      <c r="F83" s="473">
        <f>[4]Silnice!$B$8</f>
        <v>100000</v>
      </c>
      <c r="G83" s="476">
        <f t="shared" si="1"/>
        <v>0</v>
      </c>
      <c r="J83" s="1682" t="s">
        <v>391</v>
      </c>
      <c r="K83" s="1692"/>
    </row>
    <row r="84" spans="1:11" ht="27.75" customHeight="1" outlineLevel="1" x14ac:dyDescent="0.2">
      <c r="A84" s="230">
        <v>2212</v>
      </c>
      <c r="B84" s="119">
        <v>5171</v>
      </c>
      <c r="C84" s="120"/>
      <c r="D84" s="473">
        <v>0</v>
      </c>
      <c r="E84" s="473">
        <v>0</v>
      </c>
      <c r="F84" s="473">
        <f>[4]Silnice!$B$9</f>
        <v>0</v>
      </c>
      <c r="G84" s="476">
        <f t="shared" si="1"/>
        <v>0</v>
      </c>
      <c r="K84" s="1692"/>
    </row>
    <row r="85" spans="1:11" outlineLevel="1" x14ac:dyDescent="0.2">
      <c r="A85" s="1202">
        <v>2212</v>
      </c>
      <c r="B85" s="1203">
        <v>5171</v>
      </c>
      <c r="C85" s="1204" t="s">
        <v>1454</v>
      </c>
      <c r="D85" s="1205">
        <v>800000</v>
      </c>
      <c r="E85" s="1205">
        <v>800000</v>
      </c>
      <c r="F85" s="1205">
        <f>[4]Silnice!$B$10</f>
        <v>947328</v>
      </c>
      <c r="G85" s="1206">
        <f t="shared" si="1"/>
        <v>147328</v>
      </c>
      <c r="K85" s="1692"/>
    </row>
    <row r="86" spans="1:11" ht="25.5" customHeight="1" outlineLevel="1" x14ac:dyDescent="0.2">
      <c r="A86" s="1202">
        <v>2212</v>
      </c>
      <c r="B86" s="1203">
        <v>5171</v>
      </c>
      <c r="C86" s="1204" t="s">
        <v>898</v>
      </c>
      <c r="D86" s="1205">
        <v>0</v>
      </c>
      <c r="E86" s="1205">
        <v>0</v>
      </c>
      <c r="F86" s="1205">
        <f>[4]Silnice!$B$11</f>
        <v>0</v>
      </c>
      <c r="G86" s="1206">
        <f t="shared" si="1"/>
        <v>0</v>
      </c>
      <c r="K86" s="1692"/>
    </row>
    <row r="87" spans="1:11" ht="20.25" customHeight="1" outlineLevel="1" x14ac:dyDescent="0.2">
      <c r="A87" s="230">
        <v>2212</v>
      </c>
      <c r="B87" s="119">
        <v>5171</v>
      </c>
      <c r="C87" s="120" t="s">
        <v>1455</v>
      </c>
      <c r="D87" s="473">
        <v>0</v>
      </c>
      <c r="E87" s="473">
        <v>0</v>
      </c>
      <c r="F87" s="473">
        <f>[4]Silnice!$B$12</f>
        <v>0</v>
      </c>
      <c r="G87" s="476">
        <f t="shared" si="1"/>
        <v>0</v>
      </c>
      <c r="K87" s="1692"/>
    </row>
    <row r="88" spans="1:11" ht="20.25" customHeight="1" outlineLevel="1" x14ac:dyDescent="0.2">
      <c r="A88" s="230">
        <v>2212</v>
      </c>
      <c r="B88" s="119">
        <v>5171</v>
      </c>
      <c r="C88" s="120"/>
      <c r="D88" s="473">
        <v>0</v>
      </c>
      <c r="E88" s="473">
        <v>0</v>
      </c>
      <c r="F88" s="473">
        <f>[4]Silnice!$B$13</f>
        <v>0</v>
      </c>
      <c r="G88" s="476">
        <f t="shared" si="1"/>
        <v>0</v>
      </c>
      <c r="K88" s="1692"/>
    </row>
    <row r="89" spans="1:11" ht="20.25" customHeight="1" outlineLevel="1" x14ac:dyDescent="0.2">
      <c r="A89" s="230">
        <v>2212</v>
      </c>
      <c r="B89" s="119">
        <v>5171</v>
      </c>
      <c r="C89" s="120" t="s">
        <v>1456</v>
      </c>
      <c r="D89" s="473">
        <v>300000</v>
      </c>
      <c r="E89" s="473">
        <v>300000</v>
      </c>
      <c r="F89" s="473">
        <f>[4]Silnice!$B$14</f>
        <v>300000</v>
      </c>
      <c r="G89" s="476">
        <f t="shared" si="1"/>
        <v>0</v>
      </c>
      <c r="J89" s="1682" t="s">
        <v>391</v>
      </c>
      <c r="K89" s="1692"/>
    </row>
    <row r="90" spans="1:11" ht="20.25" customHeight="1" thickBot="1" x14ac:dyDescent="0.25">
      <c r="A90" s="228"/>
      <c r="B90" s="185"/>
      <c r="C90" s="183" t="s">
        <v>420</v>
      </c>
      <c r="D90" s="184">
        <v>2250000</v>
      </c>
      <c r="E90" s="184">
        <v>2250000</v>
      </c>
      <c r="F90" s="184">
        <f>SUM(F80:F89)</f>
        <v>2250000</v>
      </c>
      <c r="G90" s="468">
        <f t="shared" si="1"/>
        <v>0</v>
      </c>
      <c r="H90" s="1740">
        <f>'Sumář  výdaje kapitol'!BQ35</f>
        <v>2250000</v>
      </c>
      <c r="I90" s="1740">
        <f>+H90-F90</f>
        <v>0</v>
      </c>
      <c r="J90" s="1693"/>
      <c r="K90" s="1692"/>
    </row>
    <row r="91" spans="1:11" ht="19.5" customHeight="1" outlineLevel="1" x14ac:dyDescent="0.2">
      <c r="A91" s="225">
        <v>2310</v>
      </c>
      <c r="B91" s="46">
        <v>5171</v>
      </c>
      <c r="C91" s="47" t="s">
        <v>303</v>
      </c>
      <c r="D91" s="472">
        <v>500000</v>
      </c>
      <c r="E91" s="472">
        <v>120000</v>
      </c>
      <c r="F91" s="472">
        <f>[4]Vodovod!$B$27</f>
        <v>120000</v>
      </c>
      <c r="G91" s="474">
        <f t="shared" si="1"/>
        <v>0</v>
      </c>
      <c r="J91" s="1682" t="s">
        <v>391</v>
      </c>
      <c r="K91" s="1692"/>
    </row>
    <row r="92" spans="1:11" ht="15" customHeight="1" outlineLevel="1" x14ac:dyDescent="0.2">
      <c r="A92" s="230">
        <v>2310</v>
      </c>
      <c r="B92" s="119">
        <v>5171</v>
      </c>
      <c r="C92" s="120" t="s">
        <v>520</v>
      </c>
      <c r="D92" s="473">
        <v>100000</v>
      </c>
      <c r="E92" s="473">
        <v>100000</v>
      </c>
      <c r="F92" s="473">
        <f>[4]Vodovod!$B$28</f>
        <v>100000</v>
      </c>
      <c r="G92" s="476">
        <f t="shared" si="1"/>
        <v>0</v>
      </c>
      <c r="K92" s="1692"/>
    </row>
    <row r="93" spans="1:11" ht="20.25" customHeight="1" thickBot="1" x14ac:dyDescent="0.25">
      <c r="A93" s="228"/>
      <c r="B93" s="185"/>
      <c r="C93" s="183" t="s">
        <v>323</v>
      </c>
      <c r="D93" s="184">
        <v>600000</v>
      </c>
      <c r="E93" s="184">
        <v>220000</v>
      </c>
      <c r="F93" s="184">
        <f>SUM(F91:F92)</f>
        <v>220000</v>
      </c>
      <c r="G93" s="468">
        <f t="shared" si="1"/>
        <v>0</v>
      </c>
      <c r="H93" s="1740">
        <f>'Sumář  výdaje kapitol'!BU35</f>
        <v>220000</v>
      </c>
      <c r="I93" s="1740">
        <f>+H93-F93</f>
        <v>0</v>
      </c>
      <c r="J93" s="1693"/>
      <c r="K93" s="1692"/>
    </row>
    <row r="94" spans="1:11" ht="20.25" customHeight="1" outlineLevel="1" x14ac:dyDescent="0.2">
      <c r="A94" s="229">
        <v>3633</v>
      </c>
      <c r="B94" s="317">
        <v>5171</v>
      </c>
      <c r="C94" s="186" t="s">
        <v>899</v>
      </c>
      <c r="D94" s="472">
        <v>250000</v>
      </c>
      <c r="E94" s="472">
        <v>250000</v>
      </c>
      <c r="F94" s="472">
        <f>'[4]Inženýrské sítě'!$B$19</f>
        <v>250000</v>
      </c>
      <c r="G94" s="466">
        <f t="shared" si="1"/>
        <v>0</v>
      </c>
      <c r="K94" s="1692"/>
    </row>
    <row r="95" spans="1:11" ht="20.25" customHeight="1" outlineLevel="1" x14ac:dyDescent="0.2">
      <c r="A95" s="230">
        <v>3633</v>
      </c>
      <c r="B95" s="119">
        <v>5171</v>
      </c>
      <c r="C95" s="120" t="s">
        <v>1459</v>
      </c>
      <c r="D95" s="478">
        <v>1050000</v>
      </c>
      <c r="E95" s="478">
        <v>1050000</v>
      </c>
      <c r="F95" s="478">
        <f>'[4]Inženýrské sítě'!$B$20</f>
        <v>1050000</v>
      </c>
      <c r="G95" s="466">
        <f t="shared" si="1"/>
        <v>0</v>
      </c>
      <c r="J95" s="1682" t="s">
        <v>1459</v>
      </c>
      <c r="K95" s="1692"/>
    </row>
    <row r="96" spans="1:11" ht="20.25" customHeight="1" outlineLevel="1" x14ac:dyDescent="0.2">
      <c r="A96" s="230">
        <v>3633</v>
      </c>
      <c r="B96" s="119">
        <v>5171</v>
      </c>
      <c r="C96" s="120"/>
      <c r="D96" s="471"/>
      <c r="E96" s="471"/>
      <c r="F96" s="471"/>
      <c r="G96" s="466">
        <f t="shared" si="1"/>
        <v>0</v>
      </c>
      <c r="K96" s="1692"/>
    </row>
    <row r="97" spans="1:11" ht="20.25" customHeight="1" thickBot="1" x14ac:dyDescent="0.25">
      <c r="A97" s="228"/>
      <c r="B97" s="185"/>
      <c r="C97" s="183" t="s">
        <v>412</v>
      </c>
      <c r="D97" s="184">
        <v>1300000</v>
      </c>
      <c r="E97" s="184">
        <v>1300000</v>
      </c>
      <c r="F97" s="184">
        <f>SUM(F94:F96)</f>
        <v>1300000</v>
      </c>
      <c r="G97" s="468">
        <f t="shared" si="1"/>
        <v>0</v>
      </c>
      <c r="H97" s="1740">
        <f>'Sumář  výdaje kapitol'!CA35</f>
        <v>1300000</v>
      </c>
      <c r="I97" s="1740">
        <f>+H97-F97</f>
        <v>0</v>
      </c>
      <c r="J97" s="1693"/>
      <c r="K97" s="1692"/>
    </row>
    <row r="98" spans="1:11" ht="20.25" customHeight="1" outlineLevel="1" x14ac:dyDescent="0.2">
      <c r="A98" s="229" t="s">
        <v>343</v>
      </c>
      <c r="B98" s="317">
        <v>5171</v>
      </c>
      <c r="C98" s="186" t="s">
        <v>643</v>
      </c>
      <c r="D98" s="471">
        <v>1500000</v>
      </c>
      <c r="E98" s="471">
        <v>0</v>
      </c>
      <c r="F98" s="471">
        <f>'[5]Kanalizace obnova'!$B$6</f>
        <v>0</v>
      </c>
      <c r="G98" s="475">
        <f t="shared" si="1"/>
        <v>0</v>
      </c>
      <c r="K98" s="1692"/>
    </row>
    <row r="99" spans="1:11" ht="20.25" customHeight="1" outlineLevel="1" x14ac:dyDescent="0.2">
      <c r="A99" s="230" t="s">
        <v>343</v>
      </c>
      <c r="B99" s="119">
        <v>5171</v>
      </c>
      <c r="C99" s="120" t="s">
        <v>643</v>
      </c>
      <c r="D99" s="473"/>
      <c r="E99" s="473"/>
      <c r="F99" s="473"/>
      <c r="G99" s="476">
        <f t="shared" si="1"/>
        <v>0</v>
      </c>
      <c r="K99" s="1692"/>
    </row>
    <row r="100" spans="1:11" ht="20.25" customHeight="1" outlineLevel="1" x14ac:dyDescent="0.2">
      <c r="A100" s="230" t="s">
        <v>343</v>
      </c>
      <c r="B100" s="119">
        <v>5171</v>
      </c>
      <c r="C100" s="49"/>
      <c r="D100" s="473"/>
      <c r="E100" s="473"/>
      <c r="F100" s="473"/>
      <c r="G100" s="467">
        <f t="shared" si="1"/>
        <v>0</v>
      </c>
      <c r="K100" s="1692"/>
    </row>
    <row r="101" spans="1:11" ht="20.25" customHeight="1" thickBot="1" x14ac:dyDescent="0.25">
      <c r="A101" s="228"/>
      <c r="B101" s="185"/>
      <c r="C101" s="183" t="s">
        <v>411</v>
      </c>
      <c r="D101" s="184">
        <v>1500000</v>
      </c>
      <c r="E101" s="184">
        <v>0</v>
      </c>
      <c r="F101" s="184">
        <f>SUM(F98:F100)</f>
        <v>0</v>
      </c>
      <c r="G101" s="468">
        <f t="shared" si="1"/>
        <v>0</v>
      </c>
      <c r="H101" s="1740">
        <f>'Sumář  výdaje kapitol'!BZ35</f>
        <v>0</v>
      </c>
      <c r="I101" s="1740">
        <f>+H101-F101</f>
        <v>0</v>
      </c>
      <c r="J101" s="1693"/>
      <c r="K101" s="1692"/>
    </row>
    <row r="102" spans="1:11" ht="20.25" customHeight="1" outlineLevel="1" x14ac:dyDescent="0.2">
      <c r="A102" s="227" t="s">
        <v>304</v>
      </c>
      <c r="B102" s="48">
        <v>5171</v>
      </c>
      <c r="C102" s="49" t="s">
        <v>1321</v>
      </c>
      <c r="D102" s="478">
        <v>500000</v>
      </c>
      <c r="E102" s="478">
        <v>500000</v>
      </c>
      <c r="F102" s="478">
        <f>[4]Kanalizace!$B$24</f>
        <v>460000</v>
      </c>
      <c r="G102" s="854">
        <f t="shared" si="1"/>
        <v>-40000</v>
      </c>
      <c r="K102" s="1692"/>
    </row>
    <row r="103" spans="1:11" ht="20.25" customHeight="1" outlineLevel="1" x14ac:dyDescent="0.2">
      <c r="A103" s="230" t="s">
        <v>304</v>
      </c>
      <c r="B103" s="119">
        <v>5171</v>
      </c>
      <c r="C103" s="49"/>
      <c r="D103" s="478">
        <v>0</v>
      </c>
      <c r="E103" s="478">
        <v>0</v>
      </c>
      <c r="F103" s="478">
        <f>[4]Kanalizace!$B$25</f>
        <v>0</v>
      </c>
      <c r="G103" s="476">
        <f t="shared" si="1"/>
        <v>0</v>
      </c>
      <c r="K103" s="1692"/>
    </row>
    <row r="104" spans="1:11" ht="20.25" customHeight="1" outlineLevel="1" x14ac:dyDescent="0.2">
      <c r="A104" s="230" t="s">
        <v>304</v>
      </c>
      <c r="B104" s="119">
        <v>5171</v>
      </c>
      <c r="C104" s="49" t="s">
        <v>1458</v>
      </c>
      <c r="D104" s="478">
        <v>200000</v>
      </c>
      <c r="E104" s="478">
        <v>200000</v>
      </c>
      <c r="F104" s="478">
        <f>[4]Kanalizace!$B$26</f>
        <v>200000</v>
      </c>
      <c r="G104" s="475">
        <f t="shared" si="1"/>
        <v>0</v>
      </c>
      <c r="K104" s="1692"/>
    </row>
    <row r="105" spans="1:11" ht="20.25" customHeight="1" outlineLevel="1" x14ac:dyDescent="0.2">
      <c r="A105" s="230" t="s">
        <v>304</v>
      </c>
      <c r="B105" s="119">
        <v>5171</v>
      </c>
      <c r="C105" s="49" t="s">
        <v>305</v>
      </c>
      <c r="D105" s="473">
        <v>200000</v>
      </c>
      <c r="E105" s="473">
        <v>200000</v>
      </c>
      <c r="F105" s="473">
        <f>[4]Kanalizace!$B$27</f>
        <v>200000</v>
      </c>
      <c r="G105" s="467">
        <f t="shared" si="1"/>
        <v>0</v>
      </c>
      <c r="K105" s="1692"/>
    </row>
    <row r="106" spans="1:11" ht="20.25" customHeight="1" thickBot="1" x14ac:dyDescent="0.25">
      <c r="A106" s="228"/>
      <c r="B106" s="185"/>
      <c r="C106" s="183" t="s">
        <v>1457</v>
      </c>
      <c r="D106" s="184">
        <v>900000</v>
      </c>
      <c r="E106" s="184">
        <v>900000</v>
      </c>
      <c r="F106" s="184">
        <f>SUM(F102:F105)</f>
        <v>860000</v>
      </c>
      <c r="G106" s="468">
        <f t="shared" si="1"/>
        <v>-40000</v>
      </c>
      <c r="H106" s="1740">
        <f>'Sumář  výdaje kapitol'!BY35</f>
        <v>860000</v>
      </c>
      <c r="I106" s="1740">
        <f>+H106-F106</f>
        <v>0</v>
      </c>
      <c r="J106" s="1693"/>
      <c r="K106" s="1692"/>
    </row>
    <row r="107" spans="1:11" ht="20.25" customHeight="1" outlineLevel="1" x14ac:dyDescent="0.2">
      <c r="A107" s="225">
        <v>3114</v>
      </c>
      <c r="B107" s="46">
        <v>5171</v>
      </c>
      <c r="C107" s="47" t="s">
        <v>306</v>
      </c>
      <c r="D107" s="472">
        <v>0</v>
      </c>
      <c r="E107" s="472">
        <v>0</v>
      </c>
      <c r="F107" s="472">
        <f>[3]č.p.65!$B$54</f>
        <v>0</v>
      </c>
      <c r="G107" s="474">
        <f t="shared" si="1"/>
        <v>0</v>
      </c>
      <c r="K107" s="1692"/>
    </row>
    <row r="108" spans="1:11" ht="20.25" customHeight="1" outlineLevel="1" x14ac:dyDescent="0.2">
      <c r="A108" s="227">
        <v>3114</v>
      </c>
      <c r="B108" s="48">
        <v>5171</v>
      </c>
      <c r="C108" s="49" t="s">
        <v>306</v>
      </c>
      <c r="D108" s="478">
        <v>0</v>
      </c>
      <c r="E108" s="478">
        <v>0</v>
      </c>
      <c r="F108" s="478">
        <f>[3]č.p.65!$B$55</f>
        <v>0</v>
      </c>
      <c r="G108" s="475">
        <f t="shared" si="1"/>
        <v>0</v>
      </c>
      <c r="K108" s="1692"/>
    </row>
    <row r="109" spans="1:11" ht="20.25" customHeight="1" outlineLevel="1" x14ac:dyDescent="0.2">
      <c r="A109" s="227">
        <v>3114</v>
      </c>
      <c r="B109" s="48">
        <v>5171</v>
      </c>
      <c r="C109" s="49" t="s">
        <v>306</v>
      </c>
      <c r="D109" s="478">
        <v>80000</v>
      </c>
      <c r="E109" s="478">
        <v>80000</v>
      </c>
      <c r="F109" s="478">
        <f>'[4]Č.p. 65'!$B$13</f>
        <v>80000</v>
      </c>
      <c r="G109" s="475">
        <f t="shared" si="1"/>
        <v>0</v>
      </c>
      <c r="K109" s="1692"/>
    </row>
    <row r="110" spans="1:11" ht="20.25" customHeight="1" outlineLevel="1" x14ac:dyDescent="0.2">
      <c r="A110" s="229">
        <v>3114</v>
      </c>
      <c r="B110" s="317">
        <v>5171</v>
      </c>
      <c r="C110" s="186" t="s">
        <v>1449</v>
      </c>
      <c r="D110" s="181">
        <v>20000</v>
      </c>
      <c r="E110" s="181">
        <v>20000</v>
      </c>
      <c r="F110" s="181">
        <f>'[4]Č.p. 65'!$B$14</f>
        <v>20000</v>
      </c>
      <c r="G110" s="466">
        <f t="shared" si="1"/>
        <v>0</v>
      </c>
      <c r="K110" s="1692"/>
    </row>
    <row r="111" spans="1:11" ht="20.25" customHeight="1" thickBot="1" x14ac:dyDescent="0.25">
      <c r="A111" s="228"/>
      <c r="B111" s="185"/>
      <c r="C111" s="183" t="s">
        <v>324</v>
      </c>
      <c r="D111" s="184">
        <v>100000</v>
      </c>
      <c r="E111" s="184">
        <v>100000</v>
      </c>
      <c r="F111" s="184">
        <f>SUM(F107:F110)</f>
        <v>100000</v>
      </c>
      <c r="G111" s="468">
        <f t="shared" si="1"/>
        <v>0</v>
      </c>
      <c r="H111" s="1740">
        <f>'Sumář  výdaje kapitol'!AT35</f>
        <v>100000</v>
      </c>
      <c r="I111" s="1740">
        <f>+H111-F111</f>
        <v>0</v>
      </c>
      <c r="J111" s="1693"/>
      <c r="K111" s="1692"/>
    </row>
    <row r="112" spans="1:11" ht="20.25" customHeight="1" outlineLevel="1" x14ac:dyDescent="0.2">
      <c r="A112" s="229" t="s">
        <v>309</v>
      </c>
      <c r="B112" s="317">
        <v>5171</v>
      </c>
      <c r="C112" s="186" t="s">
        <v>421</v>
      </c>
      <c r="D112" s="471">
        <v>2000000</v>
      </c>
      <c r="E112" s="471">
        <v>2000000</v>
      </c>
      <c r="F112" s="471">
        <f>'[5]Vodovod obnova'!$B$6</f>
        <v>2000000</v>
      </c>
      <c r="G112" s="475">
        <f t="shared" si="1"/>
        <v>0</v>
      </c>
      <c r="K112" s="1692"/>
    </row>
    <row r="113" spans="1:11" ht="20.25" customHeight="1" outlineLevel="1" x14ac:dyDescent="0.2">
      <c r="A113" s="227" t="s">
        <v>309</v>
      </c>
      <c r="B113" s="48">
        <v>5171</v>
      </c>
      <c r="C113" s="49" t="s">
        <v>460</v>
      </c>
      <c r="D113" s="478"/>
      <c r="E113" s="478">
        <v>1500000</v>
      </c>
      <c r="F113" s="478">
        <f>'[5]Vodovod obnova'!$D$7</f>
        <v>1500000</v>
      </c>
      <c r="G113" s="476">
        <f t="shared" si="1"/>
        <v>0</v>
      </c>
      <c r="K113" s="1692"/>
    </row>
    <row r="114" spans="1:11" ht="20.25" customHeight="1" outlineLevel="1" x14ac:dyDescent="0.2">
      <c r="A114" s="226" t="s">
        <v>309</v>
      </c>
      <c r="B114" s="280">
        <v>5171</v>
      </c>
      <c r="C114" s="179"/>
      <c r="D114" s="180"/>
      <c r="E114" s="180">
        <v>380000</v>
      </c>
      <c r="F114" s="180">
        <f>'[5]Vodovod obnova'!$B$8</f>
        <v>380000</v>
      </c>
      <c r="G114" s="466">
        <f t="shared" si="1"/>
        <v>0</v>
      </c>
      <c r="K114" s="1692"/>
    </row>
    <row r="115" spans="1:11" ht="20.25" customHeight="1" thickBot="1" x14ac:dyDescent="0.25">
      <c r="A115" s="230"/>
      <c r="B115" s="119"/>
      <c r="C115" s="187" t="s">
        <v>327</v>
      </c>
      <c r="D115" s="121">
        <v>2000000</v>
      </c>
      <c r="E115" s="121">
        <v>3880000</v>
      </c>
      <c r="F115" s="121">
        <f>SUM(F112:F114)</f>
        <v>3880000</v>
      </c>
      <c r="G115" s="467">
        <f t="shared" si="1"/>
        <v>0</v>
      </c>
      <c r="H115" s="1740">
        <f>'Sumář  výdaje kapitol'!BX35</f>
        <v>3880000</v>
      </c>
      <c r="I115" s="1740">
        <f>+H115-F115</f>
        <v>0</v>
      </c>
      <c r="J115" s="1693"/>
      <c r="K115" s="1692"/>
    </row>
    <row r="116" spans="1:11" s="1689" customFormat="1" ht="16.5" thickBot="1" x14ac:dyDescent="0.3">
      <c r="A116" s="1952" t="s">
        <v>328</v>
      </c>
      <c r="B116" s="1953"/>
      <c r="C116" s="1967"/>
      <c r="D116" s="122">
        <f>+D115+D111+D106+D101+D97+D93+D90+D79+D74+D71+D68+D63+D60+D53+D50+D40+D37+D34+D30+D25+D20+D17+D14+D10+D47+D43</f>
        <v>13460000</v>
      </c>
      <c r="E116" s="122">
        <v>13460000</v>
      </c>
      <c r="F116" s="122">
        <f>+F115+F111+F106+F101+F97+F93+F90+F79+F74+F71+F68+F63+F60+F53+F50+F40+F37+F34+F30+F25+F20+F17+F14+F10+F47+F43</f>
        <v>13486000</v>
      </c>
      <c r="G116" s="470">
        <f t="shared" si="1"/>
        <v>26000</v>
      </c>
      <c r="H116" s="1832"/>
      <c r="I116" s="1832"/>
      <c r="K116" s="1692"/>
    </row>
    <row r="117" spans="1:11" x14ac:dyDescent="0.2">
      <c r="A117" s="9"/>
      <c r="B117" s="9"/>
      <c r="C117" s="9"/>
      <c r="D117" s="13">
        <v>13460000</v>
      </c>
      <c r="E117" s="13">
        <v>13460000</v>
      </c>
      <c r="F117" s="13">
        <f>'Sumář  výdaje kapitol'!I35</f>
        <v>13486000</v>
      </c>
      <c r="G117" s="207"/>
    </row>
    <row r="118" spans="1:11" s="1694" customFormat="1" x14ac:dyDescent="0.2">
      <c r="A118" s="144"/>
      <c r="B118" s="144"/>
      <c r="C118" s="144" t="s">
        <v>329</v>
      </c>
      <c r="D118" s="207">
        <f>+D117-D116</f>
        <v>0</v>
      </c>
      <c r="E118" s="207">
        <v>0</v>
      </c>
      <c r="F118" s="207">
        <f>+F117-F116</f>
        <v>0</v>
      </c>
      <c r="G118" s="207"/>
      <c r="H118" s="1741"/>
      <c r="I118" s="1741"/>
    </row>
    <row r="119" spans="1:11" x14ac:dyDescent="0.2">
      <c r="A119" s="497" t="s">
        <v>1028</v>
      </c>
      <c r="B119" s="9"/>
      <c r="C119" s="9"/>
      <c r="D119" s="13"/>
      <c r="E119" s="13"/>
      <c r="F119" s="13"/>
      <c r="G119" s="207"/>
    </row>
  </sheetData>
  <mergeCells count="2">
    <mergeCell ref="A4:C4"/>
    <mergeCell ref="A116:C116"/>
  </mergeCells>
  <pageMargins left="0.31496062992125984" right="0.31496062992125984" top="0.19685039370078741" bottom="0.19685039370078741" header="0.31496062992125984" footer="0.31496062992125984"/>
  <pageSetup paperSize="9" scale="74" fitToHeight="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9"/>
  <sheetViews>
    <sheetView workbookViewId="0"/>
  </sheetViews>
  <sheetFormatPr defaultRowHeight="12.75" x14ac:dyDescent="0.2"/>
  <cols>
    <col min="1" max="1" width="18.5703125" customWidth="1"/>
    <col min="2" max="2" width="14.28515625" customWidth="1"/>
    <col min="3" max="7" width="14.28515625" style="446" customWidth="1"/>
    <col min="8" max="8" width="13.85546875" bestFit="1" customWidth="1"/>
    <col min="9" max="9" width="15.85546875" style="446" customWidth="1"/>
    <col min="10" max="10" width="14.5703125" style="446" customWidth="1"/>
    <col min="11" max="11" width="15.85546875" style="446" customWidth="1"/>
    <col min="12" max="12" width="14.5703125" style="446" customWidth="1"/>
    <col min="13" max="14" width="16.28515625" style="446" customWidth="1"/>
    <col min="15" max="15" width="6.140625" style="446" customWidth="1"/>
    <col min="16" max="16" width="26" style="446" bestFit="1" customWidth="1"/>
    <col min="17" max="17" width="12.7109375" bestFit="1" customWidth="1"/>
    <col min="18" max="18" width="4.5703125" style="446" bestFit="1" customWidth="1"/>
    <col min="21" max="21" width="26" bestFit="1" customWidth="1"/>
    <col min="22" max="22" width="12.7109375" bestFit="1" customWidth="1"/>
  </cols>
  <sheetData>
    <row r="2" spans="1:24" ht="20.25" x14ac:dyDescent="0.3">
      <c r="A2" s="454" t="s">
        <v>632</v>
      </c>
    </row>
    <row r="3" spans="1:24" x14ac:dyDescent="0.2">
      <c r="U3" s="446"/>
      <c r="W3" s="446"/>
    </row>
    <row r="4" spans="1:24" x14ac:dyDescent="0.2">
      <c r="A4" t="s">
        <v>628</v>
      </c>
      <c r="B4" s="448">
        <v>2014</v>
      </c>
      <c r="E4" t="s">
        <v>628</v>
      </c>
      <c r="F4"/>
      <c r="G4"/>
      <c r="H4" s="448">
        <v>2015</v>
      </c>
      <c r="K4" t="s">
        <v>628</v>
      </c>
      <c r="L4" s="448" t="s">
        <v>1090</v>
      </c>
      <c r="P4" t="s">
        <v>628</v>
      </c>
      <c r="Q4" s="448">
        <v>2017</v>
      </c>
      <c r="U4" t="s">
        <v>628</v>
      </c>
      <c r="V4" s="448">
        <v>2018</v>
      </c>
      <c r="W4" s="446"/>
    </row>
    <row r="5" spans="1:24" ht="15.75" x14ac:dyDescent="0.25">
      <c r="A5" s="450" t="s">
        <v>625</v>
      </c>
      <c r="B5" s="452">
        <v>68876667</v>
      </c>
      <c r="C5" s="453">
        <f>B5/B5</f>
        <v>1</v>
      </c>
      <c r="D5" s="447"/>
      <c r="E5" s="450" t="s">
        <v>625</v>
      </c>
      <c r="F5" s="450"/>
      <c r="G5" s="450"/>
      <c r="H5" s="452">
        <v>70886189</v>
      </c>
      <c r="I5" s="453">
        <f>H5/H5</f>
        <v>1</v>
      </c>
      <c r="J5" s="447"/>
      <c r="K5" s="450" t="s">
        <v>625</v>
      </c>
      <c r="L5" s="452">
        <v>63565030</v>
      </c>
      <c r="M5" s="453">
        <f>L5/L5</f>
        <v>1</v>
      </c>
      <c r="N5" s="889"/>
      <c r="O5" s="447"/>
      <c r="P5" s="450" t="s">
        <v>625</v>
      </c>
      <c r="Q5" s="452">
        <v>72600000</v>
      </c>
      <c r="R5" s="453">
        <f>Q5/Q5</f>
        <v>1</v>
      </c>
      <c r="U5" s="450" t="s">
        <v>625</v>
      </c>
      <c r="V5" s="452">
        <f>+'Souhrn příjmů a výdajů 2018'!H7+'Souhrn příjmů a výdajů 2018'!H8+'Souhrn příjmů a výdajů 2018'!H9+'Souhrn příjmů a výdajů 2018'!H10+'Souhrn příjmů a výdajů 2018'!H11</f>
        <v>89600000</v>
      </c>
      <c r="W5" s="453">
        <f>V5/V5</f>
        <v>1</v>
      </c>
    </row>
    <row r="6" spans="1:24" ht="15.75" x14ac:dyDescent="0.25">
      <c r="A6" s="437"/>
      <c r="B6" s="445"/>
      <c r="C6" s="447"/>
      <c r="D6" s="447"/>
      <c r="E6" s="437"/>
      <c r="F6" s="437"/>
      <c r="G6" s="437"/>
      <c r="H6" s="445"/>
      <c r="I6" s="447"/>
      <c r="J6" s="447"/>
      <c r="K6" s="437"/>
      <c r="L6" s="445"/>
      <c r="M6" s="447"/>
      <c r="N6" s="447"/>
      <c r="O6" s="447"/>
      <c r="P6" s="437"/>
      <c r="Q6" s="445"/>
      <c r="R6" s="447"/>
      <c r="U6" s="437"/>
      <c r="V6" s="445"/>
      <c r="W6" s="447"/>
    </row>
    <row r="7" spans="1:24" x14ac:dyDescent="0.2">
      <c r="B7" s="448"/>
      <c r="E7"/>
      <c r="F7"/>
      <c r="G7"/>
      <c r="H7" s="448"/>
      <c r="K7"/>
      <c r="L7" s="448"/>
      <c r="P7"/>
      <c r="Q7" s="448"/>
      <c r="V7" s="448"/>
      <c r="W7" s="446"/>
    </row>
    <row r="8" spans="1:24" ht="15.75" x14ac:dyDescent="0.25">
      <c r="A8" s="450" t="s">
        <v>626</v>
      </c>
      <c r="B8" s="425">
        <f>26165877+459889</f>
        <v>26625766</v>
      </c>
      <c r="C8" s="451">
        <f>B8/$B$5</f>
        <v>0.38657163825886059</v>
      </c>
      <c r="D8" s="451">
        <f>B8/$B$11</f>
        <v>0.20190605051308216</v>
      </c>
      <c r="E8" s="450" t="s">
        <v>626</v>
      </c>
      <c r="F8" s="450"/>
      <c r="G8" s="450"/>
      <c r="H8" s="425">
        <f>28996060+30411</f>
        <v>29026471</v>
      </c>
      <c r="I8" s="451">
        <f>H8/$H$5</f>
        <v>0.40947991998836331</v>
      </c>
      <c r="J8" s="451">
        <f>H8/$H$11</f>
        <v>0.18637626266809582</v>
      </c>
      <c r="K8" s="450" t="s">
        <v>626</v>
      </c>
      <c r="L8" s="425">
        <v>23836411.297833338</v>
      </c>
      <c r="M8" s="451">
        <f>L8/$L$5</f>
        <v>0.37499252809026185</v>
      </c>
      <c r="N8" s="451">
        <f>L8/$L$11</f>
        <v>0.25954083338775735</v>
      </c>
      <c r="P8" s="450" t="s">
        <v>626</v>
      </c>
      <c r="Q8" s="425">
        <v>29749904.200000003</v>
      </c>
      <c r="R8" s="451">
        <f>Q8/$Q$5</f>
        <v>0.40977829476584027</v>
      </c>
      <c r="S8" s="451">
        <f>Q8/$Q$11</f>
        <v>0.19256405456774123</v>
      </c>
      <c r="U8" s="450" t="s">
        <v>626</v>
      </c>
      <c r="V8" s="425">
        <f>'Souhrn příjmů a výdajů 2018'!H160</f>
        <v>32378530.280000001</v>
      </c>
      <c r="W8" s="451">
        <f>V8/$V$5</f>
        <v>0.36136752544642858</v>
      </c>
      <c r="X8" s="451">
        <f>V8/$V$11</f>
        <v>0.13535888623055647</v>
      </c>
    </row>
    <row r="9" spans="1:24" ht="15.75" x14ac:dyDescent="0.25">
      <c r="A9" s="450" t="s">
        <v>631</v>
      </c>
      <c r="B9" s="425">
        <v>41185744.68</v>
      </c>
      <c r="C9" s="451">
        <f>B9/$B$5</f>
        <v>0.59796367149995799</v>
      </c>
      <c r="D9" s="451">
        <f>B9/$B$11</f>
        <v>0.3123159365923589</v>
      </c>
      <c r="E9" s="450" t="s">
        <v>631</v>
      </c>
      <c r="F9" s="450"/>
      <c r="G9" s="450"/>
      <c r="H9" s="425">
        <v>55735568.340000004</v>
      </c>
      <c r="I9" s="451">
        <f>H9/$H$5</f>
        <v>0.7862683708387822</v>
      </c>
      <c r="J9" s="451">
        <f>H9/$H$11</f>
        <v>0.35787288523263627</v>
      </c>
      <c r="K9" s="450" t="s">
        <v>631</v>
      </c>
      <c r="L9" s="425">
        <v>60925627.460000001</v>
      </c>
      <c r="M9" s="451">
        <f>L9/$L$5</f>
        <v>0.95847712901260329</v>
      </c>
      <c r="N9" s="451">
        <f>L9/$L$11</f>
        <v>0.66338375890827839</v>
      </c>
      <c r="P9" s="450" t="s">
        <v>631</v>
      </c>
      <c r="Q9" s="425">
        <v>72178233</v>
      </c>
      <c r="R9" s="451">
        <f>Q9/$Q$5</f>
        <v>0.99419053719008266</v>
      </c>
      <c r="S9" s="451">
        <f>Q9/$Q$11</f>
        <v>0.46719253630454177</v>
      </c>
      <c r="U9" s="450" t="s">
        <v>631</v>
      </c>
      <c r="V9" s="425">
        <f>'Souhrn příjmů a výdajů 2018'!H170</f>
        <v>79623035.077600002</v>
      </c>
      <c r="W9" s="451">
        <f>V9/$V$5</f>
        <v>0.88864994506250006</v>
      </c>
      <c r="X9" s="451">
        <f>V9/$V$11</f>
        <v>0.33286518113077446</v>
      </c>
    </row>
    <row r="10" spans="1:24" ht="15.75" x14ac:dyDescent="0.25">
      <c r="A10" s="450" t="s">
        <v>184</v>
      </c>
      <c r="B10" s="425">
        <v>64060545</v>
      </c>
      <c r="C10" s="451">
        <f>B10/$B$5</f>
        <v>0.93007614610619882</v>
      </c>
      <c r="D10" s="451">
        <f>B10/$B$11</f>
        <v>0.48577801046796448</v>
      </c>
      <c r="E10" s="450" t="s">
        <v>184</v>
      </c>
      <c r="F10" s="450"/>
      <c r="G10" s="450"/>
      <c r="H10" s="425">
        <v>70979205.209999993</v>
      </c>
      <c r="I10" s="451">
        <f>H10/$H$5</f>
        <v>1.0013121908697897</v>
      </c>
      <c r="J10" s="451">
        <f>H10/$H$11</f>
        <v>0.45575085563076662</v>
      </c>
      <c r="K10" s="450" t="s">
        <v>184</v>
      </c>
      <c r="L10" s="425">
        <v>20450785</v>
      </c>
      <c r="M10" s="451">
        <f>L10/$L$5</f>
        <v>0.32173012425228148</v>
      </c>
      <c r="N10" s="451">
        <f>L10/$L$11</f>
        <v>0.22267671571921197</v>
      </c>
      <c r="P10" s="450" t="s">
        <v>184</v>
      </c>
      <c r="Q10" s="425">
        <v>38137462</v>
      </c>
      <c r="R10" s="451">
        <f>Q10/$Q$5</f>
        <v>0.52530939393939391</v>
      </c>
      <c r="S10" s="451">
        <f>Q10/$Q$11</f>
        <v>0.24685472142270484</v>
      </c>
      <c r="U10" s="450" t="s">
        <v>184</v>
      </c>
      <c r="V10" s="425">
        <f>'Souhrn příjmů a výdajů 2018'!H211</f>
        <v>115416958</v>
      </c>
      <c r="W10" s="451">
        <f>V10/$V$5</f>
        <v>1.2881356919642857</v>
      </c>
      <c r="X10" s="451">
        <f>V10/$V$11</f>
        <v>0.48250216275718227</v>
      </c>
    </row>
    <row r="11" spans="1:24" ht="15.75" x14ac:dyDescent="0.25">
      <c r="A11" s="450" t="s">
        <v>627</v>
      </c>
      <c r="B11" s="425">
        <v>131872056</v>
      </c>
      <c r="C11" s="451">
        <f>B11/$B$5</f>
        <v>1.9146114605110029</v>
      </c>
      <c r="D11" s="451">
        <f>B11/$B$11</f>
        <v>1</v>
      </c>
      <c r="E11" s="450" t="s">
        <v>627</v>
      </c>
      <c r="F11" s="450"/>
      <c r="G11" s="450"/>
      <c r="H11" s="425">
        <v>155741244</v>
      </c>
      <c r="I11" s="451">
        <f>H11/$H$5</f>
        <v>2.1970604739380191</v>
      </c>
      <c r="J11" s="451">
        <f>H11/$H$11</f>
        <v>1</v>
      </c>
      <c r="K11" s="450" t="s">
        <v>627</v>
      </c>
      <c r="L11" s="425">
        <v>91840698</v>
      </c>
      <c r="M11" s="451">
        <f>L11/$L$5</f>
        <v>1.4448305617097954</v>
      </c>
      <c r="N11" s="451">
        <f>L11/$L$11</f>
        <v>1</v>
      </c>
      <c r="P11" s="450" t="s">
        <v>627</v>
      </c>
      <c r="Q11" s="425">
        <v>154493549</v>
      </c>
      <c r="R11" s="451">
        <f>Q11/$Q$5</f>
        <v>2.1280103168044078</v>
      </c>
      <c r="S11" s="451">
        <f>Q11/$Q$11</f>
        <v>1</v>
      </c>
      <c r="U11" s="450" t="s">
        <v>627</v>
      </c>
      <c r="V11" s="425">
        <f>'Souhrn příjmů a výdajů 2018'!H229</f>
        <v>239205058.3576</v>
      </c>
      <c r="W11" s="451">
        <f>V11/$V$5</f>
        <v>2.6696993120267858</v>
      </c>
      <c r="X11" s="451">
        <f>V11/$V$11</f>
        <v>1</v>
      </c>
    </row>
    <row r="13" spans="1:24" x14ac:dyDescent="0.2">
      <c r="H13" s="315"/>
    </row>
    <row r="40" spans="2:16" x14ac:dyDescent="0.2">
      <c r="C40"/>
      <c r="D40"/>
      <c r="E40"/>
      <c r="F40"/>
      <c r="G40"/>
      <c r="I40"/>
      <c r="J40"/>
      <c r="K40"/>
      <c r="L40"/>
      <c r="M40"/>
      <c r="N40"/>
      <c r="O40"/>
      <c r="P40"/>
    </row>
    <row r="41" spans="2:16" x14ac:dyDescent="0.2">
      <c r="C41"/>
      <c r="D41"/>
      <c r="E41"/>
      <c r="F41"/>
      <c r="G41"/>
      <c r="I41"/>
      <c r="J41"/>
      <c r="K41"/>
      <c r="L41"/>
      <c r="M41"/>
      <c r="N41"/>
      <c r="O41"/>
      <c r="P41"/>
    </row>
    <row r="42" spans="2:16" ht="15.75" x14ac:dyDescent="0.25">
      <c r="B42" s="437" t="s">
        <v>346</v>
      </c>
      <c r="C42" s="315">
        <v>99343846</v>
      </c>
      <c r="D42" s="315"/>
      <c r="E42" s="444">
        <f t="shared" ref="E42:E47" si="0">C42/$C$47</f>
        <v>0.72427717362847199</v>
      </c>
      <c r="F42" s="444"/>
      <c r="G42" s="444"/>
      <c r="I42"/>
      <c r="J42"/>
      <c r="K42"/>
      <c r="L42"/>
      <c r="M42"/>
      <c r="N42"/>
      <c r="O42"/>
      <c r="P42"/>
    </row>
    <row r="43" spans="2:16" ht="15.75" x14ac:dyDescent="0.25">
      <c r="B43" s="437" t="s">
        <v>348</v>
      </c>
      <c r="C43" s="315">
        <v>18418700</v>
      </c>
      <c r="D43" s="315"/>
      <c r="E43" s="444">
        <f t="shared" si="0"/>
        <v>0.134283546641739</v>
      </c>
      <c r="F43" s="444"/>
      <c r="G43" s="444"/>
      <c r="I43"/>
      <c r="J43"/>
      <c r="K43"/>
      <c r="L43"/>
      <c r="M43"/>
      <c r="N43"/>
      <c r="O43"/>
      <c r="P43"/>
    </row>
    <row r="44" spans="2:16" ht="15.75" x14ac:dyDescent="0.25">
      <c r="B44" s="437" t="s">
        <v>352</v>
      </c>
      <c r="C44" s="315">
        <v>60000</v>
      </c>
      <c r="D44" s="315"/>
      <c r="E44" s="444">
        <f t="shared" si="0"/>
        <v>4.3743656167396941E-4</v>
      </c>
      <c r="F44" s="444"/>
      <c r="G44" s="444"/>
      <c r="I44"/>
      <c r="J44"/>
      <c r="K44"/>
      <c r="L44"/>
      <c r="M44"/>
      <c r="N44"/>
      <c r="O44"/>
      <c r="P44"/>
    </row>
    <row r="45" spans="2:16" ht="15.75" x14ac:dyDescent="0.25">
      <c r="B45" s="437" t="s">
        <v>622</v>
      </c>
      <c r="C45" s="315">
        <v>9670100</v>
      </c>
      <c r="D45" s="315"/>
      <c r="E45" s="444">
        <f t="shared" si="0"/>
        <v>7.0500921584057519E-2</v>
      </c>
      <c r="F45" s="444"/>
      <c r="G45" s="444"/>
      <c r="I45"/>
      <c r="J45"/>
      <c r="K45"/>
      <c r="L45"/>
      <c r="M45"/>
      <c r="N45"/>
      <c r="O45"/>
      <c r="P45"/>
    </row>
    <row r="46" spans="2:16" ht="15.75" x14ac:dyDescent="0.25">
      <c r="B46" s="437" t="s">
        <v>366</v>
      </c>
      <c r="C46" s="315">
        <v>9670100</v>
      </c>
      <c r="D46" s="315"/>
      <c r="E46" s="444">
        <f t="shared" si="0"/>
        <v>7.0500921584057519E-2</v>
      </c>
      <c r="F46" s="444"/>
      <c r="G46" s="444"/>
      <c r="I46"/>
      <c r="J46"/>
      <c r="K46"/>
      <c r="L46"/>
      <c r="M46"/>
      <c r="N46"/>
      <c r="O46"/>
      <c r="P46"/>
    </row>
    <row r="47" spans="2:16" x14ac:dyDescent="0.2">
      <c r="C47" s="315">
        <f>SUM(C42:C46)</f>
        <v>137162746</v>
      </c>
      <c r="D47" s="315"/>
      <c r="E47" s="444">
        <f t="shared" si="0"/>
        <v>1</v>
      </c>
      <c r="F47" s="444"/>
      <c r="G47" s="444"/>
      <c r="I47"/>
      <c r="J47"/>
      <c r="K47"/>
      <c r="L47"/>
      <c r="M47"/>
      <c r="N47"/>
      <c r="O47"/>
      <c r="P47"/>
    </row>
    <row r="48" spans="2:16" x14ac:dyDescent="0.2">
      <c r="C48"/>
      <c r="D48"/>
      <c r="E48"/>
      <c r="F48"/>
      <c r="G48"/>
      <c r="I48"/>
      <c r="J48"/>
      <c r="K48"/>
      <c r="L48"/>
      <c r="M48"/>
      <c r="N48"/>
      <c r="O48"/>
      <c r="P48"/>
    </row>
    <row r="49" spans="3:16" x14ac:dyDescent="0.2">
      <c r="C49"/>
      <c r="D49"/>
      <c r="E49"/>
      <c r="F49"/>
      <c r="G49"/>
      <c r="I49"/>
      <c r="J49"/>
      <c r="K49"/>
      <c r="L49"/>
      <c r="M49"/>
      <c r="N49"/>
      <c r="O49"/>
      <c r="P49"/>
    </row>
    <row r="50" spans="3:16" x14ac:dyDescent="0.2">
      <c r="C50"/>
      <c r="D50"/>
      <c r="E50"/>
      <c r="F50"/>
      <c r="G50"/>
      <c r="I50"/>
      <c r="J50"/>
      <c r="K50"/>
      <c r="L50"/>
      <c r="M50"/>
      <c r="N50"/>
      <c r="O50"/>
      <c r="P50"/>
    </row>
    <row r="51" spans="3:16" x14ac:dyDescent="0.2">
      <c r="C51"/>
      <c r="D51"/>
      <c r="E51"/>
      <c r="F51"/>
      <c r="G51"/>
      <c r="I51"/>
      <c r="J51"/>
      <c r="K51"/>
      <c r="L51"/>
      <c r="M51"/>
      <c r="N51"/>
      <c r="O51"/>
      <c r="P51"/>
    </row>
    <row r="52" spans="3:16" x14ac:dyDescent="0.2">
      <c r="C52"/>
      <c r="D52"/>
      <c r="E52"/>
      <c r="F52"/>
      <c r="G52"/>
      <c r="I52"/>
      <c r="J52"/>
      <c r="K52"/>
      <c r="L52"/>
      <c r="M52"/>
      <c r="N52"/>
      <c r="O52"/>
      <c r="P52"/>
    </row>
    <row r="53" spans="3:16" x14ac:dyDescent="0.2">
      <c r="C53"/>
      <c r="D53"/>
      <c r="E53"/>
      <c r="F53"/>
      <c r="G53"/>
      <c r="I53"/>
      <c r="J53"/>
      <c r="K53"/>
      <c r="L53"/>
      <c r="M53"/>
      <c r="N53"/>
      <c r="O53"/>
      <c r="P53"/>
    </row>
    <row r="54" spans="3:16" x14ac:dyDescent="0.2">
      <c r="C54"/>
      <c r="D54"/>
      <c r="E54"/>
      <c r="F54"/>
      <c r="G54"/>
      <c r="I54"/>
      <c r="J54"/>
      <c r="K54"/>
      <c r="L54"/>
      <c r="M54"/>
      <c r="N54"/>
      <c r="O54"/>
      <c r="P54"/>
    </row>
    <row r="55" spans="3:16" x14ac:dyDescent="0.2">
      <c r="C55"/>
      <c r="D55"/>
      <c r="E55"/>
      <c r="F55"/>
      <c r="G55"/>
      <c r="I55"/>
      <c r="J55"/>
      <c r="K55"/>
      <c r="L55"/>
      <c r="M55"/>
      <c r="N55"/>
      <c r="O55"/>
      <c r="P55"/>
    </row>
    <row r="56" spans="3:16" x14ac:dyDescent="0.2">
      <c r="C56"/>
      <c r="D56"/>
      <c r="E56"/>
      <c r="F56"/>
      <c r="G56"/>
      <c r="I56"/>
      <c r="J56"/>
      <c r="K56"/>
      <c r="L56"/>
      <c r="M56"/>
      <c r="N56"/>
      <c r="O56"/>
      <c r="P56"/>
    </row>
    <row r="57" spans="3:16" x14ac:dyDescent="0.2">
      <c r="C57"/>
      <c r="D57"/>
      <c r="E57"/>
      <c r="F57"/>
      <c r="G57"/>
      <c r="I57"/>
      <c r="J57"/>
      <c r="K57"/>
      <c r="L57"/>
      <c r="M57"/>
      <c r="N57"/>
      <c r="O57"/>
      <c r="P57"/>
    </row>
    <row r="58" spans="3:16" x14ac:dyDescent="0.2">
      <c r="C58"/>
      <c r="D58"/>
      <c r="E58"/>
      <c r="F58"/>
      <c r="G58"/>
      <c r="I58"/>
      <c r="J58"/>
      <c r="K58"/>
      <c r="L58"/>
      <c r="M58"/>
      <c r="N58"/>
      <c r="O58"/>
      <c r="P58"/>
    </row>
    <row r="59" spans="3:16" x14ac:dyDescent="0.2">
      <c r="C59"/>
      <c r="D59"/>
      <c r="E59"/>
      <c r="F59"/>
      <c r="G59"/>
      <c r="I59"/>
      <c r="J59"/>
      <c r="K59"/>
      <c r="L59"/>
      <c r="M59"/>
      <c r="N59"/>
      <c r="O59"/>
      <c r="P59"/>
    </row>
    <row r="60" spans="3:16" x14ac:dyDescent="0.2">
      <c r="C60"/>
      <c r="D60"/>
      <c r="E60"/>
      <c r="F60"/>
      <c r="G60"/>
      <c r="I60"/>
      <c r="J60"/>
      <c r="K60"/>
      <c r="L60"/>
      <c r="M60"/>
      <c r="N60"/>
      <c r="O60"/>
      <c r="P60"/>
    </row>
    <row r="61" spans="3:16" x14ac:dyDescent="0.2">
      <c r="C61"/>
      <c r="D61"/>
      <c r="E61"/>
      <c r="F61"/>
      <c r="G61"/>
      <c r="I61"/>
      <c r="J61"/>
      <c r="K61"/>
      <c r="L61"/>
      <c r="M61"/>
      <c r="N61"/>
      <c r="O61"/>
      <c r="P61"/>
    </row>
    <row r="62" spans="3:16" x14ac:dyDescent="0.2">
      <c r="C62"/>
      <c r="D62"/>
      <c r="E62"/>
      <c r="F62"/>
      <c r="G62"/>
      <c r="I62"/>
      <c r="J62"/>
      <c r="K62"/>
      <c r="L62"/>
      <c r="M62"/>
      <c r="N62"/>
      <c r="O62"/>
      <c r="P62"/>
    </row>
    <row r="63" spans="3:16" x14ac:dyDescent="0.2">
      <c r="C63"/>
      <c r="D63"/>
      <c r="E63"/>
      <c r="F63"/>
      <c r="G63"/>
      <c r="I63"/>
      <c r="J63"/>
      <c r="K63"/>
      <c r="L63"/>
      <c r="M63"/>
      <c r="N63"/>
      <c r="O63"/>
      <c r="P63"/>
    </row>
    <row r="64" spans="3:16" x14ac:dyDescent="0.2">
      <c r="C64"/>
      <c r="D64"/>
      <c r="E64"/>
      <c r="F64"/>
      <c r="G64"/>
      <c r="I64"/>
      <c r="J64"/>
      <c r="K64"/>
      <c r="L64"/>
      <c r="M64"/>
      <c r="N64"/>
      <c r="O64"/>
      <c r="P64"/>
    </row>
    <row r="65" spans="1:16" x14ac:dyDescent="0.2">
      <c r="C65"/>
      <c r="D65"/>
      <c r="E65"/>
      <c r="F65"/>
      <c r="G65"/>
      <c r="I65"/>
      <c r="J65"/>
      <c r="K65"/>
      <c r="L65"/>
      <c r="M65"/>
      <c r="N65"/>
      <c r="O65"/>
      <c r="P65"/>
    </row>
    <row r="66" spans="1:16" x14ac:dyDescent="0.2">
      <c r="C66"/>
      <c r="D66"/>
      <c r="E66"/>
      <c r="F66"/>
      <c r="G66"/>
      <c r="I66"/>
      <c r="J66"/>
      <c r="K66"/>
      <c r="L66"/>
      <c r="M66"/>
      <c r="N66"/>
      <c r="O66"/>
      <c r="P66"/>
    </row>
    <row r="67" spans="1:16" x14ac:dyDescent="0.2">
      <c r="C67"/>
      <c r="D67"/>
      <c r="E67"/>
      <c r="F67"/>
      <c r="G67"/>
      <c r="I67"/>
      <c r="J67"/>
      <c r="K67"/>
      <c r="L67"/>
      <c r="M67"/>
      <c r="N67"/>
      <c r="O67"/>
      <c r="P67"/>
    </row>
    <row r="68" spans="1:16" x14ac:dyDescent="0.2">
      <c r="C68"/>
      <c r="D68"/>
      <c r="E68"/>
      <c r="F68"/>
      <c r="G68"/>
      <c r="I68"/>
      <c r="J68"/>
      <c r="K68"/>
      <c r="L68"/>
      <c r="M68"/>
      <c r="N68"/>
      <c r="O68"/>
      <c r="P68"/>
    </row>
    <row r="69" spans="1:16" x14ac:dyDescent="0.2">
      <c r="C69"/>
      <c r="D69"/>
      <c r="E69"/>
      <c r="F69"/>
      <c r="G69"/>
      <c r="I69"/>
      <c r="J69"/>
      <c r="K69"/>
      <c r="L69"/>
      <c r="M69"/>
      <c r="N69"/>
      <c r="O69"/>
      <c r="P69"/>
    </row>
    <row r="70" spans="1:16" x14ac:dyDescent="0.2">
      <c r="A70" t="s">
        <v>1520</v>
      </c>
      <c r="B70" s="315">
        <f>'Souhrn příjmů a výdajů 2018'!H160</f>
        <v>32378530.280000001</v>
      </c>
      <c r="C70" s="445">
        <f>B70/$B$74</f>
        <v>0.13535888623055647</v>
      </c>
      <c r="D70"/>
      <c r="E70"/>
      <c r="F70"/>
      <c r="G70"/>
      <c r="I70"/>
      <c r="J70"/>
      <c r="K70"/>
      <c r="L70"/>
      <c r="M70"/>
      <c r="N70"/>
      <c r="O70"/>
      <c r="P70"/>
    </row>
    <row r="71" spans="1:16" x14ac:dyDescent="0.2">
      <c r="A71" t="s">
        <v>375</v>
      </c>
      <c r="B71" s="315">
        <f>'Souhrn příjmů a výdajů 2018'!H170</f>
        <v>79623035.077600002</v>
      </c>
      <c r="C71" s="445">
        <f>B71/$B$74</f>
        <v>0.33286518113077446</v>
      </c>
      <c r="D71"/>
      <c r="E71"/>
      <c r="F71"/>
      <c r="G71"/>
      <c r="I71"/>
      <c r="J71"/>
      <c r="K71"/>
      <c r="L71"/>
      <c r="M71"/>
      <c r="N71"/>
      <c r="O71"/>
      <c r="P71"/>
    </row>
    <row r="72" spans="1:16" x14ac:dyDescent="0.2">
      <c r="A72" t="s">
        <v>377</v>
      </c>
      <c r="B72" s="315">
        <f>'Souhrn příjmů a výdajů 2018'!H211</f>
        <v>115416958</v>
      </c>
      <c r="C72" s="445">
        <f>B72/$B$74</f>
        <v>0.48250216275718227</v>
      </c>
      <c r="D72"/>
      <c r="E72"/>
      <c r="F72"/>
      <c r="G72"/>
      <c r="I72"/>
      <c r="J72"/>
      <c r="K72"/>
      <c r="L72"/>
      <c r="M72"/>
      <c r="N72"/>
      <c r="O72"/>
      <c r="P72"/>
    </row>
    <row r="73" spans="1:16" x14ac:dyDescent="0.2">
      <c r="A73" t="s">
        <v>366</v>
      </c>
      <c r="B73" s="315">
        <f>'Souhrn příjmů a výdajů 2018'!H223</f>
        <v>11786535</v>
      </c>
      <c r="C73" s="445">
        <f>B73/$B$74</f>
        <v>4.9273769881486788E-2</v>
      </c>
    </row>
    <row r="74" spans="1:16" x14ac:dyDescent="0.2">
      <c r="B74" s="315">
        <f>SUM(B70:B73)</f>
        <v>239205058.3576</v>
      </c>
    </row>
    <row r="97" spans="1:14" ht="15.75" x14ac:dyDescent="0.25">
      <c r="I97" s="33"/>
    </row>
    <row r="98" spans="1:14" ht="15.75" x14ac:dyDescent="0.25">
      <c r="B98" s="450" t="s">
        <v>626</v>
      </c>
      <c r="C98" s="450" t="s">
        <v>631</v>
      </c>
      <c r="D98" s="450" t="s">
        <v>184</v>
      </c>
      <c r="E98" s="450" t="s">
        <v>627</v>
      </c>
      <c r="F98" s="437"/>
      <c r="G98" s="437"/>
      <c r="I98" s="33" t="s">
        <v>571</v>
      </c>
      <c r="J98" s="450">
        <v>2014</v>
      </c>
      <c r="K98" s="450">
        <v>2015</v>
      </c>
      <c r="L98" s="450">
        <v>2016</v>
      </c>
      <c r="M98" s="450">
        <v>2017</v>
      </c>
      <c r="N98" s="437"/>
    </row>
    <row r="99" spans="1:14" ht="15.75" x14ac:dyDescent="0.25">
      <c r="A99" s="448" t="s">
        <v>1521</v>
      </c>
      <c r="B99" s="1637">
        <f>W8</f>
        <v>0.36136752544642858</v>
      </c>
      <c r="C99" s="1638">
        <f>W9</f>
        <v>0.88864994506250006</v>
      </c>
      <c r="D99" s="1638">
        <f>W10</f>
        <v>1.2881356919642857</v>
      </c>
      <c r="E99" s="1638">
        <f>W11</f>
        <v>2.6696993120267858</v>
      </c>
      <c r="F99" s="437"/>
      <c r="G99" s="437"/>
      <c r="I99" s="33"/>
      <c r="J99" s="437"/>
      <c r="K99" s="437"/>
      <c r="L99" s="437"/>
      <c r="M99" s="437"/>
      <c r="N99" s="437"/>
    </row>
    <row r="100" spans="1:14" ht="15.75" x14ac:dyDescent="0.25">
      <c r="A100" s="448" t="s">
        <v>1523</v>
      </c>
      <c r="B100" s="1637">
        <v>0.41</v>
      </c>
      <c r="C100" s="1638">
        <v>0.99</v>
      </c>
      <c r="D100" s="1638">
        <v>0.53</v>
      </c>
      <c r="E100" s="1638">
        <v>2.13</v>
      </c>
      <c r="F100" s="888"/>
      <c r="G100" s="888"/>
      <c r="I100" s="33" t="s">
        <v>1114</v>
      </c>
      <c r="J100" s="444">
        <v>0.17944808100989548</v>
      </c>
      <c r="K100" s="888">
        <v>0.18254106156577712</v>
      </c>
      <c r="L100" s="888">
        <v>0.16016715023242142</v>
      </c>
      <c r="M100" s="888">
        <v>0.19184989135766159</v>
      </c>
      <c r="N100" s="888"/>
    </row>
    <row r="101" spans="1:14" x14ac:dyDescent="0.2">
      <c r="A101" s="448">
        <v>2016</v>
      </c>
      <c r="B101" s="1637">
        <v>0.39</v>
      </c>
      <c r="C101" s="1638">
        <v>0.89</v>
      </c>
      <c r="D101" s="1638">
        <v>0.52</v>
      </c>
      <c r="E101" s="1638">
        <v>1.97</v>
      </c>
      <c r="F101" s="888"/>
      <c r="G101" s="888"/>
      <c r="I101" s="448"/>
      <c r="J101" s="444"/>
      <c r="K101" s="888"/>
      <c r="L101" s="888"/>
      <c r="M101" s="888"/>
      <c r="N101" s="888"/>
    </row>
    <row r="102" spans="1:14" x14ac:dyDescent="0.2">
      <c r="A102" s="448">
        <v>2015</v>
      </c>
      <c r="B102" s="1637">
        <v>0.41</v>
      </c>
      <c r="C102" s="1638">
        <v>0.79</v>
      </c>
      <c r="D102" s="1638">
        <v>1</v>
      </c>
      <c r="E102" s="1638">
        <v>2.2000000000000002</v>
      </c>
      <c r="F102" s="888"/>
      <c r="G102" s="888"/>
      <c r="I102" s="448"/>
      <c r="J102" s="444"/>
      <c r="K102" s="888"/>
      <c r="L102" s="888"/>
      <c r="M102" s="888"/>
      <c r="N102" s="888"/>
    </row>
    <row r="103" spans="1:14" x14ac:dyDescent="0.2">
      <c r="A103" s="460">
        <v>2014</v>
      </c>
      <c r="B103" s="1637">
        <v>0.39</v>
      </c>
      <c r="C103" s="1638">
        <v>0.6</v>
      </c>
      <c r="D103" s="1638">
        <v>0.93</v>
      </c>
      <c r="E103" s="1638">
        <v>1.91</v>
      </c>
      <c r="F103" s="888"/>
      <c r="G103" s="888"/>
      <c r="I103" s="460"/>
      <c r="J103" s="444"/>
      <c r="K103" s="888"/>
      <c r="L103" s="888"/>
      <c r="M103" s="888"/>
      <c r="N103" s="888"/>
    </row>
    <row r="104" spans="1:14" x14ac:dyDescent="0.2">
      <c r="A104" s="460">
        <v>2013</v>
      </c>
    </row>
    <row r="105" spans="1:14" x14ac:dyDescent="0.2">
      <c r="A105" s="460">
        <v>2012</v>
      </c>
    </row>
    <row r="123" spans="9:18" ht="15.75" x14ac:dyDescent="0.25">
      <c r="I123"/>
      <c r="J123" s="450" t="s">
        <v>374</v>
      </c>
      <c r="K123" s="450" t="s">
        <v>184</v>
      </c>
      <c r="L123" s="450"/>
      <c r="M123" s="437"/>
      <c r="P123"/>
      <c r="Q123" s="446"/>
      <c r="R123"/>
    </row>
    <row r="124" spans="9:18" x14ac:dyDescent="0.2">
      <c r="I124" s="448" t="s">
        <v>1521</v>
      </c>
      <c r="J124" s="890">
        <f>G147*1000</f>
        <v>111476565</v>
      </c>
      <c r="K124" s="890">
        <f>G148*1000</f>
        <v>111574898</v>
      </c>
      <c r="L124" s="890">
        <f>'Souhrn příjmů a výdajů 2018'!H229</f>
        <v>239205058.3576</v>
      </c>
      <c r="M124" s="888"/>
      <c r="P124"/>
      <c r="Q124" s="446"/>
      <c r="R124"/>
    </row>
    <row r="125" spans="9:18" x14ac:dyDescent="0.2">
      <c r="I125" s="448" t="s">
        <v>1523</v>
      </c>
      <c r="J125" s="890">
        <f>F147*1000</f>
        <v>119151690</v>
      </c>
      <c r="K125" s="890">
        <f>F148*1000</f>
        <v>98072527</v>
      </c>
      <c r="L125" s="890">
        <f>Q11</f>
        <v>154493549</v>
      </c>
      <c r="M125" s="888"/>
      <c r="P125"/>
      <c r="Q125" s="446"/>
      <c r="R125"/>
    </row>
    <row r="126" spans="9:18" x14ac:dyDescent="0.2">
      <c r="I126" s="448">
        <v>2016</v>
      </c>
      <c r="J126" s="890">
        <v>93507575.017399997</v>
      </c>
      <c r="K126" s="890">
        <v>38260406.792600006</v>
      </c>
      <c r="L126" s="890">
        <v>143177073.81</v>
      </c>
      <c r="M126" s="888"/>
      <c r="P126"/>
      <c r="Q126" s="446"/>
      <c r="R126"/>
    </row>
    <row r="127" spans="9:18" x14ac:dyDescent="0.2">
      <c r="I127" s="448">
        <v>2015</v>
      </c>
      <c r="J127" s="890">
        <f>+H8+H9</f>
        <v>84762039.340000004</v>
      </c>
      <c r="K127" s="890">
        <f>+H10</f>
        <v>70979205.209999993</v>
      </c>
      <c r="L127" s="890">
        <f>H11</f>
        <v>155741244</v>
      </c>
      <c r="M127" s="888"/>
      <c r="P127"/>
      <c r="Q127" s="446"/>
      <c r="R127"/>
    </row>
    <row r="128" spans="9:18" x14ac:dyDescent="0.2">
      <c r="I128" s="460">
        <v>2014</v>
      </c>
      <c r="J128" s="890">
        <f>+B8+B9</f>
        <v>67811510.680000007</v>
      </c>
      <c r="K128" s="890">
        <f>+B10</f>
        <v>64060545</v>
      </c>
      <c r="L128" s="890">
        <f>B11</f>
        <v>131872056</v>
      </c>
    </row>
    <row r="131" spans="1:18" ht="15.75" x14ac:dyDescent="0.25">
      <c r="J131" s="450" t="s">
        <v>374</v>
      </c>
      <c r="K131" s="450" t="s">
        <v>184</v>
      </c>
      <c r="L131" s="450"/>
    </row>
    <row r="132" spans="1:18" x14ac:dyDescent="0.2">
      <c r="I132" s="460">
        <v>2014</v>
      </c>
      <c r="J132" s="444">
        <f>J128/L128</f>
        <v>0.51422198710544109</v>
      </c>
      <c r="K132" s="888">
        <f>K128/L128</f>
        <v>0.48577801046796448</v>
      </c>
    </row>
    <row r="133" spans="1:18" x14ac:dyDescent="0.2">
      <c r="I133" s="448">
        <v>2015</v>
      </c>
      <c r="J133" s="444">
        <f>J127/L127</f>
        <v>0.54424914790073209</v>
      </c>
      <c r="K133" s="888">
        <f>K127/L127</f>
        <v>0.45575085563076662</v>
      </c>
    </row>
    <row r="134" spans="1:18" x14ac:dyDescent="0.2">
      <c r="I134" s="448">
        <v>2016</v>
      </c>
      <c r="J134" s="444">
        <f>J126/L126</f>
        <v>0.65309041824312719</v>
      </c>
      <c r="K134" s="888">
        <f>K126/L126</f>
        <v>0.26722439406306514</v>
      </c>
    </row>
    <row r="135" spans="1:18" x14ac:dyDescent="0.2">
      <c r="I135" s="448" t="s">
        <v>1523</v>
      </c>
      <c r="J135" s="444">
        <f>J125/L125</f>
        <v>0.77124055192751118</v>
      </c>
      <c r="K135" s="888">
        <f>K125/L125</f>
        <v>0.6348001430143857</v>
      </c>
    </row>
    <row r="136" spans="1:18" x14ac:dyDescent="0.2">
      <c r="I136" s="448" t="s">
        <v>1521</v>
      </c>
      <c r="J136" s="444">
        <f>J124/L124</f>
        <v>0.46602929622561712</v>
      </c>
      <c r="K136" s="888">
        <f>K124/L124</f>
        <v>0.46644037866958865</v>
      </c>
    </row>
    <row r="140" spans="1:18" x14ac:dyDescent="0.2">
      <c r="M140"/>
      <c r="N140"/>
      <c r="O140"/>
      <c r="P140"/>
      <c r="R140"/>
    </row>
    <row r="141" spans="1:18" x14ac:dyDescent="0.2">
      <c r="J141"/>
      <c r="L141"/>
      <c r="M141"/>
      <c r="N141"/>
      <c r="O141"/>
      <c r="P141"/>
      <c r="R141"/>
    </row>
    <row r="142" spans="1:18" x14ac:dyDescent="0.2">
      <c r="A142" t="s">
        <v>628</v>
      </c>
      <c r="B142" s="448">
        <v>2013</v>
      </c>
      <c r="C142" s="448">
        <v>2014</v>
      </c>
      <c r="D142" s="448">
        <v>2015</v>
      </c>
      <c r="E142" s="448">
        <v>2016</v>
      </c>
      <c r="F142" s="448" t="s">
        <v>1522</v>
      </c>
      <c r="G142" s="448" t="s">
        <v>1521</v>
      </c>
      <c r="J142"/>
      <c r="L142"/>
      <c r="M142"/>
      <c r="N142"/>
      <c r="O142"/>
      <c r="P142"/>
      <c r="R142"/>
    </row>
    <row r="143" spans="1:18" x14ac:dyDescent="0.2">
      <c r="A143" t="s">
        <v>1097</v>
      </c>
      <c r="B143" s="315">
        <v>64168.275999999998</v>
      </c>
      <c r="C143" s="315">
        <v>68876.667000000001</v>
      </c>
      <c r="D143" s="315">
        <v>70886.188999999998</v>
      </c>
      <c r="E143" s="315">
        <v>86513</v>
      </c>
      <c r="F143" s="315">
        <v>105237.84600000001</v>
      </c>
      <c r="G143" s="315">
        <f>'Souhrn příjmů a výdajů 2018'!H6/1000</f>
        <v>108848</v>
      </c>
      <c r="J143"/>
      <c r="L143"/>
      <c r="M143"/>
      <c r="N143"/>
      <c r="O143"/>
      <c r="P143"/>
      <c r="R143"/>
    </row>
    <row r="144" spans="1:18" x14ac:dyDescent="0.2">
      <c r="A144" t="s">
        <v>1093</v>
      </c>
      <c r="B144" s="315">
        <v>89472.981</v>
      </c>
      <c r="C144" s="315">
        <v>70930.301000000007</v>
      </c>
      <c r="D144" s="315">
        <v>87313.297000000006</v>
      </c>
      <c r="E144" s="315">
        <v>56664.073810000002</v>
      </c>
      <c r="F144" s="315">
        <f>+'Souhrn příjmů a výdajů 2018'!G26/1000+'Souhrn příjmů a výdajů 2018'!G94/1000+'Souhrn příjmů a výdajů 2018'!G100/1000+'Souhrn příjmů a výdajů 2018'!G145/1000</f>
        <v>124647.56903999999</v>
      </c>
      <c r="G144" s="315">
        <f>+'Souhrn příjmů a výdajů 2018'!H26/1000+'Souhrn příjmů a výdajů 2018'!H94/1000+'Souhrn příjmů a výdajů 2018'!H100/1000+'Souhrn příjmů a výdajů 2018'!H145/1000</f>
        <v>130357.05799999999</v>
      </c>
      <c r="J144"/>
      <c r="L144"/>
      <c r="M144"/>
      <c r="N144"/>
      <c r="O144"/>
      <c r="P144"/>
      <c r="R144"/>
    </row>
    <row r="145" spans="1:18" x14ac:dyDescent="0.2">
      <c r="A145" t="s">
        <v>1094</v>
      </c>
      <c r="B145" s="315">
        <f t="shared" ref="B145:G145" si="1">SUM(B143:B144)</f>
        <v>153641.25699999998</v>
      </c>
      <c r="C145" s="315">
        <f t="shared" si="1"/>
        <v>139806.96799999999</v>
      </c>
      <c r="D145" s="315">
        <f t="shared" si="1"/>
        <v>158199.486</v>
      </c>
      <c r="E145" s="315">
        <f t="shared" si="1"/>
        <v>143177.07381</v>
      </c>
      <c r="F145" s="315">
        <f t="shared" si="1"/>
        <v>229885.41503999999</v>
      </c>
      <c r="G145" s="315">
        <f t="shared" si="1"/>
        <v>239205.05799999999</v>
      </c>
      <c r="J145"/>
      <c r="L145"/>
      <c r="M145"/>
      <c r="N145"/>
      <c r="O145"/>
      <c r="P145"/>
      <c r="R145"/>
    </row>
    <row r="146" spans="1:18" x14ac:dyDescent="0.2">
      <c r="B146" s="315"/>
      <c r="C146" s="1636"/>
      <c r="D146" s="1636"/>
      <c r="E146" s="1636"/>
      <c r="F146" s="1636"/>
      <c r="G146" s="1636"/>
      <c r="H146" s="315"/>
      <c r="J146"/>
      <c r="L146"/>
      <c r="M146"/>
      <c r="N146"/>
      <c r="O146"/>
      <c r="P146"/>
      <c r="R146"/>
    </row>
    <row r="147" spans="1:18" x14ac:dyDescent="0.2">
      <c r="A147" t="s">
        <v>374</v>
      </c>
      <c r="B147" s="315">
        <v>66197.417000000001</v>
      </c>
      <c r="C147" s="1636">
        <v>67811.510999999999</v>
      </c>
      <c r="D147" s="1636">
        <v>84762.039000000004</v>
      </c>
      <c r="E147" s="1636">
        <v>93507.575017399999</v>
      </c>
      <c r="F147" s="1636">
        <v>119151.69</v>
      </c>
      <c r="G147" s="1636">
        <v>111476.565</v>
      </c>
      <c r="J147"/>
      <c r="L147"/>
      <c r="M147"/>
      <c r="N147"/>
      <c r="O147"/>
      <c r="P147"/>
      <c r="R147"/>
    </row>
    <row r="148" spans="1:18" x14ac:dyDescent="0.2">
      <c r="A148" t="s">
        <v>1095</v>
      </c>
      <c r="B148" s="315">
        <v>102889.48699999999</v>
      </c>
      <c r="C148" s="1636">
        <v>64060.544999999998</v>
      </c>
      <c r="D148" s="1636">
        <v>70979.205000000002</v>
      </c>
      <c r="E148" s="1636">
        <v>49669.498792600003</v>
      </c>
      <c r="F148" s="1636">
        <v>98072.527000000002</v>
      </c>
      <c r="G148" s="1636">
        <v>111574.898</v>
      </c>
      <c r="J148"/>
      <c r="L148"/>
      <c r="M148"/>
      <c r="N148"/>
      <c r="O148"/>
      <c r="P148"/>
      <c r="R148"/>
    </row>
    <row r="149" spans="1:18" x14ac:dyDescent="0.2">
      <c r="A149" t="s">
        <v>1096</v>
      </c>
      <c r="B149" s="315">
        <f t="shared" ref="B149:G149" si="2">SUM(B147:B148)</f>
        <v>169086.90399999998</v>
      </c>
      <c r="C149" s="1636">
        <f t="shared" si="2"/>
        <v>131872.05599999998</v>
      </c>
      <c r="D149" s="1636">
        <f t="shared" si="2"/>
        <v>155741.24400000001</v>
      </c>
      <c r="E149" s="1636">
        <f t="shared" si="2"/>
        <v>143177.07381</v>
      </c>
      <c r="F149" s="1636">
        <f t="shared" si="2"/>
        <v>217224.217</v>
      </c>
      <c r="G149" s="1636">
        <f t="shared" si="2"/>
        <v>223051.46299999999</v>
      </c>
      <c r="J149"/>
      <c r="L149"/>
      <c r="M149"/>
      <c r="N149"/>
      <c r="O149"/>
      <c r="P149"/>
      <c r="R149"/>
    </row>
    <row r="150" spans="1:18" x14ac:dyDescent="0.2">
      <c r="J150"/>
      <c r="L150"/>
      <c r="M150"/>
      <c r="N150"/>
      <c r="O150"/>
      <c r="P150"/>
      <c r="R150"/>
    </row>
    <row r="151" spans="1:18" x14ac:dyDescent="0.2">
      <c r="B151" s="446"/>
      <c r="D151"/>
      <c r="H151" s="446"/>
      <c r="J151"/>
      <c r="L151"/>
      <c r="O151"/>
      <c r="R151"/>
    </row>
    <row r="153" spans="1:18" x14ac:dyDescent="0.2">
      <c r="A153" s="886"/>
    </row>
    <row r="154" spans="1:18" x14ac:dyDescent="0.2">
      <c r="A154" s="886"/>
    </row>
    <row r="155" spans="1:18" x14ac:dyDescent="0.2">
      <c r="A155" s="886"/>
    </row>
    <row r="156" spans="1:18" x14ac:dyDescent="0.2">
      <c r="A156" s="886"/>
    </row>
    <row r="157" spans="1:18" x14ac:dyDescent="0.2">
      <c r="A157" s="886"/>
    </row>
    <row r="158" spans="1:18" x14ac:dyDescent="0.2">
      <c r="A158" s="886"/>
    </row>
    <row r="159" spans="1:18" x14ac:dyDescent="0.2">
      <c r="A159" s="886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topLeftCell="A142" workbookViewId="0">
      <selection activeCell="C16" sqref="C16"/>
    </sheetView>
  </sheetViews>
  <sheetFormatPr defaultRowHeight="12.75" outlineLevelRow="1" x14ac:dyDescent="0.2"/>
  <cols>
    <col min="1" max="2" width="9.7109375" style="1682" customWidth="1"/>
    <col min="3" max="3" width="63.7109375" style="1682" customWidth="1"/>
    <col min="4" max="4" width="11.28515625" style="1693" bestFit="1" customWidth="1"/>
    <col min="5" max="6" width="11.28515625" style="1693" customWidth="1"/>
    <col min="7" max="7" width="12" style="1700" customWidth="1"/>
    <col min="8" max="8" width="11.42578125" style="1741" bestFit="1" customWidth="1"/>
    <col min="9" max="9" width="9.140625" style="1741" customWidth="1"/>
    <col min="10" max="16384" width="9.140625" style="1682"/>
  </cols>
  <sheetData>
    <row r="1" spans="1:10" s="1683" customFormat="1" ht="16.5" customHeight="1" x14ac:dyDescent="0.4">
      <c r="A1" s="1720"/>
      <c r="B1" s="1720"/>
      <c r="C1" s="1721"/>
      <c r="G1" s="1718"/>
      <c r="H1" s="1829"/>
      <c r="I1" s="1829"/>
    </row>
    <row r="2" spans="1:10" s="1683" customFormat="1" ht="24" customHeight="1" x14ac:dyDescent="0.4">
      <c r="A2" s="3" t="s">
        <v>1368</v>
      </c>
      <c r="B2" s="3"/>
      <c r="C2" s="41"/>
      <c r="D2" s="1"/>
      <c r="E2" s="1"/>
      <c r="F2" s="1"/>
      <c r="G2" s="8"/>
      <c r="H2" s="1829"/>
      <c r="I2" s="1829"/>
    </row>
    <row r="3" spans="1:10" s="1719" customFormat="1" ht="15" customHeight="1" x14ac:dyDescent="0.2">
      <c r="A3" s="42"/>
      <c r="B3" s="42"/>
      <c r="C3" s="43"/>
      <c r="D3" s="43"/>
      <c r="E3" s="43"/>
      <c r="F3" s="43"/>
      <c r="G3" s="145"/>
      <c r="H3" s="1830"/>
      <c r="I3" s="1830"/>
    </row>
    <row r="4" spans="1:10" s="1719" customFormat="1" ht="20.25" customHeight="1" x14ac:dyDescent="0.3">
      <c r="A4" s="1968" t="s">
        <v>900</v>
      </c>
      <c r="B4" s="1968"/>
      <c r="C4" s="1969"/>
      <c r="D4" s="43"/>
      <c r="E4" s="43"/>
      <c r="F4" s="43"/>
      <c r="G4" s="145"/>
      <c r="H4" s="1830"/>
      <c r="I4" s="1830"/>
    </row>
    <row r="5" spans="1:10" ht="13.5" thickBot="1" x14ac:dyDescent="0.25">
      <c r="A5" s="9"/>
      <c r="B5" s="9"/>
      <c r="C5" s="9"/>
      <c r="D5" s="13"/>
      <c r="E5" s="13"/>
      <c r="F5" s="36"/>
      <c r="G5" s="207"/>
    </row>
    <row r="6" spans="1:10" ht="19.5" customHeight="1" thickBot="1" x14ac:dyDescent="0.3">
      <c r="A6" s="432" t="s">
        <v>1</v>
      </c>
      <c r="B6" s="118" t="s">
        <v>125</v>
      </c>
      <c r="C6" s="44" t="s">
        <v>8</v>
      </c>
      <c r="D6" s="45" t="s">
        <v>1378</v>
      </c>
      <c r="E6" s="45" t="s">
        <v>637</v>
      </c>
      <c r="F6" s="45" t="s">
        <v>637</v>
      </c>
      <c r="G6" s="465" t="s">
        <v>7</v>
      </c>
    </row>
    <row r="7" spans="1:10" ht="15.75" customHeight="1" outlineLevel="1" x14ac:dyDescent="0.2">
      <c r="A7" s="225">
        <v>6409</v>
      </c>
      <c r="B7" s="46">
        <v>5169</v>
      </c>
      <c r="C7" s="47" t="s">
        <v>920</v>
      </c>
      <c r="D7" s="472">
        <v>50000</v>
      </c>
      <c r="E7" s="472">
        <v>50000</v>
      </c>
      <c r="F7" s="472">
        <f>'[4]Všeob. pokladna'!$B$5</f>
        <v>50000</v>
      </c>
      <c r="G7" s="474">
        <f>+F7-E7</f>
        <v>0</v>
      </c>
    </row>
    <row r="8" spans="1:10" ht="15.75" customHeight="1" outlineLevel="1" x14ac:dyDescent="0.2">
      <c r="A8" s="226">
        <v>6409</v>
      </c>
      <c r="B8" s="280">
        <v>5169</v>
      </c>
      <c r="C8" s="179" t="s">
        <v>1303</v>
      </c>
      <c r="D8" s="477"/>
      <c r="E8" s="477"/>
      <c r="F8" s="477"/>
      <c r="G8" s="475">
        <f t="shared" ref="G8:G71" si="0">+F8-E8</f>
        <v>0</v>
      </c>
    </row>
    <row r="9" spans="1:10" s="1702" customFormat="1" ht="16.5" customHeight="1" thickBot="1" x14ac:dyDescent="0.25">
      <c r="A9" s="223"/>
      <c r="B9" s="182"/>
      <c r="C9" s="183" t="s">
        <v>901</v>
      </c>
      <c r="D9" s="184">
        <v>50000</v>
      </c>
      <c r="E9" s="184">
        <v>50000</v>
      </c>
      <c r="F9" s="184">
        <f>SUM(F7:F8)</f>
        <v>50000</v>
      </c>
      <c r="G9" s="468">
        <f t="shared" si="0"/>
        <v>0</v>
      </c>
      <c r="H9" s="1831">
        <f>'Sumář  výdaje kapitol'!L34</f>
        <v>50000</v>
      </c>
      <c r="I9" s="1831">
        <f>+H9-F9</f>
        <v>0</v>
      </c>
      <c r="J9" s="1692"/>
    </row>
    <row r="10" spans="1:10" ht="15.75" customHeight="1" outlineLevel="1" x14ac:dyDescent="0.2">
      <c r="A10" s="225">
        <v>6112</v>
      </c>
      <c r="B10" s="46">
        <v>5169</v>
      </c>
      <c r="C10" s="47" t="s">
        <v>909</v>
      </c>
      <c r="D10" s="472">
        <v>30000</v>
      </c>
      <c r="E10" s="472">
        <v>30000</v>
      </c>
      <c r="F10" s="472">
        <f>[3]Zastupitelé!$B$52</f>
        <v>30000</v>
      </c>
      <c r="G10" s="474">
        <f t="shared" si="0"/>
        <v>0</v>
      </c>
    </row>
    <row r="11" spans="1:10" ht="15.75" customHeight="1" outlineLevel="1" x14ac:dyDescent="0.2">
      <c r="A11" s="226">
        <v>6112</v>
      </c>
      <c r="B11" s="280">
        <v>5169</v>
      </c>
      <c r="C11" s="179"/>
      <c r="D11" s="477"/>
      <c r="E11" s="477"/>
      <c r="F11" s="477"/>
      <c r="G11" s="475">
        <f t="shared" si="0"/>
        <v>0</v>
      </c>
    </row>
    <row r="12" spans="1:10" s="1702" customFormat="1" ht="16.5" customHeight="1" thickBot="1" x14ac:dyDescent="0.25">
      <c r="A12" s="223"/>
      <c r="B12" s="182"/>
      <c r="C12" s="183" t="s">
        <v>902</v>
      </c>
      <c r="D12" s="184">
        <v>30000</v>
      </c>
      <c r="E12" s="184">
        <v>30000</v>
      </c>
      <c r="F12" s="184">
        <f>SUM(F10:F11)</f>
        <v>30000</v>
      </c>
      <c r="G12" s="468">
        <f t="shared" si="0"/>
        <v>0</v>
      </c>
      <c r="H12" s="1831">
        <f>'Sumář  výdaje kapitol'!M34</f>
        <v>30000</v>
      </c>
      <c r="I12" s="1831">
        <f>+H12-F12</f>
        <v>0</v>
      </c>
      <c r="J12" s="1692"/>
    </row>
    <row r="13" spans="1:10" ht="15.75" customHeight="1" outlineLevel="1" x14ac:dyDescent="0.2">
      <c r="A13" s="225">
        <v>6171</v>
      </c>
      <c r="B13" s="46">
        <v>5169</v>
      </c>
      <c r="C13" s="47" t="s">
        <v>910</v>
      </c>
      <c r="D13" s="472">
        <v>150000</v>
      </c>
      <c r="E13" s="472">
        <v>150000</v>
      </c>
      <c r="F13" s="472">
        <f>[3]Správa!$B$83</f>
        <v>150000</v>
      </c>
      <c r="G13" s="474">
        <f t="shared" si="0"/>
        <v>0</v>
      </c>
    </row>
    <row r="14" spans="1:10" ht="15.75" customHeight="1" outlineLevel="1" x14ac:dyDescent="0.2">
      <c r="A14" s="226">
        <v>6171</v>
      </c>
      <c r="B14" s="280">
        <v>5169</v>
      </c>
      <c r="C14" s="179" t="s">
        <v>1433</v>
      </c>
      <c r="D14" s="477">
        <v>200000</v>
      </c>
      <c r="E14" s="477">
        <v>200000</v>
      </c>
      <c r="F14" s="477">
        <f>[3]Správa!$B$84</f>
        <v>200000</v>
      </c>
      <c r="G14" s="475">
        <f t="shared" si="0"/>
        <v>0</v>
      </c>
    </row>
    <row r="15" spans="1:10" ht="15.75" customHeight="1" outlineLevel="1" x14ac:dyDescent="0.2">
      <c r="A15" s="226">
        <v>6171</v>
      </c>
      <c r="B15" s="280">
        <v>5169</v>
      </c>
      <c r="C15" s="179" t="s">
        <v>880</v>
      </c>
      <c r="D15" s="477">
        <v>560000</v>
      </c>
      <c r="E15" s="477">
        <v>560000</v>
      </c>
      <c r="F15" s="477">
        <f>[3]Správa!$B$85</f>
        <v>560000</v>
      </c>
      <c r="G15" s="475">
        <f t="shared" si="0"/>
        <v>0</v>
      </c>
    </row>
    <row r="16" spans="1:10" s="1702" customFormat="1" ht="16.5" customHeight="1" thickBot="1" x14ac:dyDescent="0.25">
      <c r="A16" s="223"/>
      <c r="B16" s="182"/>
      <c r="C16" s="183" t="s">
        <v>325</v>
      </c>
      <c r="D16" s="184">
        <v>910000</v>
      </c>
      <c r="E16" s="184">
        <v>910000</v>
      </c>
      <c r="F16" s="184">
        <f>SUM(F13:F15)</f>
        <v>910000</v>
      </c>
      <c r="G16" s="468">
        <f t="shared" si="0"/>
        <v>0</v>
      </c>
      <c r="H16" s="1831">
        <f>'Sumář  výdaje kapitol'!N34</f>
        <v>910000</v>
      </c>
      <c r="I16" s="1831">
        <f>+H16-F16</f>
        <v>0</v>
      </c>
      <c r="J16" s="1692"/>
    </row>
    <row r="17" spans="1:10" ht="15.75" customHeight="1" outlineLevel="1" x14ac:dyDescent="0.2">
      <c r="A17" s="225">
        <v>4351</v>
      </c>
      <c r="B17" s="46">
        <v>5169</v>
      </c>
      <c r="C17" s="47" t="s">
        <v>1353</v>
      </c>
      <c r="D17" s="472">
        <v>20000</v>
      </c>
      <c r="E17" s="472">
        <v>20000</v>
      </c>
      <c r="F17" s="472">
        <f>'[3]Pečovatelská služba'!$B$53</f>
        <v>20000</v>
      </c>
      <c r="G17" s="474">
        <f t="shared" si="0"/>
        <v>0</v>
      </c>
      <c r="I17" s="1831"/>
      <c r="J17" s="1692"/>
    </row>
    <row r="18" spans="1:10" ht="15.75" customHeight="1" outlineLevel="1" x14ac:dyDescent="0.2">
      <c r="A18" s="226">
        <v>4351</v>
      </c>
      <c r="B18" s="280">
        <v>5169</v>
      </c>
      <c r="C18" s="179"/>
      <c r="D18" s="180"/>
      <c r="E18" s="180"/>
      <c r="F18" s="180"/>
      <c r="G18" s="466">
        <f t="shared" si="0"/>
        <v>0</v>
      </c>
      <c r="I18" s="1831"/>
      <c r="J18" s="1692"/>
    </row>
    <row r="19" spans="1:10" s="1702" customFormat="1" ht="16.5" customHeight="1" thickBot="1" x14ac:dyDescent="0.25">
      <c r="A19" s="223"/>
      <c r="B19" s="182"/>
      <c r="C19" s="183" t="s">
        <v>326</v>
      </c>
      <c r="D19" s="184">
        <v>20000</v>
      </c>
      <c r="E19" s="184">
        <v>20000</v>
      </c>
      <c r="F19" s="184">
        <f>SUM(F17:F18)</f>
        <v>20000</v>
      </c>
      <c r="G19" s="468">
        <f t="shared" si="0"/>
        <v>0</v>
      </c>
      <c r="H19" s="1831">
        <f>'Sumář  výdaje kapitol'!R34</f>
        <v>20000</v>
      </c>
      <c r="I19" s="1831">
        <f>+H19-F19</f>
        <v>0</v>
      </c>
      <c r="J19" s="1692"/>
    </row>
    <row r="20" spans="1:10" ht="15.75" customHeight="1" outlineLevel="1" x14ac:dyDescent="0.2">
      <c r="A20" s="225">
        <v>5311</v>
      </c>
      <c r="B20" s="46">
        <v>5169</v>
      </c>
      <c r="C20" s="47"/>
      <c r="D20" s="472">
        <v>200000</v>
      </c>
      <c r="E20" s="472">
        <v>200000</v>
      </c>
      <c r="F20" s="472">
        <f>'[3]Agentura SCSA'!$B$5</f>
        <v>200000</v>
      </c>
      <c r="G20" s="474">
        <f t="shared" si="0"/>
        <v>0</v>
      </c>
      <c r="I20" s="1831"/>
      <c r="J20" s="1692"/>
    </row>
    <row r="21" spans="1:10" ht="15.75" customHeight="1" outlineLevel="1" x14ac:dyDescent="0.2">
      <c r="A21" s="226">
        <v>5311</v>
      </c>
      <c r="B21" s="280">
        <v>5169</v>
      </c>
      <c r="C21" s="179"/>
      <c r="D21" s="180"/>
      <c r="E21" s="180"/>
      <c r="F21" s="180"/>
      <c r="G21" s="466">
        <f t="shared" si="0"/>
        <v>0</v>
      </c>
      <c r="I21" s="1831"/>
      <c r="J21" s="1692"/>
    </row>
    <row r="22" spans="1:10" s="1702" customFormat="1" ht="16.5" customHeight="1" thickBot="1" x14ac:dyDescent="0.25">
      <c r="A22" s="223"/>
      <c r="B22" s="182"/>
      <c r="C22" s="183" t="s">
        <v>210</v>
      </c>
      <c r="D22" s="184">
        <v>200000</v>
      </c>
      <c r="E22" s="184">
        <v>200000</v>
      </c>
      <c r="F22" s="184">
        <f>SUM(F20:F21)</f>
        <v>200000</v>
      </c>
      <c r="G22" s="468">
        <f t="shared" si="0"/>
        <v>0</v>
      </c>
      <c r="H22" s="1831">
        <f>'Sumář  výdaje kapitol'!S34</f>
        <v>200000</v>
      </c>
      <c r="I22" s="1831">
        <f>+H22-F22</f>
        <v>0</v>
      </c>
      <c r="J22" s="1692"/>
    </row>
    <row r="23" spans="1:10" ht="15.75" customHeight="1" outlineLevel="1" x14ac:dyDescent="0.2">
      <c r="A23" s="225" t="s">
        <v>308</v>
      </c>
      <c r="B23" s="46">
        <v>5169</v>
      </c>
      <c r="C23" s="47" t="s">
        <v>911</v>
      </c>
      <c r="D23" s="472">
        <v>25000</v>
      </c>
      <c r="E23" s="472">
        <v>25000</v>
      </c>
      <c r="F23" s="472">
        <f>'[3]Městská policie'!$B$99</f>
        <v>25000</v>
      </c>
      <c r="G23" s="474">
        <f t="shared" si="0"/>
        <v>0</v>
      </c>
      <c r="I23" s="1831"/>
      <c r="J23" s="1692"/>
    </row>
    <row r="24" spans="1:10" ht="15.75" customHeight="1" outlineLevel="1" x14ac:dyDescent="0.2">
      <c r="A24" s="226" t="s">
        <v>308</v>
      </c>
      <c r="B24" s="280">
        <v>5169</v>
      </c>
      <c r="C24" s="179" t="s">
        <v>1519</v>
      </c>
      <c r="D24" s="180">
        <v>10000</v>
      </c>
      <c r="E24" s="180">
        <v>10000</v>
      </c>
      <c r="F24" s="180">
        <f>'[3]Městská policie'!$B$100</f>
        <v>10000</v>
      </c>
      <c r="G24" s="466">
        <f t="shared" si="0"/>
        <v>0</v>
      </c>
      <c r="I24" s="1831"/>
      <c r="J24" s="1692"/>
    </row>
    <row r="25" spans="1:10" s="1702" customFormat="1" ht="16.5" customHeight="1" thickBot="1" x14ac:dyDescent="0.25">
      <c r="A25" s="223"/>
      <c r="B25" s="182"/>
      <c r="C25" s="183" t="s">
        <v>418</v>
      </c>
      <c r="D25" s="184">
        <v>35000</v>
      </c>
      <c r="E25" s="184">
        <v>35000</v>
      </c>
      <c r="F25" s="184">
        <f>SUM(F23:F24)</f>
        <v>35000</v>
      </c>
      <c r="G25" s="468">
        <f t="shared" si="0"/>
        <v>0</v>
      </c>
      <c r="H25" s="1831">
        <f>'Sumář  výdaje kapitol'!T34</f>
        <v>35000</v>
      </c>
      <c r="I25" s="1831">
        <f>+H25-F25</f>
        <v>0</v>
      </c>
      <c r="J25" s="1692"/>
    </row>
    <row r="26" spans="1:10" ht="15.75" customHeight="1" outlineLevel="1" x14ac:dyDescent="0.2">
      <c r="A26" s="225">
        <v>3319</v>
      </c>
      <c r="B26" s="46">
        <v>5169</v>
      </c>
      <c r="C26" s="47" t="s">
        <v>912</v>
      </c>
      <c r="D26" s="472">
        <v>50000</v>
      </c>
      <c r="E26" s="472">
        <v>50000</v>
      </c>
      <c r="F26" s="472">
        <f>[3]Kronika!$B$19</f>
        <v>50000</v>
      </c>
      <c r="G26" s="474">
        <f t="shared" si="0"/>
        <v>0</v>
      </c>
      <c r="I26" s="1831"/>
      <c r="J26" s="1692"/>
    </row>
    <row r="27" spans="1:10" ht="15.75" customHeight="1" outlineLevel="1" x14ac:dyDescent="0.2">
      <c r="A27" s="226">
        <v>3319</v>
      </c>
      <c r="B27" s="280">
        <v>5169</v>
      </c>
      <c r="C27" s="179" t="s">
        <v>913</v>
      </c>
      <c r="D27" s="180">
        <v>50000</v>
      </c>
      <c r="E27" s="180">
        <v>50000</v>
      </c>
      <c r="F27" s="180">
        <f>[3]Kronika!$B$20</f>
        <v>50000</v>
      </c>
      <c r="G27" s="466">
        <f t="shared" si="0"/>
        <v>0</v>
      </c>
      <c r="I27" s="1831"/>
      <c r="J27" s="1692"/>
    </row>
    <row r="28" spans="1:10" s="1702" customFormat="1" ht="16.5" customHeight="1" thickBot="1" x14ac:dyDescent="0.25">
      <c r="A28" s="223"/>
      <c r="B28" s="182"/>
      <c r="C28" s="183" t="s">
        <v>903</v>
      </c>
      <c r="D28" s="184">
        <v>100000</v>
      </c>
      <c r="E28" s="184">
        <v>100000</v>
      </c>
      <c r="F28" s="184">
        <f>SUM(F26:F27)</f>
        <v>100000</v>
      </c>
      <c r="G28" s="468">
        <f t="shared" si="0"/>
        <v>0</v>
      </c>
      <c r="H28" s="1831">
        <f>'Sumář  výdaje kapitol'!U34</f>
        <v>100000</v>
      </c>
      <c r="I28" s="1831">
        <f>+H28-F28</f>
        <v>0</v>
      </c>
      <c r="J28" s="1692"/>
    </row>
    <row r="29" spans="1:10" ht="15.75" customHeight="1" outlineLevel="1" x14ac:dyDescent="0.2">
      <c r="A29" s="225">
        <v>3314</v>
      </c>
      <c r="B29" s="46">
        <v>5169</v>
      </c>
      <c r="C29" s="47"/>
      <c r="D29" s="472">
        <v>15000</v>
      </c>
      <c r="E29" s="472">
        <v>15000</v>
      </c>
      <c r="F29" s="472">
        <f>[3]Knihovna!$B$61</f>
        <v>15000</v>
      </c>
      <c r="G29" s="474">
        <f t="shared" si="0"/>
        <v>0</v>
      </c>
      <c r="I29" s="1831"/>
      <c r="J29" s="1692"/>
    </row>
    <row r="30" spans="1:10" ht="15.75" customHeight="1" outlineLevel="1" x14ac:dyDescent="0.2">
      <c r="A30" s="226">
        <v>3314</v>
      </c>
      <c r="B30" s="280">
        <v>5169</v>
      </c>
      <c r="C30" s="179"/>
      <c r="D30" s="180"/>
      <c r="E30" s="180"/>
      <c r="F30" s="180"/>
      <c r="G30" s="466">
        <f t="shared" si="0"/>
        <v>0</v>
      </c>
      <c r="I30" s="1831"/>
      <c r="J30" s="1692"/>
    </row>
    <row r="31" spans="1:10" s="1702" customFormat="1" ht="16.5" customHeight="1" thickBot="1" x14ac:dyDescent="0.25">
      <c r="A31" s="223"/>
      <c r="B31" s="182"/>
      <c r="C31" s="183" t="s">
        <v>294</v>
      </c>
      <c r="D31" s="184">
        <v>15000</v>
      </c>
      <c r="E31" s="184">
        <v>15000</v>
      </c>
      <c r="F31" s="184">
        <f>SUM(F29:F30)</f>
        <v>15000</v>
      </c>
      <c r="G31" s="468">
        <f t="shared" si="0"/>
        <v>0</v>
      </c>
      <c r="H31" s="1831">
        <f>'Sumář  výdaje kapitol'!V34</f>
        <v>15000</v>
      </c>
      <c r="I31" s="1831">
        <f>+H31-F31</f>
        <v>0</v>
      </c>
      <c r="J31" s="1692"/>
    </row>
    <row r="32" spans="1:10" ht="15.75" customHeight="1" outlineLevel="1" x14ac:dyDescent="0.2">
      <c r="A32" s="225">
        <v>3349</v>
      </c>
      <c r="B32" s="46">
        <v>5169</v>
      </c>
      <c r="C32" s="47" t="s">
        <v>914</v>
      </c>
      <c r="D32" s="472">
        <v>450000</v>
      </c>
      <c r="E32" s="472">
        <v>450000</v>
      </c>
      <c r="F32" s="472">
        <f>'[3]Život Úval'!$B$12</f>
        <v>450000</v>
      </c>
      <c r="G32" s="474">
        <f t="shared" si="0"/>
        <v>0</v>
      </c>
      <c r="I32" s="1831"/>
      <c r="J32" s="1692"/>
    </row>
    <row r="33" spans="1:10" s="1702" customFormat="1" ht="16.5" customHeight="1" thickBot="1" x14ac:dyDescent="0.25">
      <c r="A33" s="223"/>
      <c r="B33" s="182"/>
      <c r="C33" s="183" t="s">
        <v>214</v>
      </c>
      <c r="D33" s="184">
        <v>450000</v>
      </c>
      <c r="E33" s="184">
        <v>450000</v>
      </c>
      <c r="F33" s="184">
        <f>SUM(F32)</f>
        <v>450000</v>
      </c>
      <c r="G33" s="468">
        <f t="shared" si="0"/>
        <v>0</v>
      </c>
      <c r="H33" s="1831">
        <f>'Sumář  výdaje kapitol'!W34</f>
        <v>450000</v>
      </c>
      <c r="I33" s="1831">
        <f>+H33-F33</f>
        <v>0</v>
      </c>
      <c r="J33" s="1692"/>
    </row>
    <row r="34" spans="1:10" ht="15.75" customHeight="1" outlineLevel="1" x14ac:dyDescent="0.2">
      <c r="A34" s="225">
        <v>3359</v>
      </c>
      <c r="B34" s="46">
        <v>5169</v>
      </c>
      <c r="C34" s="47" t="s">
        <v>915</v>
      </c>
      <c r="D34" s="472">
        <v>250000</v>
      </c>
      <c r="E34" s="472">
        <v>250000</v>
      </c>
      <c r="F34" s="472">
        <f>[3]Kultura!$B$29</f>
        <v>250000</v>
      </c>
      <c r="G34" s="474">
        <f t="shared" si="0"/>
        <v>0</v>
      </c>
      <c r="I34" s="1831"/>
      <c r="J34" s="1692"/>
    </row>
    <row r="35" spans="1:10" ht="15.75" customHeight="1" outlineLevel="1" x14ac:dyDescent="0.2">
      <c r="A35" s="226">
        <v>3359</v>
      </c>
      <c r="B35" s="280">
        <v>5169</v>
      </c>
      <c r="C35" s="179" t="s">
        <v>916</v>
      </c>
      <c r="D35" s="477">
        <v>150000</v>
      </c>
      <c r="E35" s="477">
        <v>150000</v>
      </c>
      <c r="F35" s="477">
        <f>[3]Kultura!$B$30</f>
        <v>150000</v>
      </c>
      <c r="G35" s="475">
        <f t="shared" si="0"/>
        <v>0</v>
      </c>
      <c r="I35" s="1831"/>
      <c r="J35" s="1692"/>
    </row>
    <row r="36" spans="1:10" ht="15.75" customHeight="1" outlineLevel="1" x14ac:dyDescent="0.2">
      <c r="A36" s="226">
        <v>3359</v>
      </c>
      <c r="B36" s="280">
        <v>5169</v>
      </c>
      <c r="C36" s="179" t="s">
        <v>1434</v>
      </c>
      <c r="D36" s="477">
        <v>200000</v>
      </c>
      <c r="E36" s="477">
        <v>200000</v>
      </c>
      <c r="F36" s="477">
        <f>[3]Kultura!$B$33</f>
        <v>200000</v>
      </c>
      <c r="G36" s="475">
        <f t="shared" si="0"/>
        <v>0</v>
      </c>
      <c r="I36" s="1831"/>
      <c r="J36" s="1692"/>
    </row>
    <row r="37" spans="1:10" ht="18" customHeight="1" outlineLevel="1" x14ac:dyDescent="0.2">
      <c r="A37" s="227">
        <v>3359</v>
      </c>
      <c r="B37" s="48">
        <v>5169</v>
      </c>
      <c r="C37" s="49" t="s">
        <v>917</v>
      </c>
      <c r="D37" s="478">
        <v>100000</v>
      </c>
      <c r="E37" s="478">
        <v>100000</v>
      </c>
      <c r="F37" s="478">
        <f>[3]Kultura!$B$32</f>
        <v>100000</v>
      </c>
      <c r="G37" s="476">
        <f t="shared" si="0"/>
        <v>0</v>
      </c>
      <c r="I37" s="1831"/>
      <c r="J37" s="1692"/>
    </row>
    <row r="38" spans="1:10" ht="16.5" customHeight="1" outlineLevel="1" x14ac:dyDescent="0.2">
      <c r="A38" s="227">
        <v>3359</v>
      </c>
      <c r="B38" s="48">
        <v>5169</v>
      </c>
      <c r="C38" s="49" t="s">
        <v>918</v>
      </c>
      <c r="D38" s="478">
        <v>30000</v>
      </c>
      <c r="E38" s="478">
        <v>30000</v>
      </c>
      <c r="F38" s="478">
        <f>[3]Kultura!$B$31</f>
        <v>30000</v>
      </c>
      <c r="G38" s="476">
        <f t="shared" si="0"/>
        <v>0</v>
      </c>
      <c r="I38" s="1831"/>
      <c r="J38" s="1692"/>
    </row>
    <row r="39" spans="1:10" s="1702" customFormat="1" ht="16.5" customHeight="1" thickBot="1" x14ac:dyDescent="0.25">
      <c r="A39" s="223"/>
      <c r="B39" s="182"/>
      <c r="C39" s="183" t="s">
        <v>904</v>
      </c>
      <c r="D39" s="184">
        <v>730000</v>
      </c>
      <c r="E39" s="184">
        <v>730000</v>
      </c>
      <c r="F39" s="184">
        <f>SUM(F34:F38)</f>
        <v>730000</v>
      </c>
      <c r="G39" s="468">
        <f t="shared" si="0"/>
        <v>0</v>
      </c>
      <c r="H39" s="1831">
        <f>'Sumář  výdaje kapitol'!X34</f>
        <v>730000</v>
      </c>
      <c r="I39" s="1831">
        <f>+H39-F39</f>
        <v>0</v>
      </c>
      <c r="J39" s="1692"/>
    </row>
    <row r="40" spans="1:10" ht="15.75" customHeight="1" outlineLevel="1" x14ac:dyDescent="0.2">
      <c r="A40" s="225">
        <v>3612</v>
      </c>
      <c r="B40" s="46">
        <v>5169</v>
      </c>
      <c r="C40" s="47" t="s">
        <v>921</v>
      </c>
      <c r="D40" s="472">
        <v>250000</v>
      </c>
      <c r="E40" s="472">
        <v>250000</v>
      </c>
      <c r="F40" s="472">
        <f>[4]Byty!$B$5</f>
        <v>250000</v>
      </c>
      <c r="G40" s="474">
        <f t="shared" si="0"/>
        <v>0</v>
      </c>
      <c r="I40" s="1831"/>
      <c r="J40" s="1692"/>
    </row>
    <row r="41" spans="1:10" ht="15.75" customHeight="1" outlineLevel="1" x14ac:dyDescent="0.2">
      <c r="A41" s="226">
        <v>3612</v>
      </c>
      <c r="B41" s="280">
        <v>5169</v>
      </c>
      <c r="C41" s="179" t="s">
        <v>922</v>
      </c>
      <c r="D41" s="477">
        <v>210000</v>
      </c>
      <c r="E41" s="477">
        <v>210000</v>
      </c>
      <c r="F41" s="477">
        <f>[4]Byty!$B$6</f>
        <v>210000</v>
      </c>
      <c r="G41" s="475">
        <f t="shared" si="0"/>
        <v>0</v>
      </c>
      <c r="I41" s="1831"/>
      <c r="J41" s="1692"/>
    </row>
    <row r="42" spans="1:10" s="1702" customFormat="1" ht="16.5" customHeight="1" thickBot="1" x14ac:dyDescent="0.25">
      <c r="A42" s="223"/>
      <c r="B42" s="182"/>
      <c r="C42" s="183" t="s">
        <v>312</v>
      </c>
      <c r="D42" s="184">
        <v>460000</v>
      </c>
      <c r="E42" s="184">
        <v>460000</v>
      </c>
      <c r="F42" s="184">
        <f>SUM(F40:F41)</f>
        <v>460000</v>
      </c>
      <c r="G42" s="468">
        <f t="shared" si="0"/>
        <v>0</v>
      </c>
      <c r="H42" s="1831">
        <f>'Sumář  výdaje kapitol'!Y34</f>
        <v>460000</v>
      </c>
      <c r="I42" s="1831">
        <f>+H42-F42</f>
        <v>0</v>
      </c>
      <c r="J42" s="1692"/>
    </row>
    <row r="43" spans="1:10" ht="16.5" customHeight="1" outlineLevel="1" x14ac:dyDescent="0.2">
      <c r="A43" s="227" t="s">
        <v>310</v>
      </c>
      <c r="B43" s="48">
        <v>5169</v>
      </c>
      <c r="C43" s="49" t="s">
        <v>925</v>
      </c>
      <c r="D43" s="478">
        <v>120000</v>
      </c>
      <c r="E43" s="478">
        <v>120000</v>
      </c>
      <c r="F43" s="478">
        <f>[4]DPS!$B$19</f>
        <v>120000</v>
      </c>
      <c r="G43" s="476">
        <f t="shared" si="0"/>
        <v>0</v>
      </c>
      <c r="I43" s="1831"/>
      <c r="J43" s="1692"/>
    </row>
    <row r="44" spans="1:10" ht="16.5" customHeight="1" outlineLevel="1" x14ac:dyDescent="0.2">
      <c r="A44" s="227" t="s">
        <v>310</v>
      </c>
      <c r="B44" s="48">
        <v>5169</v>
      </c>
      <c r="C44" s="49" t="s">
        <v>926</v>
      </c>
      <c r="D44" s="478">
        <v>30000</v>
      </c>
      <c r="E44" s="478">
        <v>30000</v>
      </c>
      <c r="F44" s="478">
        <f>[4]DPS!$B$20</f>
        <v>30000</v>
      </c>
      <c r="G44" s="476">
        <f t="shared" si="0"/>
        <v>0</v>
      </c>
      <c r="I44" s="1831"/>
      <c r="J44" s="1692"/>
    </row>
    <row r="45" spans="1:10" ht="16.5" customHeight="1" thickBot="1" x14ac:dyDescent="0.25">
      <c r="A45" s="228"/>
      <c r="B45" s="185"/>
      <c r="C45" s="183" t="s">
        <v>313</v>
      </c>
      <c r="D45" s="184">
        <v>150000</v>
      </c>
      <c r="E45" s="184">
        <v>150000</v>
      </c>
      <c r="F45" s="184">
        <f>SUM(F43:F44)</f>
        <v>150000</v>
      </c>
      <c r="G45" s="468">
        <f t="shared" si="0"/>
        <v>0</v>
      </c>
      <c r="H45" s="1740">
        <f>'Sumář  výdaje kapitol'!AB34</f>
        <v>150000</v>
      </c>
      <c r="I45" s="1831">
        <f>+H45-F45</f>
        <v>0</v>
      </c>
      <c r="J45" s="1692"/>
    </row>
    <row r="46" spans="1:10" ht="16.5" customHeight="1" outlineLevel="1" x14ac:dyDescent="0.2">
      <c r="A46" s="226">
        <v>3613</v>
      </c>
      <c r="B46" s="280">
        <v>5169</v>
      </c>
      <c r="C46" s="179" t="s">
        <v>923</v>
      </c>
      <c r="D46" s="477">
        <v>220000</v>
      </c>
      <c r="E46" s="477">
        <v>220000</v>
      </c>
      <c r="F46" s="477">
        <f>[4]Nebyty!$B$5</f>
        <v>220000</v>
      </c>
      <c r="G46" s="466">
        <f t="shared" si="0"/>
        <v>0</v>
      </c>
      <c r="I46" s="1831"/>
      <c r="J46" s="1692"/>
    </row>
    <row r="47" spans="1:10" ht="16.5" customHeight="1" outlineLevel="1" x14ac:dyDescent="0.2">
      <c r="A47" s="227">
        <v>3613</v>
      </c>
      <c r="B47" s="48">
        <v>5169</v>
      </c>
      <c r="C47" s="49" t="s">
        <v>924</v>
      </c>
      <c r="D47" s="478">
        <v>20000</v>
      </c>
      <c r="E47" s="478">
        <v>20000</v>
      </c>
      <c r="F47" s="478">
        <f>[4]Nebyty!$B$6</f>
        <v>20000</v>
      </c>
      <c r="G47" s="467">
        <f t="shared" si="0"/>
        <v>0</v>
      </c>
      <c r="I47" s="1831"/>
      <c r="J47" s="1692"/>
    </row>
    <row r="48" spans="1:10" ht="16.5" customHeight="1" thickBot="1" x14ac:dyDescent="0.25">
      <c r="A48" s="228"/>
      <c r="B48" s="185"/>
      <c r="C48" s="183" t="s">
        <v>314</v>
      </c>
      <c r="D48" s="184">
        <v>240000</v>
      </c>
      <c r="E48" s="184">
        <v>240000</v>
      </c>
      <c r="F48" s="184">
        <f>SUM(F46:F47)</f>
        <v>240000</v>
      </c>
      <c r="G48" s="468">
        <f t="shared" si="0"/>
        <v>0</v>
      </c>
      <c r="H48" s="1740">
        <f>'Sumář  výdaje kapitol'!AE34</f>
        <v>240000</v>
      </c>
      <c r="I48" s="1831">
        <f>+H48-F48</f>
        <v>0</v>
      </c>
      <c r="J48" s="1692"/>
    </row>
    <row r="49" spans="1:10" ht="20.25" customHeight="1" outlineLevel="1" x14ac:dyDescent="0.2">
      <c r="A49" s="226">
        <v>5512</v>
      </c>
      <c r="B49" s="280">
        <v>5169</v>
      </c>
      <c r="C49" s="179" t="s">
        <v>927</v>
      </c>
      <c r="D49" s="477">
        <v>50000</v>
      </c>
      <c r="E49" s="477">
        <v>50000</v>
      </c>
      <c r="F49" s="477">
        <f>[3]Hasiči!$B$76</f>
        <v>50000</v>
      </c>
      <c r="G49" s="466">
        <f t="shared" si="0"/>
        <v>0</v>
      </c>
      <c r="I49" s="1831"/>
      <c r="J49" s="1692"/>
    </row>
    <row r="50" spans="1:10" ht="20.25" customHeight="1" outlineLevel="1" x14ac:dyDescent="0.2">
      <c r="A50" s="227">
        <v>5512</v>
      </c>
      <c r="B50" s="48">
        <v>5169</v>
      </c>
      <c r="C50" s="179" t="s">
        <v>927</v>
      </c>
      <c r="D50" s="478">
        <v>20000</v>
      </c>
      <c r="E50" s="478">
        <v>20000</v>
      </c>
      <c r="F50" s="478">
        <f>[4]Hasiči!$B$5</f>
        <v>20000</v>
      </c>
      <c r="G50" s="467">
        <f t="shared" si="0"/>
        <v>0</v>
      </c>
      <c r="I50" s="1831"/>
      <c r="J50" s="1692"/>
    </row>
    <row r="51" spans="1:10" ht="20.25" customHeight="1" thickBot="1" x14ac:dyDescent="0.25">
      <c r="A51" s="228"/>
      <c r="B51" s="185"/>
      <c r="C51" s="183" t="s">
        <v>315</v>
      </c>
      <c r="D51" s="184">
        <v>70000</v>
      </c>
      <c r="E51" s="184">
        <v>70000</v>
      </c>
      <c r="F51" s="184">
        <f>SUM(F49:F50)</f>
        <v>70000</v>
      </c>
      <c r="G51" s="468">
        <f t="shared" si="0"/>
        <v>0</v>
      </c>
      <c r="H51" s="1740">
        <f>'Sumář  výdaje kapitol'!AH34</f>
        <v>70000</v>
      </c>
      <c r="I51" s="1831">
        <f>+H51-F51</f>
        <v>0</v>
      </c>
      <c r="J51" s="1692"/>
    </row>
    <row r="52" spans="1:10" ht="20.25" customHeight="1" outlineLevel="1" x14ac:dyDescent="0.2">
      <c r="A52" s="226">
        <v>3519</v>
      </c>
      <c r="B52" s="280">
        <v>5169</v>
      </c>
      <c r="C52" s="179"/>
      <c r="D52" s="477"/>
      <c r="E52" s="477"/>
      <c r="F52" s="477"/>
      <c r="G52" s="466">
        <f t="shared" si="0"/>
        <v>0</v>
      </c>
      <c r="I52" s="1831"/>
      <c r="J52" s="1692"/>
    </row>
    <row r="53" spans="1:10" ht="20.25" customHeight="1" outlineLevel="1" x14ac:dyDescent="0.2">
      <c r="A53" s="227">
        <v>3519</v>
      </c>
      <c r="B53" s="48">
        <v>5169</v>
      </c>
      <c r="C53" s="49"/>
      <c r="D53" s="478"/>
      <c r="E53" s="478"/>
      <c r="F53" s="478"/>
      <c r="G53" s="467">
        <f t="shared" si="0"/>
        <v>0</v>
      </c>
      <c r="I53" s="1831"/>
      <c r="J53" s="1692"/>
    </row>
    <row r="54" spans="1:10" ht="20.25" customHeight="1" thickBot="1" x14ac:dyDescent="0.25">
      <c r="A54" s="228"/>
      <c r="B54" s="185"/>
      <c r="C54" s="183" t="s">
        <v>316</v>
      </c>
      <c r="D54" s="184">
        <v>0</v>
      </c>
      <c r="E54" s="184">
        <v>0</v>
      </c>
      <c r="F54" s="184">
        <f>SUM(F52:F53)</f>
        <v>0</v>
      </c>
      <c r="G54" s="468">
        <f t="shared" si="0"/>
        <v>0</v>
      </c>
      <c r="H54" s="1740">
        <f>'Sumář  výdaje kapitol'!AI34</f>
        <v>0</v>
      </c>
      <c r="I54" s="1831">
        <f>+H54-F54</f>
        <v>0</v>
      </c>
      <c r="J54" s="1692"/>
    </row>
    <row r="55" spans="1:10" ht="18" customHeight="1" outlineLevel="1" x14ac:dyDescent="0.2">
      <c r="A55" s="226">
        <v>3429</v>
      </c>
      <c r="B55" s="280">
        <v>5169</v>
      </c>
      <c r="C55" s="179" t="s">
        <v>927</v>
      </c>
      <c r="D55" s="477">
        <v>10000</v>
      </c>
      <c r="E55" s="477">
        <v>10000</v>
      </c>
      <c r="F55" s="477">
        <f>[4]Tesko!$B$5</f>
        <v>10000</v>
      </c>
      <c r="G55" s="466">
        <f t="shared" si="0"/>
        <v>0</v>
      </c>
      <c r="I55" s="1831"/>
      <c r="J55" s="1692"/>
    </row>
    <row r="56" spans="1:10" ht="18" customHeight="1" outlineLevel="1" x14ac:dyDescent="0.2">
      <c r="A56" s="227">
        <v>3429</v>
      </c>
      <c r="B56" s="48">
        <v>5169</v>
      </c>
      <c r="C56" s="179" t="s">
        <v>306</v>
      </c>
      <c r="D56" s="477"/>
      <c r="E56" s="477"/>
      <c r="F56" s="477"/>
      <c r="G56" s="466">
        <f t="shared" si="0"/>
        <v>0</v>
      </c>
      <c r="I56" s="1831"/>
      <c r="J56" s="1692"/>
    </row>
    <row r="57" spans="1:10" ht="20.25" customHeight="1" outlineLevel="1" x14ac:dyDescent="0.2">
      <c r="A57" s="227">
        <v>3429</v>
      </c>
      <c r="B57" s="48">
        <v>5169</v>
      </c>
      <c r="C57" s="49"/>
      <c r="D57" s="50"/>
      <c r="E57" s="50"/>
      <c r="F57" s="50"/>
      <c r="G57" s="467">
        <f t="shared" si="0"/>
        <v>0</v>
      </c>
      <c r="I57" s="1831"/>
      <c r="J57" s="1692"/>
    </row>
    <row r="58" spans="1:10" ht="20.25" customHeight="1" thickBot="1" x14ac:dyDescent="0.25">
      <c r="A58" s="228"/>
      <c r="B58" s="185"/>
      <c r="C58" s="183" t="s">
        <v>221</v>
      </c>
      <c r="D58" s="184">
        <v>10000</v>
      </c>
      <c r="E58" s="184">
        <v>10000</v>
      </c>
      <c r="F58" s="184">
        <f>SUM(F55:F57)</f>
        <v>10000</v>
      </c>
      <c r="G58" s="468">
        <f t="shared" si="0"/>
        <v>0</v>
      </c>
      <c r="H58" s="1740">
        <f>'Sumář  výdaje kapitol'!AJ34</f>
        <v>10000</v>
      </c>
      <c r="I58" s="1831">
        <f>+H58-F58</f>
        <v>0</v>
      </c>
      <c r="J58" s="1692"/>
    </row>
    <row r="59" spans="1:10" ht="18" customHeight="1" outlineLevel="1" x14ac:dyDescent="0.2">
      <c r="A59" s="226">
        <v>3632</v>
      </c>
      <c r="B59" s="280">
        <v>5169</v>
      </c>
      <c r="C59" s="179"/>
      <c r="D59" s="477">
        <v>0</v>
      </c>
      <c r="E59" s="477">
        <v>0</v>
      </c>
      <c r="F59" s="477">
        <f>[4]Hřbitov!$B$27</f>
        <v>0</v>
      </c>
      <c r="G59" s="466">
        <f t="shared" si="0"/>
        <v>0</v>
      </c>
      <c r="I59" s="1831"/>
      <c r="J59" s="1692"/>
    </row>
    <row r="60" spans="1:10" ht="18" customHeight="1" outlineLevel="1" x14ac:dyDescent="0.2">
      <c r="A60" s="227">
        <v>3632</v>
      </c>
      <c r="B60" s="48">
        <v>5169</v>
      </c>
      <c r="C60" s="179"/>
      <c r="D60" s="477">
        <v>0</v>
      </c>
      <c r="E60" s="477">
        <v>0</v>
      </c>
      <c r="F60" s="477">
        <f>[4]Hřbitov!$B$28</f>
        <v>0</v>
      </c>
      <c r="G60" s="466">
        <f t="shared" si="0"/>
        <v>0</v>
      </c>
      <c r="I60" s="1831"/>
      <c r="J60" s="1692"/>
    </row>
    <row r="61" spans="1:10" ht="20.25" customHeight="1" outlineLevel="1" x14ac:dyDescent="0.2">
      <c r="A61" s="227">
        <v>3632</v>
      </c>
      <c r="B61" s="48">
        <v>5169</v>
      </c>
      <c r="C61" s="49"/>
      <c r="D61" s="50"/>
      <c r="E61" s="50"/>
      <c r="F61" s="50"/>
      <c r="G61" s="467">
        <f t="shared" si="0"/>
        <v>0</v>
      </c>
      <c r="I61" s="1831"/>
      <c r="J61" s="1692"/>
    </row>
    <row r="62" spans="1:10" ht="20.25" customHeight="1" thickBot="1" x14ac:dyDescent="0.25">
      <c r="A62" s="228"/>
      <c r="B62" s="185"/>
      <c r="C62" s="183" t="s">
        <v>419</v>
      </c>
      <c r="D62" s="184">
        <v>0</v>
      </c>
      <c r="E62" s="184">
        <v>0</v>
      </c>
      <c r="F62" s="184">
        <f>SUM(F59:F61)</f>
        <v>0</v>
      </c>
      <c r="G62" s="468">
        <f t="shared" si="0"/>
        <v>0</v>
      </c>
      <c r="H62" s="1740">
        <f>'Sumář  výdaje kapitol'!AK34</f>
        <v>0</v>
      </c>
      <c r="I62" s="1831">
        <f>+H62-F62</f>
        <v>0</v>
      </c>
      <c r="J62" s="1692"/>
    </row>
    <row r="63" spans="1:10" ht="18" customHeight="1" outlineLevel="1" x14ac:dyDescent="0.2">
      <c r="A63" s="226">
        <v>3412</v>
      </c>
      <c r="B63" s="280">
        <v>5169</v>
      </c>
      <c r="C63" s="179" t="s">
        <v>930</v>
      </c>
      <c r="D63" s="477">
        <v>60000</v>
      </c>
      <c r="E63" s="477">
        <v>60000</v>
      </c>
      <c r="F63" s="477">
        <f>'[4]Koupaliště-Hřišť'!$B$5</f>
        <v>60000</v>
      </c>
      <c r="G63" s="466">
        <f t="shared" si="0"/>
        <v>0</v>
      </c>
      <c r="I63" s="1831"/>
      <c r="J63" s="1692"/>
    </row>
    <row r="64" spans="1:10" ht="18" customHeight="1" outlineLevel="1" x14ac:dyDescent="0.2">
      <c r="A64" s="227">
        <v>3412</v>
      </c>
      <c r="B64" s="48">
        <v>5169</v>
      </c>
      <c r="C64" s="179" t="s">
        <v>1445</v>
      </c>
      <c r="D64" s="477">
        <v>100000</v>
      </c>
      <c r="E64" s="477">
        <v>100000</v>
      </c>
      <c r="F64" s="477">
        <f>'[4]Koupaliště-Hřišť'!$B$6</f>
        <v>100000</v>
      </c>
      <c r="G64" s="466">
        <f t="shared" si="0"/>
        <v>0</v>
      </c>
      <c r="I64" s="1831"/>
      <c r="J64" s="1692"/>
    </row>
    <row r="65" spans="1:10" ht="20.25" customHeight="1" thickBot="1" x14ac:dyDescent="0.25">
      <c r="A65" s="228"/>
      <c r="B65" s="185"/>
      <c r="C65" s="183" t="s">
        <v>975</v>
      </c>
      <c r="D65" s="184">
        <v>160000</v>
      </c>
      <c r="E65" s="184">
        <v>160000</v>
      </c>
      <c r="F65" s="184">
        <f>SUM(F63:F64)</f>
        <v>160000</v>
      </c>
      <c r="G65" s="468">
        <f t="shared" si="0"/>
        <v>0</v>
      </c>
      <c r="H65" s="1740">
        <f>'Sumář  výdaje kapitol'!AN34</f>
        <v>160000</v>
      </c>
      <c r="I65" s="1831">
        <f>+H65-F65</f>
        <v>0</v>
      </c>
      <c r="J65" s="1692"/>
    </row>
    <row r="66" spans="1:10" ht="20.25" customHeight="1" outlineLevel="1" x14ac:dyDescent="0.2">
      <c r="A66" s="229">
        <v>3113</v>
      </c>
      <c r="B66" s="317">
        <v>5169</v>
      </c>
      <c r="C66" s="186" t="s">
        <v>931</v>
      </c>
      <c r="D66" s="471">
        <v>80000</v>
      </c>
      <c r="E66" s="471">
        <v>80000</v>
      </c>
      <c r="F66" s="471">
        <f>[4]ZŠ!$B$5</f>
        <v>80000</v>
      </c>
      <c r="G66" s="670">
        <f t="shared" si="0"/>
        <v>0</v>
      </c>
      <c r="I66" s="1831"/>
      <c r="J66" s="1692"/>
    </row>
    <row r="67" spans="1:10" ht="20.25" customHeight="1" outlineLevel="1" x14ac:dyDescent="0.2">
      <c r="A67" s="230">
        <v>3113</v>
      </c>
      <c r="B67" s="119">
        <v>5169</v>
      </c>
      <c r="C67" s="49" t="s">
        <v>932</v>
      </c>
      <c r="D67" s="478">
        <v>70000</v>
      </c>
      <c r="E67" s="478">
        <v>70000</v>
      </c>
      <c r="F67" s="478">
        <f>[4]ZŠ!$B$6</f>
        <v>70000</v>
      </c>
      <c r="G67" s="467">
        <f t="shared" si="0"/>
        <v>0</v>
      </c>
      <c r="I67" s="1831"/>
      <c r="J67" s="1692"/>
    </row>
    <row r="68" spans="1:10" ht="20.25" customHeight="1" outlineLevel="1" x14ac:dyDescent="0.2">
      <c r="A68" s="230">
        <v>3113</v>
      </c>
      <c r="B68" s="119">
        <v>5169</v>
      </c>
      <c r="C68" s="49" t="s">
        <v>933</v>
      </c>
      <c r="D68" s="478">
        <v>20000</v>
      </c>
      <c r="E68" s="478">
        <v>20000</v>
      </c>
      <c r="F68" s="478">
        <f>[4]ZŠ!$B$7</f>
        <v>20000</v>
      </c>
      <c r="G68" s="467">
        <f t="shared" si="0"/>
        <v>0</v>
      </c>
      <c r="I68" s="1831"/>
      <c r="J68" s="1692"/>
    </row>
    <row r="69" spans="1:10" ht="20.25" customHeight="1" outlineLevel="1" x14ac:dyDescent="0.2">
      <c r="A69" s="230">
        <v>3113</v>
      </c>
      <c r="B69" s="119">
        <v>5169</v>
      </c>
      <c r="C69" s="186" t="s">
        <v>1446</v>
      </c>
      <c r="D69" s="471">
        <v>10000</v>
      </c>
      <c r="E69" s="471">
        <v>10000</v>
      </c>
      <c r="F69" s="471">
        <f>[4]ZŠ!$B$8</f>
        <v>10000</v>
      </c>
      <c r="G69" s="466">
        <f t="shared" si="0"/>
        <v>0</v>
      </c>
      <c r="I69" s="1831"/>
      <c r="J69" s="1692"/>
    </row>
    <row r="70" spans="1:10" ht="20.25" customHeight="1" thickBot="1" x14ac:dyDescent="0.25">
      <c r="A70" s="228"/>
      <c r="B70" s="185"/>
      <c r="C70" s="183" t="s">
        <v>317</v>
      </c>
      <c r="D70" s="184">
        <v>180000</v>
      </c>
      <c r="E70" s="184">
        <v>180000</v>
      </c>
      <c r="F70" s="184">
        <f>SUM(F66:F69)</f>
        <v>180000</v>
      </c>
      <c r="G70" s="468">
        <f t="shared" si="0"/>
        <v>0</v>
      </c>
      <c r="H70" s="1740">
        <f>'Sumář  výdaje kapitol'!AQ34</f>
        <v>180000</v>
      </c>
      <c r="I70" s="1831">
        <f>+H70-F70</f>
        <v>0</v>
      </c>
      <c r="J70" s="1692"/>
    </row>
    <row r="71" spans="1:10" ht="26.25" customHeight="1" outlineLevel="1" x14ac:dyDescent="0.2">
      <c r="A71" s="229">
        <v>3114</v>
      </c>
      <c r="B71" s="317">
        <v>5169</v>
      </c>
      <c r="C71" s="186" t="s">
        <v>934</v>
      </c>
      <c r="D71" s="471">
        <v>30000</v>
      </c>
      <c r="E71" s="471">
        <v>30000</v>
      </c>
      <c r="F71" s="471">
        <f>[4]MDDM!$B$5</f>
        <v>30000</v>
      </c>
      <c r="G71" s="466">
        <f t="shared" si="0"/>
        <v>0</v>
      </c>
      <c r="I71" s="1831"/>
      <c r="J71" s="1692"/>
    </row>
    <row r="72" spans="1:10" ht="20.25" customHeight="1" outlineLevel="1" x14ac:dyDescent="0.2">
      <c r="A72" s="230">
        <v>3114</v>
      </c>
      <c r="B72" s="119">
        <v>5169</v>
      </c>
      <c r="C72" s="120"/>
      <c r="D72" s="121">
        <v>0</v>
      </c>
      <c r="E72" s="121">
        <v>0</v>
      </c>
      <c r="F72" s="121">
        <f>[4]MDDM!$B$6</f>
        <v>0</v>
      </c>
      <c r="G72" s="466">
        <f t="shared" ref="G72:G135" si="1">+F72-E72</f>
        <v>0</v>
      </c>
      <c r="I72" s="1831"/>
      <c r="J72" s="1692"/>
    </row>
    <row r="73" spans="1:10" ht="20.25" customHeight="1" thickBot="1" x14ac:dyDescent="0.25">
      <c r="A73" s="228"/>
      <c r="B73" s="185"/>
      <c r="C73" s="183" t="s">
        <v>318</v>
      </c>
      <c r="D73" s="184">
        <v>30000</v>
      </c>
      <c r="E73" s="184">
        <v>30000</v>
      </c>
      <c r="F73" s="184">
        <f>SUM(F71:F72)</f>
        <v>30000</v>
      </c>
      <c r="G73" s="468">
        <f t="shared" si="1"/>
        <v>0</v>
      </c>
      <c r="H73" s="1740">
        <f>'Sumář  výdaje kapitol'!AW34</f>
        <v>30000</v>
      </c>
      <c r="I73" s="1831">
        <f>+H73-F73</f>
        <v>0</v>
      </c>
      <c r="J73" s="1692"/>
    </row>
    <row r="74" spans="1:10" ht="20.25" customHeight="1" outlineLevel="1" x14ac:dyDescent="0.2">
      <c r="A74" s="229" t="s">
        <v>297</v>
      </c>
      <c r="B74" s="317">
        <v>5169</v>
      </c>
      <c r="C74" s="186" t="s">
        <v>935</v>
      </c>
      <c r="D74" s="471">
        <v>85000</v>
      </c>
      <c r="E74" s="471">
        <v>85000</v>
      </c>
      <c r="F74" s="471">
        <f>'[4]MŠ Kollárova'!$B$11</f>
        <v>85000</v>
      </c>
      <c r="G74" s="466">
        <f t="shared" si="1"/>
        <v>0</v>
      </c>
      <c r="I74" s="1831"/>
      <c r="J74" s="1692"/>
    </row>
    <row r="75" spans="1:10" ht="20.25" customHeight="1" outlineLevel="1" x14ac:dyDescent="0.2">
      <c r="A75" s="230" t="s">
        <v>297</v>
      </c>
      <c r="B75" s="119">
        <v>5169</v>
      </c>
      <c r="C75" s="120"/>
      <c r="D75" s="473">
        <v>0</v>
      </c>
      <c r="E75" s="473">
        <v>0</v>
      </c>
      <c r="F75" s="473">
        <f>'[4]MŠ Kollárova'!$B$6</f>
        <v>0</v>
      </c>
      <c r="G75" s="467">
        <f t="shared" si="1"/>
        <v>0</v>
      </c>
      <c r="I75" s="1831"/>
      <c r="J75" s="1692"/>
    </row>
    <row r="76" spans="1:10" ht="20.25" customHeight="1" thickBot="1" x14ac:dyDescent="0.25">
      <c r="A76" s="228"/>
      <c r="B76" s="185"/>
      <c r="C76" s="183" t="s">
        <v>319</v>
      </c>
      <c r="D76" s="184">
        <v>85000</v>
      </c>
      <c r="E76" s="184">
        <v>85000</v>
      </c>
      <c r="F76" s="184">
        <f>SUM(F74:F75)</f>
        <v>85000</v>
      </c>
      <c r="G76" s="468">
        <f t="shared" si="1"/>
        <v>0</v>
      </c>
      <c r="H76" s="1740">
        <f>'Sumář  výdaje kapitol'!BC34</f>
        <v>85000</v>
      </c>
      <c r="I76" s="1831">
        <f>+H76-F76</f>
        <v>0</v>
      </c>
      <c r="J76" s="1692"/>
    </row>
    <row r="77" spans="1:10" ht="20.25" customHeight="1" outlineLevel="1" x14ac:dyDescent="0.2">
      <c r="A77" s="229" t="s">
        <v>298</v>
      </c>
      <c r="B77" s="317">
        <v>5169</v>
      </c>
      <c r="C77" s="186" t="s">
        <v>939</v>
      </c>
      <c r="D77" s="471">
        <v>20000</v>
      </c>
      <c r="E77" s="471">
        <v>20000</v>
      </c>
      <c r="F77" s="471">
        <f>'[4]MŠ Pražská'!$B$5</f>
        <v>20000</v>
      </c>
      <c r="G77" s="466">
        <f t="shared" si="1"/>
        <v>0</v>
      </c>
      <c r="I77" s="1831"/>
      <c r="J77" s="1692"/>
    </row>
    <row r="78" spans="1:10" ht="20.25" customHeight="1" outlineLevel="1" x14ac:dyDescent="0.2">
      <c r="A78" s="230" t="s">
        <v>298</v>
      </c>
      <c r="B78" s="119">
        <v>5169</v>
      </c>
      <c r="C78" s="120"/>
      <c r="D78" s="121">
        <v>0</v>
      </c>
      <c r="E78" s="121">
        <v>0</v>
      </c>
      <c r="F78" s="121">
        <f>'[4]MŠ Pražská'!$B$6</f>
        <v>0</v>
      </c>
      <c r="G78" s="467">
        <f t="shared" si="1"/>
        <v>0</v>
      </c>
      <c r="I78" s="1831"/>
      <c r="J78" s="1692"/>
    </row>
    <row r="79" spans="1:10" ht="20.25" customHeight="1" thickBot="1" x14ac:dyDescent="0.25">
      <c r="A79" s="228"/>
      <c r="B79" s="185"/>
      <c r="C79" s="183" t="s">
        <v>320</v>
      </c>
      <c r="D79" s="184">
        <v>20000</v>
      </c>
      <c r="E79" s="184">
        <v>20000</v>
      </c>
      <c r="F79" s="184">
        <f>SUM(F77:F78)</f>
        <v>20000</v>
      </c>
      <c r="G79" s="468">
        <f t="shared" si="1"/>
        <v>0</v>
      </c>
      <c r="H79" s="1740">
        <f>'Sumář  výdaje kapitol'!AZ34</f>
        <v>20000</v>
      </c>
      <c r="I79" s="1831">
        <f>+H79-F79</f>
        <v>0</v>
      </c>
      <c r="J79" s="1692"/>
    </row>
    <row r="80" spans="1:10" ht="20.25" customHeight="1" outlineLevel="1" x14ac:dyDescent="0.2">
      <c r="A80" s="229" t="s">
        <v>338</v>
      </c>
      <c r="B80" s="317">
        <v>5169</v>
      </c>
      <c r="C80" s="186" t="s">
        <v>936</v>
      </c>
      <c r="D80" s="472">
        <v>40000</v>
      </c>
      <c r="E80" s="472">
        <v>40000</v>
      </c>
      <c r="F80" s="472">
        <f>'[4]MŠ Cukrovar'!$B$5</f>
        <v>40000</v>
      </c>
      <c r="G80" s="466">
        <f t="shared" si="1"/>
        <v>0</v>
      </c>
      <c r="I80" s="1831"/>
      <c r="J80" s="1692"/>
    </row>
    <row r="81" spans="1:10" ht="20.25" customHeight="1" outlineLevel="1" x14ac:dyDescent="0.2">
      <c r="A81" s="230" t="s">
        <v>338</v>
      </c>
      <c r="B81" s="119">
        <v>5169</v>
      </c>
      <c r="C81" s="120" t="s">
        <v>937</v>
      </c>
      <c r="D81" s="478">
        <v>4000</v>
      </c>
      <c r="E81" s="478">
        <v>4000</v>
      </c>
      <c r="F81" s="478">
        <f>'[4]MŠ Cukrovar'!$B$6</f>
        <v>4000</v>
      </c>
      <c r="G81" s="467">
        <f t="shared" si="1"/>
        <v>0</v>
      </c>
      <c r="I81" s="1831"/>
      <c r="J81" s="1692"/>
    </row>
    <row r="82" spans="1:10" ht="20.25" customHeight="1" outlineLevel="1" x14ac:dyDescent="0.2">
      <c r="A82" s="230" t="s">
        <v>338</v>
      </c>
      <c r="B82" s="119">
        <v>5169</v>
      </c>
      <c r="C82" s="120" t="s">
        <v>938</v>
      </c>
      <c r="D82" s="471">
        <v>36000</v>
      </c>
      <c r="E82" s="471">
        <v>36000</v>
      </c>
      <c r="F82" s="471">
        <f>'[4]MŠ Cukrovar'!$B$7</f>
        <v>36000</v>
      </c>
      <c r="G82" s="467">
        <f t="shared" si="1"/>
        <v>0</v>
      </c>
      <c r="I82" s="1831"/>
      <c r="J82" s="1692"/>
    </row>
    <row r="83" spans="1:10" ht="20.25" customHeight="1" thickBot="1" x14ac:dyDescent="0.25">
      <c r="A83" s="228"/>
      <c r="B83" s="185"/>
      <c r="C83" s="183" t="s">
        <v>410</v>
      </c>
      <c r="D83" s="184">
        <v>80000</v>
      </c>
      <c r="E83" s="184">
        <v>80000</v>
      </c>
      <c r="F83" s="184">
        <f>SUM(F80:F82)</f>
        <v>80000</v>
      </c>
      <c r="G83" s="468">
        <f t="shared" si="1"/>
        <v>0</v>
      </c>
      <c r="H83" s="1740">
        <f>'Sumář  výdaje kapitol'!BJ34</f>
        <v>80000</v>
      </c>
      <c r="I83" s="1831">
        <f>+H83-F83</f>
        <v>0</v>
      </c>
      <c r="J83" s="1692"/>
    </row>
    <row r="84" spans="1:10" ht="20.25" customHeight="1" outlineLevel="1" x14ac:dyDescent="0.2">
      <c r="A84" s="229">
        <v>3635</v>
      </c>
      <c r="B84" s="317">
        <v>5169</v>
      </c>
      <c r="C84" s="186" t="s">
        <v>949</v>
      </c>
      <c r="D84" s="471">
        <v>50000</v>
      </c>
      <c r="E84" s="471">
        <v>50000</v>
      </c>
      <c r="F84" s="471">
        <f>'[2]Územní plán 3635'!$B$22</f>
        <v>50000</v>
      </c>
      <c r="G84" s="475">
        <f t="shared" si="1"/>
        <v>0</v>
      </c>
      <c r="I84" s="1831"/>
      <c r="J84" s="1692"/>
    </row>
    <row r="85" spans="1:10" ht="20.25" customHeight="1" outlineLevel="1" x14ac:dyDescent="0.2">
      <c r="A85" s="230">
        <v>3635</v>
      </c>
      <c r="B85" s="119">
        <v>5169</v>
      </c>
      <c r="C85" s="120"/>
      <c r="D85" s="473"/>
      <c r="E85" s="473"/>
      <c r="F85" s="473"/>
      <c r="G85" s="476">
        <f t="shared" si="1"/>
        <v>0</v>
      </c>
      <c r="I85" s="1831"/>
      <c r="J85" s="1692"/>
    </row>
    <row r="86" spans="1:10" ht="20.25" customHeight="1" thickBot="1" x14ac:dyDescent="0.25">
      <c r="A86" s="228"/>
      <c r="B86" s="185"/>
      <c r="C86" s="183" t="s">
        <v>231</v>
      </c>
      <c r="D86" s="184">
        <v>50000</v>
      </c>
      <c r="E86" s="184">
        <v>50000</v>
      </c>
      <c r="F86" s="184">
        <f>SUM(F84:F85)</f>
        <v>50000</v>
      </c>
      <c r="G86" s="468">
        <f t="shared" si="1"/>
        <v>0</v>
      </c>
      <c r="H86" s="1740">
        <f>'Sumář  výdaje kapitol'!BM34</f>
        <v>50000</v>
      </c>
      <c r="I86" s="1831">
        <f>+H86-F86</f>
        <v>0</v>
      </c>
      <c r="J86" s="1692"/>
    </row>
    <row r="87" spans="1:10" ht="20.25" customHeight="1" outlineLevel="1" x14ac:dyDescent="0.2">
      <c r="A87" s="229" t="s">
        <v>299</v>
      </c>
      <c r="B87" s="317">
        <v>5169</v>
      </c>
      <c r="C87" s="186"/>
      <c r="D87" s="471"/>
      <c r="E87" s="471"/>
      <c r="F87" s="471"/>
      <c r="G87" s="475">
        <f t="shared" si="1"/>
        <v>0</v>
      </c>
      <c r="I87" s="1831"/>
      <c r="J87" s="1692"/>
    </row>
    <row r="88" spans="1:10" ht="20.25" customHeight="1" outlineLevel="1" x14ac:dyDescent="0.2">
      <c r="A88" s="230" t="s">
        <v>299</v>
      </c>
      <c r="B88" s="119">
        <v>5169</v>
      </c>
      <c r="C88" s="120"/>
      <c r="D88" s="473"/>
      <c r="E88" s="473"/>
      <c r="F88" s="473"/>
      <c r="G88" s="476">
        <f t="shared" si="1"/>
        <v>0</v>
      </c>
      <c r="I88" s="1831"/>
      <c r="J88" s="1692"/>
    </row>
    <row r="89" spans="1:10" ht="20.25" customHeight="1" thickBot="1" x14ac:dyDescent="0.25">
      <c r="A89" s="228"/>
      <c r="B89" s="185"/>
      <c r="C89" s="183" t="s">
        <v>321</v>
      </c>
      <c r="D89" s="184">
        <v>0</v>
      </c>
      <c r="E89" s="184">
        <v>0</v>
      </c>
      <c r="F89" s="184">
        <f>SUM(F87:F88)</f>
        <v>0</v>
      </c>
      <c r="G89" s="468">
        <f t="shared" si="1"/>
        <v>0</v>
      </c>
      <c r="H89" s="1740">
        <f>'Sumář  výdaje kapitol'!BF34</f>
        <v>0</v>
      </c>
      <c r="I89" s="1831">
        <f>+H89-F89</f>
        <v>0</v>
      </c>
      <c r="J89" s="1692"/>
    </row>
    <row r="90" spans="1:10" ht="20.25" customHeight="1" outlineLevel="1" x14ac:dyDescent="0.2">
      <c r="A90" s="229" t="s">
        <v>301</v>
      </c>
      <c r="B90" s="317">
        <v>5169</v>
      </c>
      <c r="C90" s="186" t="s">
        <v>939</v>
      </c>
      <c r="D90" s="471">
        <v>15000</v>
      </c>
      <c r="E90" s="471">
        <v>15000</v>
      </c>
      <c r="F90" s="471">
        <f>'[4]Jídelna MŠ'!$B$5</f>
        <v>15000</v>
      </c>
      <c r="G90" s="475">
        <f t="shared" si="1"/>
        <v>0</v>
      </c>
      <c r="I90" s="1831"/>
      <c r="J90" s="1692"/>
    </row>
    <row r="91" spans="1:10" ht="20.25" customHeight="1" outlineLevel="1" x14ac:dyDescent="0.2">
      <c r="A91" s="230" t="s">
        <v>301</v>
      </c>
      <c r="B91" s="119">
        <v>5169</v>
      </c>
      <c r="C91" s="120"/>
      <c r="D91" s="121">
        <v>0</v>
      </c>
      <c r="E91" s="121">
        <v>0</v>
      </c>
      <c r="F91" s="121">
        <f>'[4]Jídelna MŠ'!$B$6</f>
        <v>0</v>
      </c>
      <c r="G91" s="467">
        <f t="shared" si="1"/>
        <v>0</v>
      </c>
      <c r="I91" s="1831"/>
      <c r="J91" s="1692"/>
    </row>
    <row r="92" spans="1:10" ht="20.25" customHeight="1" thickBot="1" x14ac:dyDescent="0.25">
      <c r="A92" s="228"/>
      <c r="B92" s="185"/>
      <c r="C92" s="183" t="s">
        <v>322</v>
      </c>
      <c r="D92" s="184">
        <v>15000</v>
      </c>
      <c r="E92" s="184">
        <v>15000</v>
      </c>
      <c r="F92" s="184">
        <f>SUM(F90:F91)</f>
        <v>15000</v>
      </c>
      <c r="G92" s="468">
        <f t="shared" si="1"/>
        <v>0</v>
      </c>
      <c r="H92" s="1740">
        <f>'Sumář  výdaje kapitol'!BI34</f>
        <v>15000</v>
      </c>
      <c r="I92" s="1831">
        <f>+H92-F92</f>
        <v>0</v>
      </c>
      <c r="J92" s="1692"/>
    </row>
    <row r="93" spans="1:10" ht="20.25" customHeight="1" outlineLevel="1" x14ac:dyDescent="0.2">
      <c r="A93" s="225">
        <v>3631</v>
      </c>
      <c r="B93" s="46">
        <v>5169</v>
      </c>
      <c r="C93" s="47" t="s">
        <v>940</v>
      </c>
      <c r="D93" s="472">
        <v>100000</v>
      </c>
      <c r="E93" s="472">
        <v>100000</v>
      </c>
      <c r="F93" s="472">
        <f>[4]VO!$B$5</f>
        <v>100000</v>
      </c>
      <c r="G93" s="474">
        <f t="shared" si="1"/>
        <v>0</v>
      </c>
      <c r="H93" s="1740"/>
      <c r="I93" s="1831"/>
      <c r="J93" s="1692"/>
    </row>
    <row r="94" spans="1:10" ht="20.25" customHeight="1" outlineLevel="1" x14ac:dyDescent="0.2">
      <c r="A94" s="227">
        <v>3631</v>
      </c>
      <c r="B94" s="48">
        <v>5169</v>
      </c>
      <c r="C94" s="49" t="s">
        <v>941</v>
      </c>
      <c r="D94" s="478">
        <v>60000</v>
      </c>
      <c r="E94" s="478">
        <v>60000</v>
      </c>
      <c r="F94" s="478">
        <f>[4]VO!$B$6</f>
        <v>60000</v>
      </c>
      <c r="G94" s="476">
        <f t="shared" si="1"/>
        <v>0</v>
      </c>
      <c r="H94" s="1740"/>
      <c r="I94" s="1831"/>
      <c r="J94" s="1692"/>
    </row>
    <row r="95" spans="1:10" ht="20.25" customHeight="1" outlineLevel="1" x14ac:dyDescent="0.2">
      <c r="A95" s="226">
        <v>3631</v>
      </c>
      <c r="B95" s="48">
        <v>5169</v>
      </c>
      <c r="C95" s="186" t="s">
        <v>942</v>
      </c>
      <c r="D95" s="471">
        <v>70000</v>
      </c>
      <c r="E95" s="471">
        <v>70000</v>
      </c>
      <c r="F95" s="471">
        <f>[4]VO!$B$7</f>
        <v>70000</v>
      </c>
      <c r="G95" s="476">
        <f t="shared" si="1"/>
        <v>0</v>
      </c>
      <c r="H95" s="1740"/>
      <c r="I95" s="1831"/>
      <c r="J95" s="1692"/>
    </row>
    <row r="96" spans="1:10" ht="20.25" customHeight="1" outlineLevel="1" x14ac:dyDescent="0.2">
      <c r="A96" s="229">
        <v>3631</v>
      </c>
      <c r="B96" s="119">
        <v>5169</v>
      </c>
      <c r="C96" s="120" t="s">
        <v>1347</v>
      </c>
      <c r="D96" s="473">
        <v>12100</v>
      </c>
      <c r="E96" s="473">
        <v>12100</v>
      </c>
      <c r="F96" s="473">
        <f>[4]VO!$B$8</f>
        <v>12100</v>
      </c>
      <c r="G96" s="476">
        <f t="shared" si="1"/>
        <v>0</v>
      </c>
      <c r="H96" s="1740"/>
      <c r="I96" s="1831"/>
      <c r="J96" s="1692"/>
    </row>
    <row r="97" spans="1:10" ht="20.25" customHeight="1" thickBot="1" x14ac:dyDescent="0.25">
      <c r="A97" s="228"/>
      <c r="B97" s="185"/>
      <c r="C97" s="183" t="s">
        <v>232</v>
      </c>
      <c r="D97" s="184">
        <v>242100</v>
      </c>
      <c r="E97" s="184">
        <v>242100</v>
      </c>
      <c r="F97" s="184">
        <f>SUM(F93:F96)</f>
        <v>242100</v>
      </c>
      <c r="G97" s="468">
        <f t="shared" si="1"/>
        <v>0</v>
      </c>
      <c r="H97" s="1740">
        <f>'Sumář  výdaje kapitol'!BN34</f>
        <v>242100</v>
      </c>
      <c r="I97" s="1831">
        <f>+H97-F97</f>
        <v>0</v>
      </c>
      <c r="J97" s="1692"/>
    </row>
    <row r="98" spans="1:10" ht="20.25" customHeight="1" outlineLevel="1" x14ac:dyDescent="0.2">
      <c r="A98" s="225">
        <v>2212</v>
      </c>
      <c r="B98" s="46">
        <v>5169</v>
      </c>
      <c r="C98" s="47" t="s">
        <v>963</v>
      </c>
      <c r="D98" s="472">
        <v>100000</v>
      </c>
      <c r="E98" s="472">
        <v>210000</v>
      </c>
      <c r="F98" s="472">
        <f>'[5]Silnice světelná křižovatka'!$B$5</f>
        <v>210000</v>
      </c>
      <c r="G98" s="474">
        <f t="shared" si="1"/>
        <v>0</v>
      </c>
      <c r="I98" s="1831"/>
      <c r="J98" s="1692"/>
    </row>
    <row r="99" spans="1:10" ht="20.25" customHeight="1" outlineLevel="1" x14ac:dyDescent="0.2">
      <c r="A99" s="229">
        <v>2212</v>
      </c>
      <c r="B99" s="317">
        <v>5169</v>
      </c>
      <c r="C99" s="186" t="s">
        <v>964</v>
      </c>
      <c r="D99" s="471">
        <v>200000</v>
      </c>
      <c r="E99" s="471">
        <v>200000</v>
      </c>
      <c r="F99" s="471">
        <f>'[5]Silnice světelná křižovatka'!$B$6</f>
        <v>200000</v>
      </c>
      <c r="G99" s="475">
        <f t="shared" si="1"/>
        <v>0</v>
      </c>
      <c r="I99" s="1831"/>
      <c r="J99" s="1692"/>
    </row>
    <row r="100" spans="1:10" ht="20.25" customHeight="1" thickBot="1" x14ac:dyDescent="0.25">
      <c r="A100" s="228"/>
      <c r="B100" s="185"/>
      <c r="C100" s="183" t="s">
        <v>420</v>
      </c>
      <c r="D100" s="184">
        <v>300000</v>
      </c>
      <c r="E100" s="184">
        <v>410000</v>
      </c>
      <c r="F100" s="184">
        <f>SUM(F98:F99)</f>
        <v>410000</v>
      </c>
      <c r="G100" s="468">
        <f t="shared" si="1"/>
        <v>0</v>
      </c>
      <c r="H100" s="1740">
        <f>'Sumář  výdaje kapitol'!BQ34</f>
        <v>410000</v>
      </c>
      <c r="I100" s="1831">
        <f>+H100-F100</f>
        <v>0</v>
      </c>
      <c r="J100" s="1692"/>
    </row>
    <row r="101" spans="1:10" ht="19.5" customHeight="1" outlineLevel="1" x14ac:dyDescent="0.2">
      <c r="A101" s="225">
        <v>2310</v>
      </c>
      <c r="B101" s="46">
        <v>5169</v>
      </c>
      <c r="C101" s="47" t="s">
        <v>943</v>
      </c>
      <c r="D101" s="472">
        <v>100000</v>
      </c>
      <c r="E101" s="472">
        <v>100000</v>
      </c>
      <c r="F101" s="472">
        <f>[4]Vodovod!$B$19</f>
        <v>100000</v>
      </c>
      <c r="G101" s="474">
        <f t="shared" si="1"/>
        <v>0</v>
      </c>
      <c r="I101" s="1831"/>
      <c r="J101" s="1692"/>
    </row>
    <row r="102" spans="1:10" ht="17.25" customHeight="1" outlineLevel="1" x14ac:dyDescent="0.2">
      <c r="A102" s="230">
        <v>2310</v>
      </c>
      <c r="B102" s="119">
        <v>5169</v>
      </c>
      <c r="C102" s="120" t="s">
        <v>976</v>
      </c>
      <c r="D102" s="473">
        <v>150000</v>
      </c>
      <c r="E102" s="473">
        <v>150000</v>
      </c>
      <c r="F102" s="473">
        <f>[4]Vodovod!$B$20</f>
        <v>150000</v>
      </c>
      <c r="G102" s="476">
        <f t="shared" si="1"/>
        <v>0</v>
      </c>
      <c r="I102" s="1831"/>
      <c r="J102" s="1692"/>
    </row>
    <row r="103" spans="1:10" ht="20.25" customHeight="1" thickBot="1" x14ac:dyDescent="0.25">
      <c r="A103" s="228"/>
      <c r="B103" s="185"/>
      <c r="C103" s="183" t="s">
        <v>323</v>
      </c>
      <c r="D103" s="184">
        <v>250000</v>
      </c>
      <c r="E103" s="184">
        <v>250000</v>
      </c>
      <c r="F103" s="184">
        <f>SUM(F101:F102)</f>
        <v>250000</v>
      </c>
      <c r="G103" s="468">
        <f t="shared" si="1"/>
        <v>0</v>
      </c>
      <c r="H103" s="1740">
        <f>'Sumář  výdaje kapitol'!BU34</f>
        <v>250000</v>
      </c>
      <c r="I103" s="1831">
        <f>+H103-F103</f>
        <v>0</v>
      </c>
      <c r="J103" s="1692"/>
    </row>
    <row r="104" spans="1:10" ht="20.25" customHeight="1" outlineLevel="1" x14ac:dyDescent="0.2">
      <c r="A104" s="229">
        <v>3633</v>
      </c>
      <c r="B104" s="317">
        <v>5169</v>
      </c>
      <c r="C104" s="186" t="s">
        <v>944</v>
      </c>
      <c r="D104" s="472">
        <v>60000</v>
      </c>
      <c r="E104" s="472">
        <v>60000</v>
      </c>
      <c r="F104" s="472">
        <f>'[4]Inženýrské sítě'!$B$12</f>
        <v>60000</v>
      </c>
      <c r="G104" s="466">
        <f t="shared" si="1"/>
        <v>0</v>
      </c>
      <c r="I104" s="1831"/>
      <c r="J104" s="1692"/>
    </row>
    <row r="105" spans="1:10" ht="20.25" customHeight="1" outlineLevel="1" x14ac:dyDescent="0.2">
      <c r="A105" s="230">
        <v>3633</v>
      </c>
      <c r="B105" s="119">
        <v>5169</v>
      </c>
      <c r="C105" s="120" t="s">
        <v>945</v>
      </c>
      <c r="D105" s="478">
        <v>180000</v>
      </c>
      <c r="E105" s="478">
        <v>180000</v>
      </c>
      <c r="F105" s="478">
        <f>'[4]Inženýrské sítě'!$B$13</f>
        <v>180000</v>
      </c>
      <c r="G105" s="466">
        <f t="shared" si="1"/>
        <v>0</v>
      </c>
      <c r="I105" s="1831"/>
      <c r="J105" s="1692"/>
    </row>
    <row r="106" spans="1:10" ht="20.25" customHeight="1" thickBot="1" x14ac:dyDescent="0.25">
      <c r="A106" s="228"/>
      <c r="B106" s="185"/>
      <c r="C106" s="183" t="s">
        <v>412</v>
      </c>
      <c r="D106" s="184">
        <v>240000</v>
      </c>
      <c r="E106" s="184">
        <v>240000</v>
      </c>
      <c r="F106" s="184">
        <f>SUM(F104:F105)</f>
        <v>240000</v>
      </c>
      <c r="G106" s="468">
        <f t="shared" si="1"/>
        <v>0</v>
      </c>
      <c r="H106" s="1740">
        <f>'Sumář  výdaje kapitol'!CA34</f>
        <v>240000</v>
      </c>
      <c r="I106" s="1831">
        <f>+H106-F106</f>
        <v>0</v>
      </c>
      <c r="J106" s="1692"/>
    </row>
    <row r="107" spans="1:10" ht="20.25" customHeight="1" outlineLevel="1" x14ac:dyDescent="0.2">
      <c r="A107" s="229">
        <v>3749</v>
      </c>
      <c r="B107" s="317">
        <v>5169</v>
      </c>
      <c r="C107" s="186" t="s">
        <v>1436</v>
      </c>
      <c r="D107" s="471">
        <v>300000</v>
      </c>
      <c r="E107" s="471">
        <v>300000</v>
      </c>
      <c r="F107" s="471">
        <f>'[2]Příroda 3749'!$B$15</f>
        <v>300000</v>
      </c>
      <c r="G107" s="475">
        <f t="shared" si="1"/>
        <v>0</v>
      </c>
      <c r="I107" s="1831"/>
      <c r="J107" s="1692"/>
    </row>
    <row r="108" spans="1:10" ht="20.25" customHeight="1" outlineLevel="1" x14ac:dyDescent="0.2">
      <c r="A108" s="230">
        <v>3749</v>
      </c>
      <c r="B108" s="119">
        <v>5169</v>
      </c>
      <c r="C108" s="120" t="s">
        <v>1437</v>
      </c>
      <c r="D108" s="473">
        <v>450000</v>
      </c>
      <c r="E108" s="473">
        <v>450000</v>
      </c>
      <c r="F108" s="473">
        <f>'[2]Příroda 3749'!$B$18</f>
        <v>510000</v>
      </c>
      <c r="G108" s="476">
        <f t="shared" si="1"/>
        <v>60000</v>
      </c>
      <c r="I108" s="1831"/>
      <c r="J108" s="1692"/>
    </row>
    <row r="109" spans="1:10" ht="20.25" customHeight="1" outlineLevel="1" x14ac:dyDescent="0.2">
      <c r="A109" s="230">
        <v>3749</v>
      </c>
      <c r="B109" s="119">
        <v>5169</v>
      </c>
      <c r="C109" s="120" t="s">
        <v>961</v>
      </c>
      <c r="D109" s="473">
        <v>1160000</v>
      </c>
      <c r="E109" s="473">
        <v>1460000</v>
      </c>
      <c r="F109" s="473">
        <f>'[2]Příroda 3749'!$B$16</f>
        <v>1460000</v>
      </c>
      <c r="G109" s="476">
        <f t="shared" si="1"/>
        <v>0</v>
      </c>
      <c r="I109" s="1831"/>
      <c r="J109" s="1692"/>
    </row>
    <row r="110" spans="1:10" ht="20.25" customHeight="1" outlineLevel="1" x14ac:dyDescent="0.2">
      <c r="A110" s="230">
        <v>3749</v>
      </c>
      <c r="B110" s="119">
        <v>5169</v>
      </c>
      <c r="C110" s="49" t="s">
        <v>960</v>
      </c>
      <c r="D110" s="473">
        <v>800000</v>
      </c>
      <c r="E110" s="473">
        <v>800000</v>
      </c>
      <c r="F110" s="473">
        <f>'[2]Příroda 3749'!$B$17</f>
        <v>1060000</v>
      </c>
      <c r="G110" s="467">
        <f t="shared" si="1"/>
        <v>260000</v>
      </c>
      <c r="I110" s="1831"/>
      <c r="J110" s="1692"/>
    </row>
    <row r="111" spans="1:10" ht="20.25" customHeight="1" outlineLevel="1" x14ac:dyDescent="0.2">
      <c r="A111" s="230">
        <v>3749</v>
      </c>
      <c r="B111" s="119">
        <v>5169</v>
      </c>
      <c r="C111" s="49" t="s">
        <v>1460</v>
      </c>
      <c r="D111" s="473">
        <v>20000</v>
      </c>
      <c r="E111" s="473">
        <v>20000</v>
      </c>
      <c r="F111" s="473">
        <f>[4]Příroda!$B$14</f>
        <v>20000</v>
      </c>
      <c r="G111" s="467">
        <f t="shared" si="1"/>
        <v>0</v>
      </c>
      <c r="I111" s="1831"/>
      <c r="J111" s="1692"/>
    </row>
    <row r="112" spans="1:10" ht="20.25" customHeight="1" thickBot="1" x14ac:dyDescent="0.25">
      <c r="A112" s="228"/>
      <c r="B112" s="185"/>
      <c r="C112" s="183" t="s">
        <v>245</v>
      </c>
      <c r="D112" s="184">
        <v>2730000</v>
      </c>
      <c r="E112" s="184">
        <v>3030000</v>
      </c>
      <c r="F112" s="184">
        <f>SUM(F107:F111)</f>
        <v>3350000</v>
      </c>
      <c r="G112" s="468">
        <f t="shared" si="1"/>
        <v>320000</v>
      </c>
      <c r="H112" s="1740">
        <f>'Sumář  výdaje kapitol'!CO34</f>
        <v>3350000</v>
      </c>
      <c r="I112" s="1831">
        <f>+H112-F112</f>
        <v>0</v>
      </c>
      <c r="J112" s="1692"/>
    </row>
    <row r="113" spans="1:10" ht="20.25" customHeight="1" outlineLevel="1" x14ac:dyDescent="0.2">
      <c r="A113" s="229">
        <v>1036</v>
      </c>
      <c r="B113" s="317">
        <v>5169</v>
      </c>
      <c r="C113" s="186" t="s">
        <v>950</v>
      </c>
      <c r="D113" s="471">
        <v>200000</v>
      </c>
      <c r="E113" s="471">
        <v>200000</v>
      </c>
      <c r="F113" s="471">
        <f>'[2]Lesy 1036'!$B$6</f>
        <v>200000</v>
      </c>
      <c r="G113" s="475">
        <f t="shared" si="1"/>
        <v>0</v>
      </c>
      <c r="I113" s="1831"/>
      <c r="J113" s="1692"/>
    </row>
    <row r="114" spans="1:10" ht="20.25" customHeight="1" outlineLevel="1" x14ac:dyDescent="0.2">
      <c r="A114" s="230">
        <v>1036</v>
      </c>
      <c r="B114" s="119">
        <v>5169</v>
      </c>
      <c r="C114" s="120"/>
      <c r="D114" s="473"/>
      <c r="E114" s="473"/>
      <c r="F114" s="473"/>
      <c r="G114" s="476">
        <f t="shared" si="1"/>
        <v>0</v>
      </c>
      <c r="I114" s="1831"/>
      <c r="J114" s="1692"/>
    </row>
    <row r="115" spans="1:10" ht="20.25" customHeight="1" outlineLevel="1" x14ac:dyDescent="0.2">
      <c r="A115" s="230">
        <v>1036</v>
      </c>
      <c r="B115" s="119">
        <v>5169</v>
      </c>
      <c r="C115" s="49"/>
      <c r="D115" s="473"/>
      <c r="E115" s="473"/>
      <c r="F115" s="473"/>
      <c r="G115" s="467">
        <f t="shared" si="1"/>
        <v>0</v>
      </c>
      <c r="I115" s="1831"/>
      <c r="J115" s="1692"/>
    </row>
    <row r="116" spans="1:10" ht="20.25" customHeight="1" thickBot="1" x14ac:dyDescent="0.25">
      <c r="A116" s="228"/>
      <c r="B116" s="185"/>
      <c r="C116" s="183" t="s">
        <v>240</v>
      </c>
      <c r="D116" s="184">
        <v>200000</v>
      </c>
      <c r="E116" s="184">
        <v>200000</v>
      </c>
      <c r="F116" s="184">
        <f>SUM(F113:F115)</f>
        <v>200000</v>
      </c>
      <c r="G116" s="468">
        <f t="shared" si="1"/>
        <v>0</v>
      </c>
      <c r="H116" s="1740">
        <f>'Sumář  výdaje kapitol'!CD34</f>
        <v>200000</v>
      </c>
      <c r="I116" s="1831">
        <f>+H116-F116</f>
        <v>0</v>
      </c>
      <c r="J116" s="1692"/>
    </row>
    <row r="117" spans="1:10" ht="20.25" customHeight="1" outlineLevel="1" x14ac:dyDescent="0.2">
      <c r="A117" s="229" t="s">
        <v>343</v>
      </c>
      <c r="B117" s="317">
        <v>5169</v>
      </c>
      <c r="C117" s="186" t="s">
        <v>643</v>
      </c>
      <c r="D117" s="471"/>
      <c r="E117" s="471"/>
      <c r="F117" s="471"/>
      <c r="G117" s="475">
        <f t="shared" si="1"/>
        <v>0</v>
      </c>
      <c r="I117" s="1831"/>
      <c r="J117" s="1692"/>
    </row>
    <row r="118" spans="1:10" ht="20.25" customHeight="1" outlineLevel="1" x14ac:dyDescent="0.2">
      <c r="A118" s="230" t="s">
        <v>343</v>
      </c>
      <c r="B118" s="119">
        <v>5169</v>
      </c>
      <c r="C118" s="120"/>
      <c r="D118" s="473"/>
      <c r="E118" s="473"/>
      <c r="F118" s="473"/>
      <c r="G118" s="476">
        <f t="shared" si="1"/>
        <v>0</v>
      </c>
      <c r="I118" s="1831"/>
      <c r="J118" s="1692"/>
    </row>
    <row r="119" spans="1:10" ht="20.25" customHeight="1" outlineLevel="1" x14ac:dyDescent="0.2">
      <c r="A119" s="230" t="s">
        <v>343</v>
      </c>
      <c r="B119" s="119">
        <v>5169</v>
      </c>
      <c r="C119" s="49"/>
      <c r="D119" s="473"/>
      <c r="E119" s="473"/>
      <c r="F119" s="473"/>
      <c r="G119" s="467">
        <f t="shared" si="1"/>
        <v>0</v>
      </c>
      <c r="I119" s="1831"/>
      <c r="J119" s="1692"/>
    </row>
    <row r="120" spans="1:10" ht="20.25" customHeight="1" thickBot="1" x14ac:dyDescent="0.25">
      <c r="A120" s="228"/>
      <c r="B120" s="185"/>
      <c r="C120" s="183" t="s">
        <v>411</v>
      </c>
      <c r="D120" s="184">
        <v>0</v>
      </c>
      <c r="E120" s="184">
        <v>0</v>
      </c>
      <c r="F120" s="184">
        <f>SUM(F117:F119)</f>
        <v>0</v>
      </c>
      <c r="G120" s="468">
        <f t="shared" si="1"/>
        <v>0</v>
      </c>
      <c r="H120" s="1740">
        <f>'Sumář  výdaje kapitol'!BZ34</f>
        <v>0</v>
      </c>
      <c r="I120" s="1831">
        <f>+H120-F120</f>
        <v>0</v>
      </c>
      <c r="J120" s="1692"/>
    </row>
    <row r="121" spans="1:10" ht="20.25" customHeight="1" outlineLevel="1" x14ac:dyDescent="0.2">
      <c r="A121" s="229" t="s">
        <v>304</v>
      </c>
      <c r="B121" s="317">
        <v>5169</v>
      </c>
      <c r="C121" s="186" t="s">
        <v>946</v>
      </c>
      <c r="D121" s="471">
        <v>50000</v>
      </c>
      <c r="E121" s="471">
        <v>72000</v>
      </c>
      <c r="F121" s="471">
        <f>[4]Kanalizace!$B$5</f>
        <v>72000</v>
      </c>
      <c r="G121" s="475">
        <f t="shared" si="1"/>
        <v>0</v>
      </c>
      <c r="I121" s="1831"/>
      <c r="J121" s="1692"/>
    </row>
    <row r="122" spans="1:10" ht="20.25" customHeight="1" outlineLevel="1" x14ac:dyDescent="0.2">
      <c r="A122" s="230" t="s">
        <v>304</v>
      </c>
      <c r="B122" s="119">
        <v>5169</v>
      </c>
      <c r="C122" s="49" t="s">
        <v>947</v>
      </c>
      <c r="D122" s="473">
        <v>10000</v>
      </c>
      <c r="E122" s="473">
        <v>0</v>
      </c>
      <c r="F122" s="473">
        <f>[4]Kanalizace!$B$6</f>
        <v>0</v>
      </c>
      <c r="G122" s="467">
        <f t="shared" si="1"/>
        <v>0</v>
      </c>
      <c r="I122" s="1831"/>
      <c r="J122" s="1692"/>
    </row>
    <row r="123" spans="1:10" ht="20.25" customHeight="1" outlineLevel="1" x14ac:dyDescent="0.2">
      <c r="A123" s="230" t="s">
        <v>304</v>
      </c>
      <c r="B123" s="119">
        <v>5169</v>
      </c>
      <c r="C123" s="120" t="s">
        <v>1555</v>
      </c>
      <c r="D123" s="473"/>
      <c r="E123" s="473">
        <v>0</v>
      </c>
      <c r="F123" s="473">
        <f>[4]Kanalizace!$D$7</f>
        <v>0</v>
      </c>
      <c r="G123" s="467">
        <f t="shared" si="1"/>
        <v>0</v>
      </c>
      <c r="I123" s="1831"/>
      <c r="J123" s="1692"/>
    </row>
    <row r="124" spans="1:10" ht="20.25" customHeight="1" thickBot="1" x14ac:dyDescent="0.25">
      <c r="A124" s="228"/>
      <c r="B124" s="185"/>
      <c r="C124" s="183" t="s">
        <v>1457</v>
      </c>
      <c r="D124" s="184">
        <v>60000</v>
      </c>
      <c r="E124" s="184">
        <v>72000</v>
      </c>
      <c r="F124" s="184">
        <f>SUM(F121:F123)</f>
        <v>72000</v>
      </c>
      <c r="G124" s="468">
        <f t="shared" si="1"/>
        <v>0</v>
      </c>
      <c r="H124" s="1740">
        <f>'Sumář  výdaje kapitol'!BY34</f>
        <v>72000</v>
      </c>
      <c r="I124" s="1831">
        <f>+H124-F124</f>
        <v>0</v>
      </c>
      <c r="J124" s="1692"/>
    </row>
    <row r="125" spans="1:10" ht="20.25" customHeight="1" outlineLevel="1" x14ac:dyDescent="0.2">
      <c r="A125" s="225" t="s">
        <v>905</v>
      </c>
      <c r="B125" s="46">
        <v>5169</v>
      </c>
      <c r="C125" s="47" t="s">
        <v>951</v>
      </c>
      <c r="D125" s="472">
        <v>4950000</v>
      </c>
      <c r="E125" s="472">
        <v>4950000</v>
      </c>
      <c r="F125" s="472">
        <f>'[2]Popelnice 3722-1'!$B$22</f>
        <v>4950000</v>
      </c>
      <c r="G125" s="474">
        <f t="shared" si="1"/>
        <v>0</v>
      </c>
      <c r="I125" s="1831"/>
      <c r="J125" s="1692"/>
    </row>
    <row r="126" spans="1:10" ht="20.25" customHeight="1" outlineLevel="1" x14ac:dyDescent="0.2">
      <c r="A126" s="229" t="s">
        <v>905</v>
      </c>
      <c r="B126" s="317">
        <v>5169</v>
      </c>
      <c r="C126" s="186" t="s">
        <v>952</v>
      </c>
      <c r="D126" s="181">
        <v>0</v>
      </c>
      <c r="E126" s="181">
        <v>0</v>
      </c>
      <c r="F126" s="181">
        <f>'[2]Popelnice 3722-1'!$B$23</f>
        <v>0</v>
      </c>
      <c r="G126" s="466">
        <f t="shared" si="1"/>
        <v>0</v>
      </c>
      <c r="I126" s="1831"/>
      <c r="J126" s="1692"/>
    </row>
    <row r="127" spans="1:10" ht="20.25" customHeight="1" thickBot="1" x14ac:dyDescent="0.25">
      <c r="A127" s="228"/>
      <c r="B127" s="185"/>
      <c r="C127" s="183" t="s">
        <v>241</v>
      </c>
      <c r="D127" s="184">
        <v>4950000</v>
      </c>
      <c r="E127" s="184">
        <v>4950000</v>
      </c>
      <c r="F127" s="184">
        <f>SUM(F125:F126)</f>
        <v>4950000</v>
      </c>
      <c r="G127" s="468">
        <f t="shared" si="1"/>
        <v>0</v>
      </c>
      <c r="H127" s="1740">
        <f>'Sumář  výdaje kapitol'!CE34</f>
        <v>4950000</v>
      </c>
      <c r="I127" s="1831">
        <f>+H127-F127</f>
        <v>0</v>
      </c>
      <c r="J127" s="1692"/>
    </row>
    <row r="128" spans="1:10" ht="20.25" customHeight="1" outlineLevel="1" x14ac:dyDescent="0.2">
      <c r="A128" s="225" t="s">
        <v>267</v>
      </c>
      <c r="B128" s="46">
        <v>5169</v>
      </c>
      <c r="C128" s="47" t="s">
        <v>953</v>
      </c>
      <c r="D128" s="472">
        <v>650000</v>
      </c>
      <c r="E128" s="472">
        <v>650000</v>
      </c>
      <c r="F128" s="472">
        <f>'[2]Odpady 3722-34'!$B$6</f>
        <v>650000</v>
      </c>
      <c r="G128" s="474">
        <f t="shared" si="1"/>
        <v>0</v>
      </c>
      <c r="I128" s="1831"/>
      <c r="J128" s="1692"/>
    </row>
    <row r="129" spans="1:10" ht="20.25" customHeight="1" outlineLevel="1" x14ac:dyDescent="0.2">
      <c r="A129" s="227" t="s">
        <v>267</v>
      </c>
      <c r="B129" s="48">
        <v>5169</v>
      </c>
      <c r="C129" s="49" t="s">
        <v>954</v>
      </c>
      <c r="D129" s="50">
        <v>30000</v>
      </c>
      <c r="E129" s="50">
        <v>30000</v>
      </c>
      <c r="F129" s="50">
        <f>'[2]Odpady 3722-34'!$B$7</f>
        <v>30000</v>
      </c>
      <c r="G129" s="467">
        <f t="shared" si="1"/>
        <v>0</v>
      </c>
      <c r="I129" s="1831"/>
      <c r="J129" s="1692"/>
    </row>
    <row r="130" spans="1:10" ht="20.25" customHeight="1" outlineLevel="1" x14ac:dyDescent="0.2">
      <c r="A130" s="229" t="s">
        <v>267</v>
      </c>
      <c r="B130" s="317">
        <v>5169</v>
      </c>
      <c r="C130" s="186" t="s">
        <v>955</v>
      </c>
      <c r="D130" s="181">
        <v>30000</v>
      </c>
      <c r="E130" s="181">
        <v>30000</v>
      </c>
      <c r="F130" s="181">
        <f>'[2]Odpady 3722-34'!$B$8</f>
        <v>30000</v>
      </c>
      <c r="G130" s="466">
        <f t="shared" si="1"/>
        <v>0</v>
      </c>
      <c r="I130" s="1831"/>
      <c r="J130" s="1692"/>
    </row>
    <row r="131" spans="1:10" ht="20.25" customHeight="1" thickBot="1" x14ac:dyDescent="0.25">
      <c r="A131" s="228"/>
      <c r="B131" s="185"/>
      <c r="C131" s="183" t="s">
        <v>242</v>
      </c>
      <c r="D131" s="184">
        <v>710000</v>
      </c>
      <c r="E131" s="184">
        <v>710000</v>
      </c>
      <c r="F131" s="184">
        <f>SUM(F128:F130)</f>
        <v>710000</v>
      </c>
      <c r="G131" s="468">
        <f t="shared" si="1"/>
        <v>0</v>
      </c>
      <c r="H131" s="1740">
        <f>'Sumář  výdaje kapitol'!CH34</f>
        <v>710000</v>
      </c>
      <c r="I131" s="1831">
        <f>+H131-F131</f>
        <v>0</v>
      </c>
      <c r="J131" s="1692"/>
    </row>
    <row r="132" spans="1:10" ht="20.25" customHeight="1" outlineLevel="1" x14ac:dyDescent="0.2">
      <c r="A132" s="225">
        <v>3729</v>
      </c>
      <c r="B132" s="46">
        <v>5169</v>
      </c>
      <c r="C132" s="47" t="s">
        <v>956</v>
      </c>
      <c r="D132" s="472">
        <v>70000</v>
      </c>
      <c r="E132" s="472">
        <v>70000</v>
      </c>
      <c r="F132" s="472">
        <f>'[2]Černé skládky 3729'!$B$6</f>
        <v>70000</v>
      </c>
      <c r="G132" s="474">
        <f t="shared" si="1"/>
        <v>0</v>
      </c>
      <c r="I132" s="1831"/>
      <c r="J132" s="1692"/>
    </row>
    <row r="133" spans="1:10" ht="20.25" customHeight="1" x14ac:dyDescent="0.2">
      <c r="A133" s="229">
        <v>3729</v>
      </c>
      <c r="B133" s="317">
        <v>5169</v>
      </c>
      <c r="C133" s="186"/>
      <c r="D133" s="181"/>
      <c r="E133" s="181"/>
      <c r="F133" s="181"/>
      <c r="G133" s="466">
        <f t="shared" si="1"/>
        <v>0</v>
      </c>
      <c r="I133" s="1831"/>
      <c r="J133" s="1692"/>
    </row>
    <row r="134" spans="1:10" ht="20.25" customHeight="1" thickBot="1" x14ac:dyDescent="0.25">
      <c r="A134" s="228"/>
      <c r="B134" s="185"/>
      <c r="C134" s="183" t="s">
        <v>906</v>
      </c>
      <c r="D134" s="184">
        <v>70000</v>
      </c>
      <c r="E134" s="184">
        <v>70000</v>
      </c>
      <c r="F134" s="184">
        <f>SUM(F132:F133)</f>
        <v>70000</v>
      </c>
      <c r="G134" s="468">
        <f t="shared" si="1"/>
        <v>0</v>
      </c>
      <c r="H134" s="1740">
        <f>'Sumář  výdaje kapitol'!CK34</f>
        <v>70000</v>
      </c>
      <c r="I134" s="1831">
        <f>+H134-F134</f>
        <v>0</v>
      </c>
      <c r="J134" s="1692"/>
    </row>
    <row r="135" spans="1:10" ht="20.25" customHeight="1" outlineLevel="1" x14ac:dyDescent="0.2">
      <c r="A135" s="225">
        <v>3744</v>
      </c>
      <c r="B135" s="46">
        <v>5169</v>
      </c>
      <c r="C135" s="47" t="s">
        <v>957</v>
      </c>
      <c r="D135" s="472">
        <v>60000</v>
      </c>
      <c r="E135" s="472">
        <v>60000</v>
      </c>
      <c r="F135" s="472">
        <f>'[2]Povodeň 3744'!$B$14</f>
        <v>60000</v>
      </c>
      <c r="G135" s="474">
        <f t="shared" si="1"/>
        <v>0</v>
      </c>
      <c r="I135" s="1831"/>
      <c r="J135" s="1692"/>
    </row>
    <row r="136" spans="1:10" ht="20.25" customHeight="1" outlineLevel="1" x14ac:dyDescent="0.2">
      <c r="A136" s="227">
        <v>3744</v>
      </c>
      <c r="B136" s="48">
        <v>5169</v>
      </c>
      <c r="C136" s="49" t="s">
        <v>958</v>
      </c>
      <c r="D136" s="478">
        <v>6500</v>
      </c>
      <c r="E136" s="478">
        <v>6500</v>
      </c>
      <c r="F136" s="478">
        <f>'[2]Povodeň 3744'!$B$15</f>
        <v>6500</v>
      </c>
      <c r="G136" s="476">
        <f t="shared" ref="G136:G154" si="2">+F136-E136</f>
        <v>0</v>
      </c>
      <c r="I136" s="1831"/>
      <c r="J136" s="1692"/>
    </row>
    <row r="137" spans="1:10" ht="20.25" customHeight="1" x14ac:dyDescent="0.2">
      <c r="A137" s="229">
        <v>3744</v>
      </c>
      <c r="B137" s="317">
        <v>5169</v>
      </c>
      <c r="C137" s="186" t="s">
        <v>959</v>
      </c>
      <c r="D137" s="181">
        <v>0</v>
      </c>
      <c r="E137" s="181">
        <v>0</v>
      </c>
      <c r="F137" s="181">
        <f>'[2]Povodeň 3744'!$B$16</f>
        <v>0</v>
      </c>
      <c r="G137" s="466">
        <f t="shared" si="2"/>
        <v>0</v>
      </c>
      <c r="I137" s="1831"/>
      <c r="J137" s="1692"/>
    </row>
    <row r="138" spans="1:10" ht="20.25" customHeight="1" thickBot="1" x14ac:dyDescent="0.25">
      <c r="A138" s="228"/>
      <c r="B138" s="185"/>
      <c r="C138" s="183" t="s">
        <v>244</v>
      </c>
      <c r="D138" s="184">
        <v>66500</v>
      </c>
      <c r="E138" s="184">
        <v>66500</v>
      </c>
      <c r="F138" s="184">
        <f>SUM(F135:F137)</f>
        <v>66500</v>
      </c>
      <c r="G138" s="468">
        <f t="shared" si="2"/>
        <v>0</v>
      </c>
      <c r="H138" s="1740">
        <f>'Sumář  výdaje kapitol'!CN34</f>
        <v>66500</v>
      </c>
      <c r="I138" s="1831">
        <f>+H138-F138</f>
        <v>0</v>
      </c>
      <c r="J138" s="1692"/>
    </row>
    <row r="139" spans="1:10" ht="20.25" customHeight="1" outlineLevel="1" x14ac:dyDescent="0.2">
      <c r="A139" s="225" t="s">
        <v>503</v>
      </c>
      <c r="B139" s="46">
        <v>5169</v>
      </c>
      <c r="C139" s="47" t="s">
        <v>1438</v>
      </c>
      <c r="D139" s="472">
        <v>400000</v>
      </c>
      <c r="E139" s="472">
        <v>400000</v>
      </c>
      <c r="F139" s="472">
        <f>'[2]Rybníky 3749-2'!$B$23</f>
        <v>400000</v>
      </c>
      <c r="G139" s="474">
        <f t="shared" si="2"/>
        <v>0</v>
      </c>
      <c r="I139" s="1831"/>
      <c r="J139" s="1692"/>
    </row>
    <row r="140" spans="1:10" ht="20.25" customHeight="1" outlineLevel="1" x14ac:dyDescent="0.2">
      <c r="A140" s="229" t="s">
        <v>503</v>
      </c>
      <c r="B140" s="317">
        <v>5169</v>
      </c>
      <c r="C140" s="179" t="s">
        <v>1439</v>
      </c>
      <c r="D140" s="471">
        <v>21000</v>
      </c>
      <c r="E140" s="471">
        <v>21000</v>
      </c>
      <c r="F140" s="471">
        <f>'[2]Rybníky 3749-2'!$B$24</f>
        <v>21000</v>
      </c>
      <c r="G140" s="466">
        <f t="shared" si="2"/>
        <v>0</v>
      </c>
      <c r="I140" s="1831"/>
      <c r="J140" s="1692"/>
    </row>
    <row r="141" spans="1:10" ht="20.25" customHeight="1" thickBot="1" x14ac:dyDescent="0.25">
      <c r="A141" s="228"/>
      <c r="B141" s="185"/>
      <c r="C141" s="183" t="s">
        <v>504</v>
      </c>
      <c r="D141" s="184">
        <v>421000</v>
      </c>
      <c r="E141" s="184">
        <v>421000</v>
      </c>
      <c r="F141" s="184">
        <f>SUM(F139:F140)</f>
        <v>421000</v>
      </c>
      <c r="G141" s="468">
        <f t="shared" si="2"/>
        <v>0</v>
      </c>
      <c r="H141" s="1740">
        <f>'Sumář  výdaje kapitol'!CS34</f>
        <v>421000</v>
      </c>
      <c r="I141" s="1831">
        <f>+H141-F141</f>
        <v>0</v>
      </c>
      <c r="J141" s="1692"/>
    </row>
    <row r="142" spans="1:10" ht="20.25" customHeight="1" outlineLevel="1" x14ac:dyDescent="0.2">
      <c r="A142" s="225" t="s">
        <v>268</v>
      </c>
      <c r="B142" s="46">
        <v>5169</v>
      </c>
      <c r="C142" s="47" t="s">
        <v>962</v>
      </c>
      <c r="D142" s="472">
        <v>2000000</v>
      </c>
      <c r="E142" s="472">
        <v>2000000</v>
      </c>
      <c r="F142" s="472">
        <f>'[2]TSÚ-Sběrný dvůr 3722-36'!$B$6</f>
        <v>2000000</v>
      </c>
      <c r="G142" s="474">
        <f t="shared" si="2"/>
        <v>0</v>
      </c>
      <c r="I142" s="1831"/>
      <c r="J142" s="1692"/>
    </row>
    <row r="143" spans="1:10" ht="20.25" customHeight="1" x14ac:dyDescent="0.2">
      <c r="A143" s="229" t="s">
        <v>268</v>
      </c>
      <c r="B143" s="317">
        <v>5169</v>
      </c>
      <c r="C143" s="186"/>
      <c r="D143" s="181"/>
      <c r="E143" s="181"/>
      <c r="F143" s="181"/>
      <c r="G143" s="466">
        <f t="shared" si="2"/>
        <v>0</v>
      </c>
      <c r="I143" s="1831"/>
      <c r="J143" s="1692"/>
    </row>
    <row r="144" spans="1:10" ht="20.25" customHeight="1" thickBot="1" x14ac:dyDescent="0.25">
      <c r="A144" s="228"/>
      <c r="B144" s="185"/>
      <c r="C144" s="183" t="s">
        <v>907</v>
      </c>
      <c r="D144" s="184">
        <v>2000000</v>
      </c>
      <c r="E144" s="184">
        <v>2000000</v>
      </c>
      <c r="F144" s="184">
        <f>SUM(F142:F143)</f>
        <v>2000000</v>
      </c>
      <c r="G144" s="468">
        <f t="shared" si="2"/>
        <v>0</v>
      </c>
      <c r="H144" s="1740">
        <f>'Sumář  výdaje kapitol'!CV34</f>
        <v>2000000</v>
      </c>
      <c r="I144" s="1831">
        <f>+H144-F144</f>
        <v>0</v>
      </c>
      <c r="J144" s="1692"/>
    </row>
    <row r="145" spans="1:10" ht="20.25" customHeight="1" outlineLevel="1" x14ac:dyDescent="0.2">
      <c r="A145" s="225">
        <v>3114</v>
      </c>
      <c r="B145" s="46">
        <v>5169</v>
      </c>
      <c r="C145" s="47" t="s">
        <v>919</v>
      </c>
      <c r="D145" s="472">
        <v>10000</v>
      </c>
      <c r="E145" s="472">
        <v>10000</v>
      </c>
      <c r="F145" s="472">
        <f>[3]č.p.65!$B$47</f>
        <v>10000</v>
      </c>
      <c r="G145" s="474">
        <f t="shared" si="2"/>
        <v>0</v>
      </c>
      <c r="I145" s="1831"/>
      <c r="J145" s="1692"/>
    </row>
    <row r="146" spans="1:10" ht="20.25" customHeight="1" outlineLevel="1" x14ac:dyDescent="0.2">
      <c r="A146" s="227">
        <v>3114</v>
      </c>
      <c r="B146" s="48">
        <v>5169</v>
      </c>
      <c r="C146" s="49" t="s">
        <v>1622</v>
      </c>
      <c r="D146" s="478">
        <v>0</v>
      </c>
      <c r="E146" s="478">
        <v>50000</v>
      </c>
      <c r="F146" s="478">
        <f>'[4]Č.p. 65'!$B$7</f>
        <v>50000</v>
      </c>
      <c r="G146" s="467">
        <f t="shared" si="2"/>
        <v>0</v>
      </c>
      <c r="I146" s="1831"/>
      <c r="J146" s="1692"/>
    </row>
    <row r="147" spans="1:10" ht="20.25" customHeight="1" outlineLevel="1" x14ac:dyDescent="0.2">
      <c r="A147" s="227">
        <v>3114</v>
      </c>
      <c r="B147" s="48">
        <v>5169</v>
      </c>
      <c r="C147" s="49" t="s">
        <v>927</v>
      </c>
      <c r="D147" s="478">
        <v>10000</v>
      </c>
      <c r="E147" s="478">
        <v>10000</v>
      </c>
      <c r="F147" s="478">
        <f>'[4]Č.p. 65'!$B$5</f>
        <v>10000</v>
      </c>
      <c r="G147" s="467">
        <f t="shared" si="2"/>
        <v>0</v>
      </c>
      <c r="I147" s="1831"/>
      <c r="J147" s="1692"/>
    </row>
    <row r="148" spans="1:10" ht="20.25" customHeight="1" outlineLevel="1" x14ac:dyDescent="0.2">
      <c r="A148" s="229">
        <v>3114</v>
      </c>
      <c r="B148" s="317">
        <v>5169</v>
      </c>
      <c r="C148" s="186" t="s">
        <v>948</v>
      </c>
      <c r="D148" s="471">
        <v>6000</v>
      </c>
      <c r="E148" s="471">
        <v>6000</v>
      </c>
      <c r="F148" s="471">
        <f>'[4]Č.p. 65'!$B$6</f>
        <v>6000</v>
      </c>
      <c r="G148" s="467">
        <f t="shared" si="2"/>
        <v>0</v>
      </c>
      <c r="I148" s="1831"/>
      <c r="J148" s="1692"/>
    </row>
    <row r="149" spans="1:10" ht="20.25" customHeight="1" thickBot="1" x14ac:dyDescent="0.25">
      <c r="A149" s="228"/>
      <c r="B149" s="185"/>
      <c r="C149" s="183" t="s">
        <v>324</v>
      </c>
      <c r="D149" s="184">
        <v>26000</v>
      </c>
      <c r="E149" s="184">
        <v>76000</v>
      </c>
      <c r="F149" s="184">
        <f>SUM(F145:F148)</f>
        <v>76000</v>
      </c>
      <c r="G149" s="468">
        <f t="shared" si="2"/>
        <v>0</v>
      </c>
      <c r="H149" s="1740">
        <f>'Sumář  výdaje kapitol'!AT34</f>
        <v>76000</v>
      </c>
      <c r="I149" s="1831">
        <f>+H149-F149</f>
        <v>0</v>
      </c>
      <c r="J149" s="1692"/>
    </row>
    <row r="150" spans="1:10" ht="20.25" customHeight="1" outlineLevel="1" x14ac:dyDescent="0.2">
      <c r="A150" s="229" t="s">
        <v>309</v>
      </c>
      <c r="B150" s="317">
        <v>5169</v>
      </c>
      <c r="C150" s="186" t="s">
        <v>421</v>
      </c>
      <c r="D150" s="471"/>
      <c r="E150" s="471"/>
      <c r="F150" s="471"/>
      <c r="G150" s="475">
        <f t="shared" si="2"/>
        <v>0</v>
      </c>
      <c r="I150" s="1831"/>
      <c r="J150" s="1692"/>
    </row>
    <row r="151" spans="1:10" ht="20.25" customHeight="1" outlineLevel="1" x14ac:dyDescent="0.2">
      <c r="A151" s="227" t="s">
        <v>309</v>
      </c>
      <c r="B151" s="48">
        <v>5169</v>
      </c>
      <c r="C151" s="49"/>
      <c r="D151" s="478"/>
      <c r="E151" s="478"/>
      <c r="F151" s="478"/>
      <c r="G151" s="476">
        <f t="shared" si="2"/>
        <v>0</v>
      </c>
      <c r="I151" s="1831"/>
      <c r="J151" s="1692"/>
    </row>
    <row r="152" spans="1:10" ht="20.25" customHeight="1" outlineLevel="1" x14ac:dyDescent="0.2">
      <c r="A152" s="226" t="s">
        <v>309</v>
      </c>
      <c r="B152" s="280">
        <v>5169</v>
      </c>
      <c r="C152" s="179"/>
      <c r="D152" s="180"/>
      <c r="E152" s="180"/>
      <c r="F152" s="180"/>
      <c r="G152" s="466">
        <f t="shared" si="2"/>
        <v>0</v>
      </c>
      <c r="I152" s="1831"/>
      <c r="J152" s="1692"/>
    </row>
    <row r="153" spans="1:10" ht="20.25" customHeight="1" thickBot="1" x14ac:dyDescent="0.25">
      <c r="A153" s="230"/>
      <c r="B153" s="119"/>
      <c r="C153" s="187" t="s">
        <v>327</v>
      </c>
      <c r="D153" s="121">
        <v>0</v>
      </c>
      <c r="E153" s="121">
        <v>0</v>
      </c>
      <c r="F153" s="121">
        <f>SUM(F150:F152)</f>
        <v>0</v>
      </c>
      <c r="G153" s="467">
        <f t="shared" si="2"/>
        <v>0</v>
      </c>
      <c r="H153" s="1740">
        <f>'Sumář  výdaje kapitol'!BX34</f>
        <v>0</v>
      </c>
      <c r="I153" s="1831">
        <f>+H153-F153</f>
        <v>0</v>
      </c>
      <c r="J153" s="1692"/>
    </row>
    <row r="154" spans="1:10" s="1689" customFormat="1" ht="16.5" thickBot="1" x14ac:dyDescent="0.3">
      <c r="A154" s="1952" t="s">
        <v>908</v>
      </c>
      <c r="B154" s="1953"/>
      <c r="C154" s="1967"/>
      <c r="D154" s="122">
        <f>+D9+D12+D16+D19+D22+D25+D28+D31+D33+D39+D42+D45+D48+D51+D54+D58+D62+D65+D70+D73+D76+D79+D83+D86+D89+D92+D97+D100+D103+D106+D112+D116+D120+D124+D127+D131+D134+D138+D141+D144+D149+D153</f>
        <v>16355600</v>
      </c>
      <c r="E154" s="122">
        <v>16827600</v>
      </c>
      <c r="F154" s="122">
        <f>+F9+F12+F16+F19+F22+F25+F28+F31+F33+F39+F42+F45+F48+F51+F54+F58+F62+F65+F70+F73+F76+F79+F83+F86+F89+F92+F97+F100+F103+F106+F112+F116+F120+F124+F127+F131+F134+F138+F141+F144+F149+F153</f>
        <v>17147600</v>
      </c>
      <c r="G154" s="470">
        <f t="shared" si="2"/>
        <v>320000</v>
      </c>
      <c r="H154" s="1832"/>
      <c r="I154" s="1832"/>
      <c r="J154" s="1692"/>
    </row>
    <row r="155" spans="1:10" x14ac:dyDescent="0.2">
      <c r="A155" s="9"/>
      <c r="B155" s="9"/>
      <c r="C155" s="9"/>
      <c r="D155" s="13">
        <f>'[8]Sumář  výdaje kapitol'!$G$34</f>
        <v>16355600</v>
      </c>
      <c r="E155" s="13">
        <v>16827600</v>
      </c>
      <c r="F155" s="13">
        <f>'Sumář  výdaje kapitol'!I34</f>
        <v>17147600</v>
      </c>
      <c r="G155" s="207"/>
    </row>
    <row r="156" spans="1:10" s="1694" customFormat="1" x14ac:dyDescent="0.2">
      <c r="A156" s="144"/>
      <c r="B156" s="144"/>
      <c r="C156" s="144" t="s">
        <v>329</v>
      </c>
      <c r="D156" s="207">
        <f>+D155-D154</f>
        <v>0</v>
      </c>
      <c r="E156" s="207">
        <v>0</v>
      </c>
      <c r="F156" s="207">
        <f>+F155-F154</f>
        <v>0</v>
      </c>
      <c r="G156" s="207"/>
      <c r="H156" s="1741"/>
      <c r="I156" s="1741"/>
    </row>
    <row r="157" spans="1:10" x14ac:dyDescent="0.2">
      <c r="A157" s="497" t="s">
        <v>1028</v>
      </c>
      <c r="B157" s="9"/>
      <c r="C157" s="9"/>
      <c r="D157" s="13"/>
      <c r="E157" s="13"/>
      <c r="F157" s="13"/>
      <c r="G157" s="207"/>
    </row>
  </sheetData>
  <sheetProtection password="CF41" sheet="1" objects="1" scenarios="1"/>
  <mergeCells count="2">
    <mergeCell ref="A4:C4"/>
    <mergeCell ref="A154:C154"/>
  </mergeCells>
  <pageMargins left="0.51181102362204722" right="0.51181102362204722" top="0.19685039370078741" bottom="0.19685039370078741" header="0.31496062992125984" footer="0.31496062992125984"/>
  <pageSetup paperSize="9" scale="56" fitToHeight="3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J61"/>
  <sheetViews>
    <sheetView workbookViewId="0"/>
  </sheetViews>
  <sheetFormatPr defaultRowHeight="12.75" x14ac:dyDescent="0.2"/>
  <cols>
    <col min="1" max="2" width="9.7109375" style="82" customWidth="1"/>
    <col min="3" max="3" width="66" style="82" customWidth="1"/>
    <col min="4" max="4" width="16.7109375" style="84" customWidth="1"/>
    <col min="5" max="5" width="16.42578125" style="82" customWidth="1"/>
    <col min="6" max="8" width="15.42578125" style="82" customWidth="1"/>
    <col min="9" max="16384" width="9.140625" style="82"/>
  </cols>
  <sheetData>
    <row r="2" spans="1:10" ht="20.25" customHeight="1" x14ac:dyDescent="0.35">
      <c r="A2" s="3" t="s">
        <v>390</v>
      </c>
      <c r="B2" s="208"/>
      <c r="C2" s="336"/>
      <c r="D2" s="336"/>
    </row>
    <row r="4" spans="1:10" ht="20.100000000000001" customHeight="1" x14ac:dyDescent="0.3">
      <c r="A4" s="83" t="s">
        <v>495</v>
      </c>
      <c r="B4" s="83"/>
    </row>
    <row r="5" spans="1:10" ht="15" customHeight="1" thickBot="1" x14ac:dyDescent="0.35">
      <c r="A5" s="83"/>
      <c r="B5" s="83"/>
      <c r="D5" s="98" t="s">
        <v>272</v>
      </c>
    </row>
    <row r="6" spans="1:10" s="85" customFormat="1" ht="35.25" customHeight="1" thickBot="1" x14ac:dyDescent="0.2">
      <c r="A6" s="99" t="s">
        <v>190</v>
      </c>
      <c r="B6" s="100" t="s">
        <v>125</v>
      </c>
      <c r="C6" s="99" t="s">
        <v>4</v>
      </c>
      <c r="D6" s="101" t="s">
        <v>2</v>
      </c>
      <c r="E6" s="102" t="s">
        <v>5</v>
      </c>
      <c r="F6" s="101" t="s">
        <v>6</v>
      </c>
      <c r="G6" s="101" t="s">
        <v>800</v>
      </c>
      <c r="H6" s="101" t="s">
        <v>799</v>
      </c>
    </row>
    <row r="7" spans="1:10" s="88" customFormat="1" ht="20.100000000000001" customHeight="1" thickBot="1" x14ac:dyDescent="0.3">
      <c r="A7" s="430"/>
      <c r="B7" s="431" t="s">
        <v>3</v>
      </c>
      <c r="C7" s="430"/>
      <c r="D7" s="87"/>
      <c r="E7" s="87"/>
      <c r="F7" s="87"/>
      <c r="G7" s="87"/>
      <c r="H7" s="87"/>
    </row>
    <row r="8" spans="1:10" s="216" customFormat="1" ht="15" customHeight="1" x14ac:dyDescent="0.2">
      <c r="A8" s="1970">
        <v>6171</v>
      </c>
      <c r="B8" s="213" t="s">
        <v>493</v>
      </c>
      <c r="C8" s="349"/>
      <c r="D8" s="90">
        <f t="shared" ref="D8:D39" si="0">+E8+F8</f>
        <v>0</v>
      </c>
      <c r="E8" s="106"/>
      <c r="F8" s="90">
        <f>'6111 - Programové vybavení'!F8</f>
        <v>0</v>
      </c>
      <c r="G8" s="90">
        <f>'6111 - Programové vybavení'!G8</f>
        <v>0</v>
      </c>
      <c r="H8" s="90">
        <f>'6111 - Programové vybavení'!H8</f>
        <v>0</v>
      </c>
      <c r="I8" s="215"/>
      <c r="J8" s="215"/>
    </row>
    <row r="9" spans="1:10" s="216" customFormat="1" ht="15" customHeight="1" thickBot="1" x14ac:dyDescent="0.25">
      <c r="A9" s="1971"/>
      <c r="B9" s="346" t="s">
        <v>494</v>
      </c>
      <c r="C9" s="348"/>
      <c r="D9" s="307">
        <f t="shared" si="0"/>
        <v>350000</v>
      </c>
      <c r="E9" s="308"/>
      <c r="F9" s="307">
        <f>'6123 - Dopravní prostředky'!F8</f>
        <v>350000</v>
      </c>
      <c r="G9" s="307">
        <f>'6123 - Dopravní prostředky'!G8</f>
        <v>350000</v>
      </c>
      <c r="H9" s="307">
        <f>'6123 - Dopravní prostředky'!I8</f>
        <v>400000</v>
      </c>
      <c r="I9" s="215"/>
      <c r="J9" s="215"/>
    </row>
    <row r="10" spans="1:10" s="92" customFormat="1" ht="15" customHeight="1" thickBot="1" x14ac:dyDescent="0.25">
      <c r="A10" s="217" t="s">
        <v>308</v>
      </c>
      <c r="B10" s="218" t="s">
        <v>493</v>
      </c>
      <c r="C10" s="277"/>
      <c r="D10" s="296">
        <f t="shared" si="0"/>
        <v>0</v>
      </c>
      <c r="E10" s="279"/>
      <c r="F10" s="296">
        <f>'6111 - Programové vybavení'!F9</f>
        <v>0</v>
      </c>
      <c r="G10" s="296">
        <f>'6111 - Programové vybavení'!G9</f>
        <v>0</v>
      </c>
      <c r="H10" s="296">
        <f>'6111 - Programové vybavení'!H9</f>
        <v>0</v>
      </c>
    </row>
    <row r="11" spans="1:10" s="216" customFormat="1" ht="15" customHeight="1" thickBot="1" x14ac:dyDescent="0.25">
      <c r="A11" s="354">
        <v>3639</v>
      </c>
      <c r="B11" s="355">
        <v>6121</v>
      </c>
      <c r="C11" s="288" t="s">
        <v>391</v>
      </c>
      <c r="D11" s="289" t="e">
        <f t="shared" si="0"/>
        <v>#REF!</v>
      </c>
      <c r="E11" s="290"/>
      <c r="F11" s="289" t="e">
        <f>'6121 - Budovy haly a stavby'!#REF!</f>
        <v>#REF!</v>
      </c>
      <c r="G11" s="289" t="e">
        <f>'6121 - Budovy haly a stavby'!#REF!</f>
        <v>#REF!</v>
      </c>
      <c r="H11" s="289" t="e">
        <f>'6121 - Budovy haly a stavby'!#REF!</f>
        <v>#REF!</v>
      </c>
      <c r="I11" s="215"/>
      <c r="J11" s="215"/>
    </row>
    <row r="12" spans="1:10" s="216" customFormat="1" ht="15" customHeight="1" thickBot="1" x14ac:dyDescent="0.25">
      <c r="A12" s="354">
        <v>3314</v>
      </c>
      <c r="B12" s="355">
        <v>6121</v>
      </c>
      <c r="C12" s="303" t="s">
        <v>294</v>
      </c>
      <c r="D12" s="289" t="e">
        <f t="shared" si="0"/>
        <v>#REF!</v>
      </c>
      <c r="E12" s="290"/>
      <c r="F12" s="289" t="e">
        <f>'6121 - Budovy haly a stavby'!#REF!</f>
        <v>#REF!</v>
      </c>
      <c r="G12" s="289" t="e">
        <f>'6121 - Budovy haly a stavby'!#REF!</f>
        <v>#REF!</v>
      </c>
      <c r="H12" s="289">
        <f>'6121 - Budovy haly a stavby'!E10</f>
        <v>0</v>
      </c>
    </row>
    <row r="13" spans="1:10" s="92" customFormat="1" ht="15" customHeight="1" thickBot="1" x14ac:dyDescent="0.25">
      <c r="A13" s="217">
        <v>3612</v>
      </c>
      <c r="B13" s="218">
        <v>6121</v>
      </c>
      <c r="C13" s="303" t="s">
        <v>293</v>
      </c>
      <c r="D13" s="289" t="e">
        <f t="shared" si="0"/>
        <v>#REF!</v>
      </c>
      <c r="E13" s="290" t="e">
        <f>'6121 - Budovy haly a stavby'!#REF!</f>
        <v>#REF!</v>
      </c>
      <c r="F13" s="289" t="e">
        <f>'6121 - Budovy haly a stavby'!#REF!</f>
        <v>#REF!</v>
      </c>
      <c r="G13" s="289" t="e">
        <f>'6121 - Budovy haly a stavby'!#REF!</f>
        <v>#REF!</v>
      </c>
      <c r="H13" s="289" t="e">
        <f>'6121 - Budovy haly a stavby'!#REF!</f>
        <v>#REF!</v>
      </c>
    </row>
    <row r="14" spans="1:10" s="92" customFormat="1" ht="15" customHeight="1" thickBot="1" x14ac:dyDescent="0.25">
      <c r="A14" s="217"/>
      <c r="B14" s="218">
        <v>6121</v>
      </c>
      <c r="C14" s="288" t="s">
        <v>405</v>
      </c>
      <c r="D14" s="289" t="e">
        <f t="shared" si="0"/>
        <v>#REF!</v>
      </c>
      <c r="E14" s="290"/>
      <c r="F14" s="289" t="e">
        <f>'6121 - Budovy haly a stavby'!#REF!</f>
        <v>#REF!</v>
      </c>
      <c r="G14" s="289" t="e">
        <f>'6121 - Budovy haly a stavby'!#REF!</f>
        <v>#REF!</v>
      </c>
      <c r="H14" s="289">
        <f>'6121 - Budovy haly a stavby'!E19</f>
        <v>0</v>
      </c>
    </row>
    <row r="15" spans="1:10" s="92" customFormat="1" ht="15" customHeight="1" thickBot="1" x14ac:dyDescent="0.25">
      <c r="A15" s="217"/>
      <c r="B15" s="218">
        <v>6121</v>
      </c>
      <c r="C15" s="288" t="s">
        <v>406</v>
      </c>
      <c r="D15" s="289" t="e">
        <f t="shared" si="0"/>
        <v>#REF!</v>
      </c>
      <c r="E15" s="290" t="e">
        <f>'6121 - Budovy haly a stavby'!#REF!</f>
        <v>#REF!</v>
      </c>
      <c r="F15" s="289" t="e">
        <f>'6121 - Budovy haly a stavby'!#REF!</f>
        <v>#REF!</v>
      </c>
      <c r="G15" s="289" t="e">
        <f>'6121 - Budovy haly a stavby'!#REF!</f>
        <v>#REF!</v>
      </c>
      <c r="H15" s="289">
        <f>'6121 - Budovy haly a stavby'!E27</f>
        <v>0</v>
      </c>
    </row>
    <row r="16" spans="1:10" s="92" customFormat="1" ht="15" customHeight="1" thickBot="1" x14ac:dyDescent="0.25">
      <c r="A16" s="217"/>
      <c r="B16" s="218">
        <v>6121</v>
      </c>
      <c r="C16" s="288" t="s">
        <v>407</v>
      </c>
      <c r="D16" s="289" t="e">
        <f t="shared" si="0"/>
        <v>#REF!</v>
      </c>
      <c r="E16" s="290"/>
      <c r="F16" s="289" t="e">
        <f>'6121 - Budovy haly a stavby'!#REF!</f>
        <v>#REF!</v>
      </c>
      <c r="G16" s="289" t="e">
        <f>'6121 - Budovy haly a stavby'!#REF!</f>
        <v>#REF!</v>
      </c>
      <c r="H16" s="289">
        <f>'6121 - Budovy haly a stavby'!E35</f>
        <v>0</v>
      </c>
    </row>
    <row r="17" spans="1:8" s="92" customFormat="1" ht="15" customHeight="1" thickBot="1" x14ac:dyDescent="0.3">
      <c r="A17" s="294"/>
      <c r="B17" s="295">
        <v>6121</v>
      </c>
      <c r="C17" s="297" t="s">
        <v>408</v>
      </c>
      <c r="D17" s="289" t="e">
        <f t="shared" si="0"/>
        <v>#REF!</v>
      </c>
      <c r="E17" s="290"/>
      <c r="F17" s="289" t="e">
        <f>'6121 - Budovy haly a stavby'!#REF!</f>
        <v>#REF!</v>
      </c>
      <c r="G17" s="289" t="e">
        <f>'6121 - Budovy haly a stavby'!#REF!</f>
        <v>#REF!</v>
      </c>
      <c r="H17" s="289">
        <f>'6121 - Budovy haly a stavby'!E43</f>
        <v>0</v>
      </c>
    </row>
    <row r="18" spans="1:8" s="216" customFormat="1" ht="15" customHeight="1" thickBot="1" x14ac:dyDescent="0.25">
      <c r="A18" s="354" t="s">
        <v>254</v>
      </c>
      <c r="B18" s="355">
        <v>6121</v>
      </c>
      <c r="C18" s="347" t="s">
        <v>217</v>
      </c>
      <c r="D18" s="289" t="e">
        <f t="shared" si="0"/>
        <v>#REF!</v>
      </c>
      <c r="E18" s="290"/>
      <c r="F18" s="289" t="e">
        <f>'6121 - Budovy haly a stavby'!#REF!</f>
        <v>#REF!</v>
      </c>
      <c r="G18" s="289" t="e">
        <f>'6121 - Budovy haly a stavby'!#REF!</f>
        <v>#REF!</v>
      </c>
      <c r="H18" s="289">
        <f>'6121 - Budovy haly a stavby'!E51</f>
        <v>0</v>
      </c>
    </row>
    <row r="19" spans="1:8" s="216" customFormat="1" ht="15" customHeight="1" thickBot="1" x14ac:dyDescent="0.25">
      <c r="A19" s="217" t="s">
        <v>255</v>
      </c>
      <c r="B19" s="218">
        <v>6121</v>
      </c>
      <c r="C19" s="305" t="s">
        <v>330</v>
      </c>
      <c r="D19" s="289" t="e">
        <f t="shared" si="0"/>
        <v>#REF!</v>
      </c>
      <c r="E19" s="290"/>
      <c r="F19" s="289" t="e">
        <f>'6121 - Budovy haly a stavby'!#REF!</f>
        <v>#REF!</v>
      </c>
      <c r="G19" s="289" t="e">
        <f>'6121 - Budovy haly a stavby'!#REF!</f>
        <v>#REF!</v>
      </c>
      <c r="H19" s="289">
        <f>'6121 - Budovy haly a stavby'!E63</f>
        <v>17900</v>
      </c>
    </row>
    <row r="20" spans="1:8" s="216" customFormat="1" ht="15" customHeight="1" thickBot="1" x14ac:dyDescent="0.25">
      <c r="A20" s="217"/>
      <c r="B20" s="218">
        <v>6121</v>
      </c>
      <c r="C20" s="298" t="s">
        <v>292</v>
      </c>
      <c r="D20" s="289" t="e">
        <f t="shared" si="0"/>
        <v>#REF!</v>
      </c>
      <c r="E20" s="290"/>
      <c r="F20" s="289" t="e">
        <f>'6121 - Budovy haly a stavby'!#REF!</f>
        <v>#REF!</v>
      </c>
      <c r="G20" s="289" t="e">
        <f>'6121 - Budovy haly a stavby'!#REF!</f>
        <v>#REF!</v>
      </c>
      <c r="H20" s="289">
        <f>'6121 - Budovy haly a stavby'!E70</f>
        <v>30000</v>
      </c>
    </row>
    <row r="21" spans="1:8" s="216" customFormat="1" ht="15" customHeight="1" thickBot="1" x14ac:dyDescent="0.25">
      <c r="A21" s="217"/>
      <c r="B21" s="218">
        <v>6121</v>
      </c>
      <c r="C21" s="298" t="s">
        <v>424</v>
      </c>
      <c r="D21" s="289" t="e">
        <f t="shared" si="0"/>
        <v>#REF!</v>
      </c>
      <c r="E21" s="290"/>
      <c r="F21" s="289" t="e">
        <f>'6121 - Budovy haly a stavby'!#REF!</f>
        <v>#REF!</v>
      </c>
      <c r="G21" s="289" t="e">
        <f>'6121 - Budovy haly a stavby'!#REF!</f>
        <v>#REF!</v>
      </c>
      <c r="H21" s="289">
        <f>'6121 - Budovy haly a stavby'!E77</f>
        <v>9350000</v>
      </c>
    </row>
    <row r="22" spans="1:8" s="216" customFormat="1" ht="15" customHeight="1" thickBot="1" x14ac:dyDescent="0.25">
      <c r="A22" s="345"/>
      <c r="B22" s="346">
        <v>6121</v>
      </c>
      <c r="C22" s="347" t="s">
        <v>414</v>
      </c>
      <c r="D22" s="289" t="e">
        <f t="shared" si="0"/>
        <v>#REF!</v>
      </c>
      <c r="E22" s="290"/>
      <c r="F22" s="289" t="e">
        <f>'6121 - Budovy haly a stavby'!#REF!</f>
        <v>#REF!</v>
      </c>
      <c r="G22" s="289" t="e">
        <f>'6121 - Budovy haly a stavby'!#REF!</f>
        <v>#REF!</v>
      </c>
      <c r="H22" s="289">
        <f>'6121 - Budovy haly a stavby'!E81</f>
        <v>4222870</v>
      </c>
    </row>
    <row r="23" spans="1:8" s="92" customFormat="1" ht="15" customHeight="1" thickBot="1" x14ac:dyDescent="0.25">
      <c r="A23" s="354">
        <v>5512</v>
      </c>
      <c r="B23" s="356">
        <v>6121</v>
      </c>
      <c r="C23" s="305" t="s">
        <v>219</v>
      </c>
      <c r="D23" s="299" t="e">
        <f t="shared" si="0"/>
        <v>#REF!</v>
      </c>
      <c r="E23" s="300"/>
      <c r="F23" s="299" t="e">
        <f>'6121 - Budovy haly a stavby'!#REF!</f>
        <v>#REF!</v>
      </c>
      <c r="G23" s="299" t="e">
        <f>'6121 - Budovy haly a stavby'!#REF!</f>
        <v>#REF!</v>
      </c>
      <c r="H23" s="299">
        <f>'6121 - Budovy haly a stavby'!E86</f>
        <v>0</v>
      </c>
    </row>
    <row r="24" spans="1:8" s="92" customFormat="1" ht="15" customHeight="1" thickBot="1" x14ac:dyDescent="0.25">
      <c r="A24" s="354">
        <v>3632</v>
      </c>
      <c r="B24" s="356">
        <v>6121</v>
      </c>
      <c r="C24" s="347" t="s">
        <v>222</v>
      </c>
      <c r="D24" s="299" t="e">
        <f t="shared" si="0"/>
        <v>#REF!</v>
      </c>
      <c r="E24" s="300"/>
      <c r="F24" s="299" t="e">
        <f>'6121 - Budovy haly a stavby'!#REF!</f>
        <v>#REF!</v>
      </c>
      <c r="G24" s="299" t="e">
        <f>'6121 - Budovy haly a stavby'!#REF!</f>
        <v>#REF!</v>
      </c>
      <c r="H24" s="299" t="e">
        <f>'6121 - Budovy haly a stavby'!E90</f>
        <v>#REF!</v>
      </c>
    </row>
    <row r="25" spans="1:8" s="92" customFormat="1" ht="15" hidden="1" customHeight="1" thickBot="1" x14ac:dyDescent="0.25">
      <c r="A25" s="354">
        <v>3113</v>
      </c>
      <c r="B25" s="356">
        <v>6121</v>
      </c>
      <c r="C25" s="305" t="s">
        <v>224</v>
      </c>
      <c r="D25" s="299" t="e">
        <f t="shared" si="0"/>
        <v>#REF!</v>
      </c>
      <c r="E25" s="300"/>
      <c r="F25" s="299" t="e">
        <f>'6121 - Budovy haly a stavby'!#REF!</f>
        <v>#REF!</v>
      </c>
      <c r="G25" s="299" t="e">
        <f>'6121 - Budovy haly a stavby'!#REF!</f>
        <v>#REF!</v>
      </c>
      <c r="H25" s="299" t="e">
        <f>'6121 - Budovy haly a stavby'!E94</f>
        <v>#REF!</v>
      </c>
    </row>
    <row r="26" spans="1:8" s="92" customFormat="1" ht="15" customHeight="1" thickBot="1" x14ac:dyDescent="0.25">
      <c r="A26" s="354">
        <v>3114</v>
      </c>
      <c r="B26" s="356">
        <v>6121</v>
      </c>
      <c r="C26" s="298" t="s">
        <v>225</v>
      </c>
      <c r="D26" s="299" t="e">
        <f t="shared" si="0"/>
        <v>#REF!</v>
      </c>
      <c r="E26" s="300"/>
      <c r="F26" s="299" t="e">
        <f>'6121 - Budovy haly a stavby'!#REF!</f>
        <v>#REF!</v>
      </c>
      <c r="G26" s="299" t="e">
        <f>'6121 - Budovy haly a stavby'!#REF!</f>
        <v>#REF!</v>
      </c>
      <c r="H26" s="299" t="e">
        <f>'6121 - Budovy haly a stavby'!E98</f>
        <v>#REF!</v>
      </c>
    </row>
    <row r="27" spans="1:8" s="92" customFormat="1" ht="15" customHeight="1" thickBot="1" x14ac:dyDescent="0.25">
      <c r="A27" s="354" t="s">
        <v>259</v>
      </c>
      <c r="B27" s="356">
        <v>6121</v>
      </c>
      <c r="C27" s="298" t="s">
        <v>228</v>
      </c>
      <c r="D27" s="299" t="e">
        <f t="shared" si="0"/>
        <v>#REF!</v>
      </c>
      <c r="E27" s="300" t="e">
        <f>'6121 - Budovy haly a stavby'!#REF!</f>
        <v>#REF!</v>
      </c>
      <c r="F27" s="299" t="e">
        <f>'6121 - Budovy haly a stavby'!#REF!</f>
        <v>#REF!</v>
      </c>
      <c r="G27" s="299" t="e">
        <f>'6121 - Budovy haly a stavby'!#REF!</f>
        <v>#REF!</v>
      </c>
      <c r="H27" s="299">
        <f>'6121 - Budovy haly a stavby'!E107</f>
        <v>19000000</v>
      </c>
    </row>
    <row r="28" spans="1:8" s="92" customFormat="1" ht="15" customHeight="1" thickBot="1" x14ac:dyDescent="0.25">
      <c r="A28" s="354" t="s">
        <v>260</v>
      </c>
      <c r="B28" s="356">
        <v>6121</v>
      </c>
      <c r="C28" s="298" t="s">
        <v>452</v>
      </c>
      <c r="D28" s="299" t="e">
        <f t="shared" si="0"/>
        <v>#REF!</v>
      </c>
      <c r="E28" s="300"/>
      <c r="F28" s="299" t="e">
        <f>'6121 - Budovy haly a stavby'!#REF!</f>
        <v>#REF!</v>
      </c>
      <c r="G28" s="299" t="e">
        <f>'6121 - Budovy haly a stavby'!#REF!</f>
        <v>#REF!</v>
      </c>
      <c r="H28" s="299">
        <f>'6121 - Budovy haly a stavby'!E116</f>
        <v>30000</v>
      </c>
    </row>
    <row r="29" spans="1:8" s="92" customFormat="1" ht="15" customHeight="1" thickBot="1" x14ac:dyDescent="0.25">
      <c r="A29" s="354" t="s">
        <v>393</v>
      </c>
      <c r="B29" s="356">
        <v>6121</v>
      </c>
      <c r="C29" s="347" t="s">
        <v>394</v>
      </c>
      <c r="D29" s="299" t="e">
        <f t="shared" si="0"/>
        <v>#REF!</v>
      </c>
      <c r="E29" s="300"/>
      <c r="F29" s="299" t="e">
        <f>'6121 - Budovy haly a stavby'!#REF!</f>
        <v>#REF!</v>
      </c>
      <c r="G29" s="299" t="e">
        <f>'6121 - Budovy haly a stavby'!#REF!</f>
        <v>#REF!</v>
      </c>
      <c r="H29" s="299">
        <f>'6121 - Budovy haly a stavby'!E140</f>
        <v>12477934</v>
      </c>
    </row>
    <row r="30" spans="1:8" s="92" customFormat="1" ht="15" customHeight="1" thickBot="1" x14ac:dyDescent="0.25">
      <c r="A30" s="354">
        <v>3631</v>
      </c>
      <c r="B30" s="356">
        <v>6121</v>
      </c>
      <c r="C30" s="305" t="s">
        <v>232</v>
      </c>
      <c r="D30" s="299">
        <f t="shared" si="0"/>
        <v>0</v>
      </c>
      <c r="E30" s="300"/>
      <c r="F30" s="299"/>
      <c r="G30" s="299"/>
      <c r="H30" s="299" t="e">
        <f>+'6121 - Budovy haly a stavby'!E166</f>
        <v>#REF!</v>
      </c>
    </row>
    <row r="31" spans="1:8" s="216" customFormat="1" ht="15" hidden="1" customHeight="1" thickBot="1" x14ac:dyDescent="0.25">
      <c r="A31" s="217"/>
      <c r="B31" s="218">
        <v>6121</v>
      </c>
      <c r="C31" s="288" t="s">
        <v>398</v>
      </c>
      <c r="D31" s="289" t="e">
        <f t="shared" si="0"/>
        <v>#REF!</v>
      </c>
      <c r="E31" s="290"/>
      <c r="F31" s="289" t="e">
        <f>'6121 - Budovy haly a stavby'!#REF!</f>
        <v>#REF!</v>
      </c>
      <c r="G31" s="289" t="e">
        <f>'6121 - Budovy haly a stavby'!#REF!</f>
        <v>#REF!</v>
      </c>
      <c r="H31" s="289">
        <f>'6121 - Budovy haly a stavby'!E167</f>
        <v>0</v>
      </c>
    </row>
    <row r="32" spans="1:8" s="92" customFormat="1" ht="15" hidden="1" customHeight="1" thickBot="1" x14ac:dyDescent="0.3">
      <c r="A32" s="220"/>
      <c r="B32" s="221">
        <v>6121</v>
      </c>
      <c r="C32" s="306" t="s">
        <v>399</v>
      </c>
      <c r="D32" s="307" t="e">
        <f t="shared" si="0"/>
        <v>#REF!</v>
      </c>
      <c r="E32" s="308"/>
      <c r="F32" s="307" t="e">
        <f>'6121 - Budovy haly a stavby'!#REF!</f>
        <v>#REF!</v>
      </c>
      <c r="G32" s="307" t="e">
        <f>'6121 - Budovy haly a stavby'!#REF!</f>
        <v>#REF!</v>
      </c>
      <c r="H32" s="307">
        <f>'6121 - Budovy haly a stavby'!E186</f>
        <v>4075915</v>
      </c>
    </row>
    <row r="33" spans="1:8" s="92" customFormat="1" ht="15" customHeight="1" thickBot="1" x14ac:dyDescent="0.3">
      <c r="A33" s="217">
        <v>2212</v>
      </c>
      <c r="B33" s="221">
        <v>6121</v>
      </c>
      <c r="C33" s="291" t="s">
        <v>337</v>
      </c>
      <c r="D33" s="292" t="e">
        <f t="shared" si="0"/>
        <v>#REF!</v>
      </c>
      <c r="E33" s="293" t="e">
        <f>'6121 - Budovy haly a stavby'!#REF!</f>
        <v>#REF!</v>
      </c>
      <c r="F33" s="292" t="e">
        <f>'6121 - Budovy haly a stavby'!#REF!</f>
        <v>#REF!</v>
      </c>
      <c r="G33" s="292" t="e">
        <f>'6121 - Budovy haly a stavby'!#REF!</f>
        <v>#REF!</v>
      </c>
      <c r="H33" s="292">
        <f>'6121 - Budovy haly a stavby'!E192</f>
        <v>5822890</v>
      </c>
    </row>
    <row r="34" spans="1:8" s="92" customFormat="1" ht="15" customHeight="1" thickBot="1" x14ac:dyDescent="0.3">
      <c r="A34" s="220"/>
      <c r="B34" s="221">
        <v>6121</v>
      </c>
      <c r="C34" s="291" t="s">
        <v>425</v>
      </c>
      <c r="D34" s="292" t="e">
        <f t="shared" si="0"/>
        <v>#REF!</v>
      </c>
      <c r="E34" s="293"/>
      <c r="F34" s="292" t="e">
        <f>'6121 - Budovy haly a stavby'!#REF!</f>
        <v>#REF!</v>
      </c>
      <c r="G34" s="292" t="e">
        <f>'6121 - Budovy haly a stavby'!#REF!</f>
        <v>#REF!</v>
      </c>
      <c r="H34" s="292">
        <f>'6121 - Budovy haly a stavby'!E196</f>
        <v>1700000</v>
      </c>
    </row>
    <row r="35" spans="1:8" s="92" customFormat="1" ht="15" customHeight="1" thickBot="1" x14ac:dyDescent="0.3">
      <c r="A35" s="220"/>
      <c r="B35" s="221">
        <v>6121</v>
      </c>
      <c r="C35" s="291" t="s">
        <v>400</v>
      </c>
      <c r="D35" s="292" t="e">
        <f t="shared" si="0"/>
        <v>#REF!</v>
      </c>
      <c r="E35" s="293"/>
      <c r="F35" s="292" t="e">
        <f>'6121 - Budovy haly a stavby'!#REF!</f>
        <v>#REF!</v>
      </c>
      <c r="G35" s="292" t="e">
        <f>'6121 - Budovy haly a stavby'!#REF!</f>
        <v>#REF!</v>
      </c>
      <c r="H35" s="292" t="e">
        <f>+'6121 - Budovy haly a stavby'!E203+'6121 - Projektová dok'!#REF!</f>
        <v>#REF!</v>
      </c>
    </row>
    <row r="36" spans="1:8" s="92" customFormat="1" ht="15" hidden="1" customHeight="1" thickBot="1" x14ac:dyDescent="0.3">
      <c r="A36" s="217"/>
      <c r="B36" s="218">
        <v>6121</v>
      </c>
      <c r="C36" s="291" t="s">
        <v>438</v>
      </c>
      <c r="D36" s="292" t="e">
        <f t="shared" si="0"/>
        <v>#REF!</v>
      </c>
      <c r="E36" s="293"/>
      <c r="F36" s="292" t="e">
        <f>'6121 - Budovy haly a stavby'!#REF!</f>
        <v>#REF!</v>
      </c>
      <c r="G36" s="292" t="e">
        <f>'6121 - Budovy haly a stavby'!#REF!</f>
        <v>#REF!</v>
      </c>
      <c r="H36" s="292">
        <f>'6121 - Budovy haly a stavby'!E208</f>
        <v>0</v>
      </c>
    </row>
    <row r="37" spans="1:8" s="92" customFormat="1" ht="15" hidden="1" customHeight="1" thickBot="1" x14ac:dyDescent="0.3">
      <c r="A37" s="220"/>
      <c r="B37" s="221">
        <v>6121</v>
      </c>
      <c r="C37" s="291" t="s">
        <v>439</v>
      </c>
      <c r="D37" s="292" t="e">
        <f t="shared" si="0"/>
        <v>#REF!</v>
      </c>
      <c r="E37" s="293"/>
      <c r="F37" s="292" t="e">
        <f>'6121 - Budovy haly a stavby'!#REF!</f>
        <v>#REF!</v>
      </c>
      <c r="G37" s="292" t="e">
        <f>'6121 - Budovy haly a stavby'!#REF!</f>
        <v>#REF!</v>
      </c>
      <c r="H37" s="292">
        <f>'6121 - Budovy haly a stavby'!E214</f>
        <v>0</v>
      </c>
    </row>
    <row r="38" spans="1:8" s="92" customFormat="1" ht="15" customHeight="1" thickBot="1" x14ac:dyDescent="0.3">
      <c r="A38" s="220"/>
      <c r="B38" s="221">
        <v>6121</v>
      </c>
      <c r="C38" s="291" t="s">
        <v>440</v>
      </c>
      <c r="D38" s="292" t="e">
        <f t="shared" si="0"/>
        <v>#REF!</v>
      </c>
      <c r="E38" s="293"/>
      <c r="F38" s="292" t="e">
        <f>'6121 - Budovy haly a stavby'!#REF!</f>
        <v>#REF!</v>
      </c>
      <c r="G38" s="292" t="e">
        <f>'6121 - Budovy haly a stavby'!#REF!</f>
        <v>#REF!</v>
      </c>
      <c r="H38" s="292">
        <f>'6121 - Budovy haly a stavby'!E219</f>
        <v>0</v>
      </c>
    </row>
    <row r="39" spans="1:8" s="92" customFormat="1" ht="15" hidden="1" customHeight="1" thickBot="1" x14ac:dyDescent="0.3">
      <c r="A39" s="220"/>
      <c r="B39" s="221">
        <v>6121</v>
      </c>
      <c r="C39" s="291" t="s">
        <v>441</v>
      </c>
      <c r="D39" s="292" t="e">
        <f t="shared" si="0"/>
        <v>#REF!</v>
      </c>
      <c r="E39" s="293"/>
      <c r="F39" s="292" t="e">
        <f>'6121 - Budovy haly a stavby'!#REF!</f>
        <v>#REF!</v>
      </c>
      <c r="G39" s="292" t="e">
        <f>'6121 - Budovy haly a stavby'!#REF!</f>
        <v>#REF!</v>
      </c>
      <c r="H39" s="292">
        <f>'6121 - Budovy haly a stavby'!E224</f>
        <v>0</v>
      </c>
    </row>
    <row r="40" spans="1:8" s="92" customFormat="1" ht="15" customHeight="1" thickBot="1" x14ac:dyDescent="0.3">
      <c r="A40" s="220"/>
      <c r="B40" s="221">
        <v>6121</v>
      </c>
      <c r="C40" s="291" t="s">
        <v>442</v>
      </c>
      <c r="D40" s="292" t="e">
        <f t="shared" ref="D40:D58" si="1">+E40+F40</f>
        <v>#REF!</v>
      </c>
      <c r="E40" s="293"/>
      <c r="F40" s="292" t="e">
        <f>'6121 - Budovy haly a stavby'!#REF!</f>
        <v>#REF!</v>
      </c>
      <c r="G40" s="292" t="e">
        <f>'6121 - Budovy haly a stavby'!#REF!</f>
        <v>#REF!</v>
      </c>
      <c r="H40" s="292">
        <f>'6121 - Budovy haly a stavby'!E229</f>
        <v>540000</v>
      </c>
    </row>
    <row r="41" spans="1:8" s="92" customFormat="1" ht="15" customHeight="1" thickBot="1" x14ac:dyDescent="0.3">
      <c r="A41" s="220"/>
      <c r="B41" s="221">
        <v>6121</v>
      </c>
      <c r="C41" s="291" t="s">
        <v>443</v>
      </c>
      <c r="D41" s="292" t="e">
        <f t="shared" si="1"/>
        <v>#REF!</v>
      </c>
      <c r="E41" s="293"/>
      <c r="F41" s="292" t="e">
        <f>'6121 - Budovy haly a stavby'!#REF!</f>
        <v>#REF!</v>
      </c>
      <c r="G41" s="292" t="e">
        <f>'6121 - Budovy haly a stavby'!#REF!</f>
        <v>#REF!</v>
      </c>
      <c r="H41" s="292">
        <f>'6121 - Budovy haly a stavby'!E239</f>
        <v>0</v>
      </c>
    </row>
    <row r="42" spans="1:8" s="92" customFormat="1" ht="15" hidden="1" customHeight="1" thickBot="1" x14ac:dyDescent="0.3">
      <c r="A42" s="220"/>
      <c r="B42" s="221">
        <v>6121</v>
      </c>
      <c r="C42" s="291" t="s">
        <v>444</v>
      </c>
      <c r="D42" s="292" t="e">
        <f t="shared" si="1"/>
        <v>#REF!</v>
      </c>
      <c r="E42" s="293"/>
      <c r="F42" s="292" t="e">
        <f>'6121 - Budovy haly a stavby'!#REF!</f>
        <v>#REF!</v>
      </c>
      <c r="G42" s="292" t="e">
        <f>'6121 - Budovy haly a stavby'!#REF!</f>
        <v>#REF!</v>
      </c>
      <c r="H42" s="292">
        <f>'6121 - Budovy haly a stavby'!E244</f>
        <v>0</v>
      </c>
    </row>
    <row r="43" spans="1:8" s="92" customFormat="1" ht="15" hidden="1" customHeight="1" thickBot="1" x14ac:dyDescent="0.3">
      <c r="A43" s="294"/>
      <c r="B43" s="295">
        <v>6121</v>
      </c>
      <c r="C43" s="291" t="s">
        <v>445</v>
      </c>
      <c r="D43" s="292" t="e">
        <f t="shared" si="1"/>
        <v>#REF!</v>
      </c>
      <c r="E43" s="293"/>
      <c r="F43" s="292" t="e">
        <f>'6121 - Budovy haly a stavby'!#REF!</f>
        <v>#REF!</v>
      </c>
      <c r="G43" s="292" t="e">
        <f>'6121 - Budovy haly a stavby'!#REF!</f>
        <v>#REF!</v>
      </c>
      <c r="H43" s="292">
        <f>'6121 - Budovy haly a stavby'!E249</f>
        <v>150000</v>
      </c>
    </row>
    <row r="44" spans="1:8" s="216" customFormat="1" ht="15" customHeight="1" thickBot="1" x14ac:dyDescent="0.25">
      <c r="A44" s="354">
        <v>2310</v>
      </c>
      <c r="B44" s="355">
        <v>6121</v>
      </c>
      <c r="C44" s="288" t="s">
        <v>235</v>
      </c>
      <c r="D44" s="289" t="e">
        <f t="shared" si="1"/>
        <v>#REF!</v>
      </c>
      <c r="E44" s="290"/>
      <c r="F44" s="289" t="e">
        <f>'6121 - Budovy haly a stavby'!#REF!</f>
        <v>#REF!</v>
      </c>
      <c r="G44" s="289" t="e">
        <f>'6121 - Budovy haly a stavby'!#REF!</f>
        <v>#REF!</v>
      </c>
      <c r="H44" s="289">
        <f>'6121 - Budovy haly a stavby'!E312</f>
        <v>0</v>
      </c>
    </row>
    <row r="45" spans="1:8" s="216" customFormat="1" ht="15" hidden="1" customHeight="1" thickBot="1" x14ac:dyDescent="0.25">
      <c r="A45" s="217" t="s">
        <v>265</v>
      </c>
      <c r="B45" s="218">
        <v>6121</v>
      </c>
      <c r="C45" s="288" t="s">
        <v>446</v>
      </c>
      <c r="D45" s="289" t="e">
        <f t="shared" si="1"/>
        <v>#REF!</v>
      </c>
      <c r="E45" s="290"/>
      <c r="F45" s="289" t="e">
        <f>'6121 - Budovy haly a stavby'!#REF!</f>
        <v>#REF!</v>
      </c>
      <c r="G45" s="289" t="e">
        <f>'6121 - Budovy haly a stavby'!#REF!</f>
        <v>#REF!</v>
      </c>
      <c r="H45" s="289" t="e">
        <f>'6121 - Budovy haly a stavby'!#REF!</f>
        <v>#REF!</v>
      </c>
    </row>
    <row r="46" spans="1:8" s="216" customFormat="1" ht="15" hidden="1" customHeight="1" thickBot="1" x14ac:dyDescent="0.3">
      <c r="A46" s="217"/>
      <c r="B46" s="218">
        <v>6121</v>
      </c>
      <c r="C46" s="327" t="s">
        <v>447</v>
      </c>
      <c r="D46" s="289" t="e">
        <f t="shared" si="1"/>
        <v>#REF!</v>
      </c>
      <c r="E46" s="290"/>
      <c r="F46" s="289" t="e">
        <f>'6121 - Budovy haly a stavby'!#REF!</f>
        <v>#REF!</v>
      </c>
      <c r="G46" s="289" t="e">
        <f>'6121 - Budovy haly a stavby'!#REF!</f>
        <v>#REF!</v>
      </c>
      <c r="H46" s="289" t="e">
        <f>'6121 - Budovy haly a stavby'!#REF!</f>
        <v>#REF!</v>
      </c>
    </row>
    <row r="47" spans="1:8" s="216" customFormat="1" ht="15" hidden="1" customHeight="1" thickBot="1" x14ac:dyDescent="0.3">
      <c r="A47" s="217"/>
      <c r="B47" s="218">
        <v>6121</v>
      </c>
      <c r="C47" s="327" t="s">
        <v>448</v>
      </c>
      <c r="D47" s="289" t="e">
        <f t="shared" si="1"/>
        <v>#REF!</v>
      </c>
      <c r="E47" s="290"/>
      <c r="F47" s="289" t="e">
        <f>'6121 - Budovy haly a stavby'!#REF!</f>
        <v>#REF!</v>
      </c>
      <c r="G47" s="289" t="e">
        <f>'6121 - Budovy haly a stavby'!#REF!</f>
        <v>#REF!</v>
      </c>
      <c r="H47" s="289" t="e">
        <f>'6121 - Budovy haly a stavby'!#REF!</f>
        <v>#REF!</v>
      </c>
    </row>
    <row r="48" spans="1:8" s="216" customFormat="1" ht="15" hidden="1" customHeight="1" thickBot="1" x14ac:dyDescent="0.3">
      <c r="A48" s="217"/>
      <c r="B48" s="218">
        <v>6121</v>
      </c>
      <c r="C48" s="327" t="s">
        <v>449</v>
      </c>
      <c r="D48" s="289" t="e">
        <f t="shared" si="1"/>
        <v>#REF!</v>
      </c>
      <c r="E48" s="290"/>
      <c r="F48" s="289" t="e">
        <f>'6121 - Budovy haly a stavby'!#REF!</f>
        <v>#REF!</v>
      </c>
      <c r="G48" s="289" t="e">
        <f>'6121 - Budovy haly a stavby'!#REF!</f>
        <v>#REF!</v>
      </c>
      <c r="H48" s="289" t="e">
        <f>'6121 - Budovy haly a stavby'!#REF!</f>
        <v>#REF!</v>
      </c>
    </row>
    <row r="49" spans="1:8" s="216" customFormat="1" ht="15" customHeight="1" thickBot="1" x14ac:dyDescent="0.3">
      <c r="A49" s="294" t="s">
        <v>265</v>
      </c>
      <c r="B49" s="295">
        <v>6121</v>
      </c>
      <c r="C49" s="327" t="s">
        <v>409</v>
      </c>
      <c r="D49" s="289" t="e">
        <f t="shared" si="1"/>
        <v>#REF!</v>
      </c>
      <c r="E49" s="290"/>
      <c r="F49" s="289" t="e">
        <f>'6121 - Budovy haly a stavby'!#REF!</f>
        <v>#REF!</v>
      </c>
      <c r="G49" s="289" t="e">
        <f>'6121 - Budovy haly a stavby'!#REF!</f>
        <v>#REF!</v>
      </c>
      <c r="H49" s="289" t="e">
        <f>'6121 - Budovy haly a stavby'!#REF!</f>
        <v>#REF!</v>
      </c>
    </row>
    <row r="50" spans="1:8" s="92" customFormat="1" ht="15" customHeight="1" thickBot="1" x14ac:dyDescent="0.25">
      <c r="A50" s="354">
        <v>3633</v>
      </c>
      <c r="B50" s="355">
        <v>6121</v>
      </c>
      <c r="C50" s="288" t="s">
        <v>239</v>
      </c>
      <c r="D50" s="289" t="e">
        <f t="shared" si="1"/>
        <v>#REF!</v>
      </c>
      <c r="E50" s="290"/>
      <c r="F50" s="289" t="e">
        <f>'6121 - Budovy haly a stavby'!#REF!</f>
        <v>#REF!</v>
      </c>
      <c r="G50" s="289" t="e">
        <f>'6121 - Budovy haly a stavby'!#REF!</f>
        <v>#REF!</v>
      </c>
      <c r="H50" s="289" t="e">
        <f>'6121 - Budovy haly a stavby'!#REF!</f>
        <v>#REF!</v>
      </c>
    </row>
    <row r="51" spans="1:8" s="92" customFormat="1" ht="15" hidden="1" customHeight="1" thickBot="1" x14ac:dyDescent="0.25">
      <c r="A51" s="354">
        <v>3412</v>
      </c>
      <c r="B51" s="355">
        <v>6121</v>
      </c>
      <c r="C51" s="288" t="s">
        <v>498</v>
      </c>
      <c r="D51" s="289" t="e">
        <f t="shared" si="1"/>
        <v>#REF!</v>
      </c>
      <c r="E51" s="290"/>
      <c r="F51" s="289" t="e">
        <f>'6121 - Budovy haly a stavby'!#REF!</f>
        <v>#REF!</v>
      </c>
      <c r="G51" s="289" t="e">
        <f>'6121 - Budovy haly a stavby'!#REF!</f>
        <v>#REF!</v>
      </c>
      <c r="H51" s="289" t="e">
        <f>'6121 - Budovy haly a stavby'!#REF!</f>
        <v>#REF!</v>
      </c>
    </row>
    <row r="52" spans="1:8" s="92" customFormat="1" ht="15" customHeight="1" thickBot="1" x14ac:dyDescent="0.25">
      <c r="A52" s="354">
        <v>3744</v>
      </c>
      <c r="B52" s="355">
        <v>6121</v>
      </c>
      <c r="C52" s="288" t="s">
        <v>244</v>
      </c>
      <c r="D52" s="289" t="e">
        <f t="shared" si="1"/>
        <v>#REF!</v>
      </c>
      <c r="E52" s="290"/>
      <c r="F52" s="289" t="e">
        <f>'6121 - Budovy haly a stavby'!#REF!</f>
        <v>#REF!</v>
      </c>
      <c r="G52" s="289" t="e">
        <f>'6121 - Budovy haly a stavby'!#REF!</f>
        <v>#REF!</v>
      </c>
      <c r="H52" s="289">
        <f>'6121 - Budovy haly a stavby'!E316</f>
        <v>60000</v>
      </c>
    </row>
    <row r="53" spans="1:8" s="92" customFormat="1" ht="15" customHeight="1" thickBot="1" x14ac:dyDescent="0.25">
      <c r="A53" s="345" t="s">
        <v>496</v>
      </c>
      <c r="B53" s="346">
        <v>6121</v>
      </c>
      <c r="C53" s="288" t="s">
        <v>458</v>
      </c>
      <c r="D53" s="289" t="e">
        <f t="shared" si="1"/>
        <v>#REF!</v>
      </c>
      <c r="E53" s="290"/>
      <c r="F53" s="289" t="e">
        <f>'6121 - Budovy haly a stavby'!#REF!</f>
        <v>#REF!</v>
      </c>
      <c r="G53" s="289" t="e">
        <f>'6121 - Budovy haly a stavby'!#REF!</f>
        <v>#REF!</v>
      </c>
      <c r="H53" s="289" t="e">
        <f>'6121 - Budovy haly a stavby'!#REF!</f>
        <v>#REF!</v>
      </c>
    </row>
    <row r="54" spans="1:8" s="92" customFormat="1" ht="15" customHeight="1" thickBot="1" x14ac:dyDescent="0.25">
      <c r="A54" s="345" t="s">
        <v>269</v>
      </c>
      <c r="B54" s="346">
        <v>6121</v>
      </c>
      <c r="C54" s="288" t="s">
        <v>247</v>
      </c>
      <c r="D54" s="289" t="e">
        <f t="shared" si="1"/>
        <v>#REF!</v>
      </c>
      <c r="E54" s="290"/>
      <c r="F54" s="289" t="e">
        <f>'6121 - Budovy haly a stavby'!#REF!</f>
        <v>#REF!</v>
      </c>
      <c r="G54" s="289" t="e">
        <f>'6121 - Budovy haly a stavby'!#REF!</f>
        <v>#REF!</v>
      </c>
      <c r="H54" s="289" t="e">
        <f>'6121 - Budovy haly a stavby'!#REF!</f>
        <v>#REF!</v>
      </c>
    </row>
    <row r="55" spans="1:8" s="216" customFormat="1" ht="15" hidden="1" customHeight="1" thickBot="1" x14ac:dyDescent="0.25">
      <c r="A55" s="345" t="s">
        <v>270</v>
      </c>
      <c r="B55" s="346">
        <v>6121</v>
      </c>
      <c r="C55" s="305" t="s">
        <v>248</v>
      </c>
      <c r="D55" s="289" t="e">
        <f t="shared" si="1"/>
        <v>#REF!</v>
      </c>
      <c r="E55" s="290"/>
      <c r="F55" s="289" t="e">
        <f>'6121 - Budovy haly a stavby'!#REF!</f>
        <v>#REF!</v>
      </c>
      <c r="G55" s="289" t="e">
        <f>'6121 - Budovy haly a stavby'!#REF!</f>
        <v>#REF!</v>
      </c>
      <c r="H55" s="289">
        <f>'6121 - Budovy haly a stavby'!E334</f>
        <v>200000</v>
      </c>
    </row>
    <row r="56" spans="1:8" s="216" customFormat="1" ht="15" customHeight="1" thickBot="1" x14ac:dyDescent="0.25">
      <c r="A56" s="345" t="s">
        <v>308</v>
      </c>
      <c r="B56" s="368" t="s">
        <v>494</v>
      </c>
      <c r="C56" s="351" t="s">
        <v>601</v>
      </c>
      <c r="D56" s="289" t="e">
        <f t="shared" si="1"/>
        <v>#REF!</v>
      </c>
      <c r="E56" s="290"/>
      <c r="F56" s="289" t="e">
        <f>'6123 - Dopravní prostředky'!#REF!</f>
        <v>#REF!</v>
      </c>
      <c r="G56" s="289" t="e">
        <f>'6123 - Dopravní prostředky'!#REF!</f>
        <v>#REF!</v>
      </c>
      <c r="H56" s="289" t="e">
        <f>'6123 - Dopravní prostředky'!#REF!</f>
        <v>#REF!</v>
      </c>
    </row>
    <row r="57" spans="1:8" s="216" customFormat="1" ht="15" customHeight="1" thickBot="1" x14ac:dyDescent="0.25">
      <c r="A57" s="354">
        <v>6409</v>
      </c>
      <c r="B57" s="1972" t="s">
        <v>492</v>
      </c>
      <c r="C57" s="351"/>
      <c r="D57" s="289">
        <f t="shared" si="1"/>
        <v>1200000</v>
      </c>
      <c r="E57" s="290"/>
      <c r="F57" s="289">
        <f>'6130 - Pozemky'!F8</f>
        <v>1200000</v>
      </c>
      <c r="G57" s="289">
        <f>'6130 - Pozemky'!G8</f>
        <v>1312030</v>
      </c>
      <c r="H57" s="289">
        <f>'6130 - Pozemky'!I8</f>
        <v>0</v>
      </c>
    </row>
    <row r="58" spans="1:8" s="216" customFormat="1" ht="15" customHeight="1" thickBot="1" x14ac:dyDescent="0.25">
      <c r="A58" s="350">
        <v>2212</v>
      </c>
      <c r="B58" s="1973"/>
      <c r="C58" s="351"/>
      <c r="D58" s="307">
        <f t="shared" si="1"/>
        <v>1015000</v>
      </c>
      <c r="E58" s="308"/>
      <c r="F58" s="307">
        <f>'6130 - Pozemky'!F12</f>
        <v>1015000</v>
      </c>
      <c r="G58" s="307">
        <f>'6130 - Pozemky'!G12</f>
        <v>1665000</v>
      </c>
      <c r="H58" s="307">
        <f>'6130 - Pozemky'!I12</f>
        <v>15000</v>
      </c>
    </row>
    <row r="59" spans="1:8" s="95" customFormat="1" ht="20.100000000000001" customHeight="1" thickBot="1" x14ac:dyDescent="0.3">
      <c r="A59" s="110"/>
      <c r="B59" s="111"/>
      <c r="C59" s="112" t="s">
        <v>2</v>
      </c>
      <c r="D59" s="97" t="e">
        <f>SUM(D8:D58)</f>
        <v>#REF!</v>
      </c>
      <c r="E59" s="113" t="e">
        <f>SUM(E8:E58)</f>
        <v>#REF!</v>
      </c>
      <c r="F59" s="97" t="e">
        <f>SUM(F8:F58)</f>
        <v>#REF!</v>
      </c>
      <c r="G59" s="97" t="e">
        <f>SUM(G8:G58)</f>
        <v>#REF!</v>
      </c>
      <c r="H59" s="97" t="e">
        <f>SUM(H8:H58)</f>
        <v>#REF!</v>
      </c>
    </row>
    <row r="60" spans="1:8" x14ac:dyDescent="0.2">
      <c r="G60" s="461" t="e">
        <f>+'6121 - Budovy haly a stavby'!#REF!+'6121 - Projektová dok'!#REF!+'6123 - Dopravní prostředky'!G13+'6130 - Pozemky'!G15</f>
        <v>#REF!</v>
      </c>
      <c r="H60" s="461" t="e">
        <f>+'6121 - Budovy haly a stavby'!E340+'6121 - Projektová dok'!E61+'6123 - Dopravní prostředky'!I13+'6130 - Pozemky'!I15</f>
        <v>#REF!</v>
      </c>
    </row>
    <row r="61" spans="1:8" x14ac:dyDescent="0.2">
      <c r="G61" s="461" t="e">
        <f>G60-G59</f>
        <v>#REF!</v>
      </c>
      <c r="H61" s="461" t="e">
        <f>H60-H59</f>
        <v>#REF!</v>
      </c>
    </row>
  </sheetData>
  <mergeCells count="2">
    <mergeCell ref="A8:A9"/>
    <mergeCell ref="B57:B58"/>
  </mergeCells>
  <phoneticPr fontId="5" type="noConversion"/>
  <pageMargins left="0.70866141732283472" right="0.70866141732283472" top="0.78740157480314965" bottom="0.78740157480314965" header="0.31496062992125984" footer="0.31496062992125984"/>
  <pageSetup paperSize="9" scale="5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workbookViewId="0"/>
  </sheetViews>
  <sheetFormatPr defaultRowHeight="12.75" x14ac:dyDescent="0.2"/>
  <cols>
    <col min="1" max="2" width="9.7109375" style="82" customWidth="1"/>
    <col min="3" max="3" width="27.5703125" style="82" customWidth="1"/>
    <col min="4" max="6" width="16.7109375" style="84" customWidth="1"/>
    <col min="7" max="16384" width="9.140625" style="82"/>
  </cols>
  <sheetData>
    <row r="2" spans="1:13" ht="20.25" customHeight="1" x14ac:dyDescent="0.35">
      <c r="A2" s="3" t="s">
        <v>390</v>
      </c>
      <c r="B2" s="208"/>
      <c r="C2" s="178"/>
      <c r="D2" s="178"/>
      <c r="E2" s="82"/>
      <c r="F2" s="82"/>
    </row>
    <row r="4" spans="1:13" ht="20.100000000000001" customHeight="1" x14ac:dyDescent="0.3">
      <c r="A4" s="83" t="s">
        <v>13</v>
      </c>
      <c r="B4" s="83"/>
    </row>
    <row r="5" spans="1:13" ht="15" customHeight="1" thickBot="1" x14ac:dyDescent="0.35">
      <c r="A5" s="83"/>
      <c r="B5" s="83"/>
      <c r="D5" s="98"/>
      <c r="E5" s="98"/>
      <c r="F5" s="98" t="s">
        <v>272</v>
      </c>
    </row>
    <row r="6" spans="1:13" s="85" customFormat="1" ht="35.25" customHeight="1" thickBot="1" x14ac:dyDescent="0.2">
      <c r="A6" s="99" t="s">
        <v>190</v>
      </c>
      <c r="B6" s="100" t="s">
        <v>125</v>
      </c>
      <c r="C6" s="99" t="s">
        <v>4</v>
      </c>
      <c r="D6" s="101" t="s">
        <v>2</v>
      </c>
      <c r="E6" s="102" t="s">
        <v>5</v>
      </c>
      <c r="F6" s="101" t="s">
        <v>6</v>
      </c>
    </row>
    <row r="7" spans="1:13" s="88" customFormat="1" ht="20.100000000000001" customHeight="1" thickBot="1" x14ac:dyDescent="0.3">
      <c r="A7" s="86"/>
      <c r="B7" s="103" t="s">
        <v>3</v>
      </c>
      <c r="D7" s="87"/>
      <c r="E7" s="87"/>
      <c r="F7" s="87"/>
    </row>
    <row r="8" spans="1:13" s="216" customFormat="1" ht="15" customHeight="1" x14ac:dyDescent="0.2">
      <c r="A8" s="212">
        <v>6171</v>
      </c>
      <c r="B8" s="213"/>
      <c r="C8" s="214" t="s">
        <v>341</v>
      </c>
      <c r="D8" s="90">
        <f>+E8+F8</f>
        <v>0</v>
      </c>
      <c r="E8" s="106">
        <v>0</v>
      </c>
      <c r="F8" s="90">
        <v>0</v>
      </c>
      <c r="G8" s="215"/>
      <c r="H8" s="215"/>
      <c r="I8" s="215"/>
      <c r="J8" s="215"/>
      <c r="K8" s="215"/>
      <c r="L8" s="215"/>
      <c r="M8" s="215"/>
    </row>
    <row r="9" spans="1:13" s="216" customFormat="1" ht="15" customHeight="1" x14ac:dyDescent="0.2">
      <c r="A9" s="220" t="s">
        <v>308</v>
      </c>
      <c r="B9" s="221"/>
      <c r="C9" s="219" t="s">
        <v>341</v>
      </c>
      <c r="D9" s="94">
        <f>+E9+F9</f>
        <v>0</v>
      </c>
      <c r="E9" s="109"/>
      <c r="F9" s="94">
        <v>0</v>
      </c>
    </row>
    <row r="10" spans="1:13" s="92" customFormat="1" ht="15" customHeight="1" x14ac:dyDescent="0.2">
      <c r="A10" s="93"/>
      <c r="B10" s="107"/>
      <c r="C10" s="108"/>
      <c r="D10" s="94">
        <f>+E10+F10</f>
        <v>0</v>
      </c>
      <c r="E10" s="109"/>
      <c r="F10" s="94"/>
    </row>
    <row r="11" spans="1:13" s="92" customFormat="1" ht="15" customHeight="1" thickBot="1" x14ac:dyDescent="0.25">
      <c r="A11" s="93"/>
      <c r="B11" s="107"/>
      <c r="C11" s="108"/>
      <c r="D11" s="96">
        <f>+E11+F11</f>
        <v>0</v>
      </c>
      <c r="E11" s="109"/>
      <c r="F11" s="96"/>
    </row>
    <row r="12" spans="1:13" s="95" customFormat="1" ht="20.100000000000001" customHeight="1" thickBot="1" x14ac:dyDescent="0.3">
      <c r="A12" s="110"/>
      <c r="B12" s="111"/>
      <c r="C12" s="112" t="s">
        <v>2</v>
      </c>
      <c r="D12" s="97">
        <f>SUM(D8:D11)</f>
        <v>0</v>
      </c>
      <c r="E12" s="113">
        <f>SUM(E8:E11)</f>
        <v>0</v>
      </c>
      <c r="F12" s="97">
        <f>SUM(F8:F11)</f>
        <v>0</v>
      </c>
    </row>
    <row r="13" spans="1:13" x14ac:dyDescent="0.2">
      <c r="D13" s="84">
        <f>'Sumář  výdaje kapitol'!C61</f>
        <v>0</v>
      </c>
    </row>
    <row r="14" spans="1:13" x14ac:dyDescent="0.2">
      <c r="D14" s="84">
        <f>D13-D12</f>
        <v>0</v>
      </c>
    </row>
  </sheetData>
  <phoneticPr fontId="5" type="noConversion"/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3"/>
  <sheetViews>
    <sheetView workbookViewId="0"/>
  </sheetViews>
  <sheetFormatPr defaultRowHeight="12.75" outlineLevelRow="1" x14ac:dyDescent="0.2"/>
  <cols>
    <col min="1" max="1" width="9.7109375" style="82" customWidth="1"/>
    <col min="2" max="2" width="11.28515625" style="82" customWidth="1"/>
    <col min="3" max="3" width="66" style="82" customWidth="1"/>
    <col min="4" max="5" width="15.42578125" style="82" customWidth="1"/>
    <col min="6" max="6" width="12.5703125" style="576" customWidth="1"/>
    <col min="7" max="7" width="21.140625" style="576" bestFit="1" customWidth="1"/>
    <col min="8" max="8" width="21.140625" style="82" bestFit="1" customWidth="1"/>
    <col min="9" max="9" width="10.42578125" style="82" bestFit="1" customWidth="1"/>
    <col min="10" max="16384" width="9.140625" style="82"/>
  </cols>
  <sheetData>
    <row r="2" spans="1:8" ht="20.25" customHeight="1" x14ac:dyDescent="0.35">
      <c r="A2" s="3" t="s">
        <v>816</v>
      </c>
      <c r="B2" s="208"/>
      <c r="C2" s="178"/>
    </row>
    <row r="4" spans="1:8" ht="20.100000000000001" customHeight="1" x14ac:dyDescent="0.3">
      <c r="A4" s="83" t="s">
        <v>1040</v>
      </c>
      <c r="B4" s="83"/>
    </row>
    <row r="5" spans="1:8" ht="15" customHeight="1" thickBot="1" x14ac:dyDescent="0.35">
      <c r="A5" s="83"/>
      <c r="B5" s="83"/>
    </row>
    <row r="6" spans="1:8" s="85" customFormat="1" ht="35.25" customHeight="1" thickBot="1" x14ac:dyDescent="0.2">
      <c r="A6" s="99" t="s">
        <v>190</v>
      </c>
      <c r="B6" s="100" t="s">
        <v>838</v>
      </c>
      <c r="C6" s="99" t="s">
        <v>4</v>
      </c>
      <c r="D6" s="101" t="s">
        <v>817</v>
      </c>
      <c r="E6" s="101" t="s">
        <v>637</v>
      </c>
      <c r="F6" s="577" t="s">
        <v>7</v>
      </c>
      <c r="G6" s="101" t="s">
        <v>1076</v>
      </c>
      <c r="H6" s="101"/>
    </row>
    <row r="7" spans="1:8" s="88" customFormat="1" ht="16.5" thickBot="1" x14ac:dyDescent="0.3">
      <c r="A7" s="430"/>
      <c r="B7" s="431" t="s">
        <v>3</v>
      </c>
      <c r="C7" s="430"/>
      <c r="D7" s="658"/>
      <c r="E7" s="658"/>
      <c r="F7" s="573"/>
      <c r="G7" s="578"/>
    </row>
    <row r="8" spans="1:8" s="92" customFormat="1" outlineLevel="1" x14ac:dyDescent="0.2">
      <c r="A8" s="1974"/>
      <c r="B8" s="107"/>
      <c r="C8" s="222"/>
      <c r="D8" s="209">
        <v>0</v>
      </c>
      <c r="E8" s="209">
        <v>0</v>
      </c>
      <c r="F8" s="579">
        <f>E8-D8</f>
        <v>0</v>
      </c>
      <c r="G8" s="914"/>
    </row>
    <row r="9" spans="1:8" s="92" customFormat="1" outlineLevel="1" x14ac:dyDescent="0.2">
      <c r="A9" s="1975"/>
      <c r="B9" s="107"/>
      <c r="C9" s="659"/>
      <c r="D9" s="209">
        <v>0</v>
      </c>
      <c r="E9" s="209">
        <v>0</v>
      </c>
      <c r="F9" s="579">
        <f>E9-D9</f>
        <v>0</v>
      </c>
      <c r="G9" s="914"/>
    </row>
    <row r="10" spans="1:8" s="216" customFormat="1" ht="13.5" thickBot="1" x14ac:dyDescent="0.25">
      <c r="A10" s="345">
        <v>3314</v>
      </c>
      <c r="B10" s="346" t="s">
        <v>294</v>
      </c>
      <c r="C10" s="303"/>
      <c r="D10" s="307">
        <v>0</v>
      </c>
      <c r="E10" s="307">
        <f>SUM(E8:E9)</f>
        <v>0</v>
      </c>
      <c r="F10" s="582">
        <f>E10-D10</f>
        <v>0</v>
      </c>
      <c r="G10" s="915"/>
    </row>
    <row r="11" spans="1:8" s="92" customFormat="1" ht="13.5" thickBot="1" x14ac:dyDescent="0.25">
      <c r="A11" s="909"/>
      <c r="B11" s="910"/>
      <c r="C11" s="910"/>
      <c r="D11" s="910"/>
      <c r="E11" s="910"/>
      <c r="F11" s="911"/>
      <c r="G11" s="916"/>
    </row>
    <row r="12" spans="1:8" s="92" customFormat="1" outlineLevel="1" x14ac:dyDescent="0.2">
      <c r="A12" s="1978">
        <v>3612</v>
      </c>
      <c r="B12" s="104"/>
      <c r="C12" s="671" t="s">
        <v>334</v>
      </c>
      <c r="D12" s="278">
        <v>0</v>
      </c>
      <c r="E12" s="278">
        <v>0</v>
      </c>
      <c r="F12" s="369">
        <f t="shared" ref="F12:F59" si="0">E12-D12</f>
        <v>0</v>
      </c>
      <c r="G12" s="917"/>
    </row>
    <row r="13" spans="1:8" s="92" customFormat="1" outlineLevel="1" x14ac:dyDescent="0.2">
      <c r="A13" s="1979"/>
      <c r="B13" s="107"/>
      <c r="C13" s="659" t="s">
        <v>331</v>
      </c>
      <c r="D13" s="211">
        <v>0</v>
      </c>
      <c r="E13" s="211">
        <v>0</v>
      </c>
      <c r="F13" s="370">
        <f t="shared" si="0"/>
        <v>0</v>
      </c>
      <c r="G13" s="917"/>
    </row>
    <row r="14" spans="1:8" s="92" customFormat="1" outlineLevel="1" x14ac:dyDescent="0.2">
      <c r="A14" s="1979"/>
      <c r="B14" s="107"/>
      <c r="C14" s="659" t="s">
        <v>332</v>
      </c>
      <c r="D14" s="211">
        <v>0</v>
      </c>
      <c r="E14" s="211">
        <v>0</v>
      </c>
      <c r="F14" s="370">
        <f t="shared" si="0"/>
        <v>0</v>
      </c>
      <c r="G14" s="917"/>
    </row>
    <row r="15" spans="1:8" s="92" customFormat="1" outlineLevel="1" x14ac:dyDescent="0.2">
      <c r="A15" s="1979"/>
      <c r="B15" s="107"/>
      <c r="C15" s="659" t="s">
        <v>397</v>
      </c>
      <c r="D15" s="211">
        <v>0</v>
      </c>
      <c r="E15" s="211">
        <v>0</v>
      </c>
      <c r="F15" s="370">
        <f t="shared" si="0"/>
        <v>0</v>
      </c>
      <c r="G15" s="917"/>
    </row>
    <row r="16" spans="1:8" s="92" customFormat="1" outlineLevel="1" x14ac:dyDescent="0.2">
      <c r="A16" s="1979"/>
      <c r="B16" s="107"/>
      <c r="C16" s="659" t="s">
        <v>413</v>
      </c>
      <c r="D16" s="211">
        <v>0</v>
      </c>
      <c r="E16" s="211">
        <v>0</v>
      </c>
      <c r="F16" s="370">
        <f t="shared" si="0"/>
        <v>0</v>
      </c>
      <c r="G16" s="917"/>
    </row>
    <row r="17" spans="1:10" s="92" customFormat="1" outlineLevel="1" x14ac:dyDescent="0.2">
      <c r="A17" s="1979"/>
      <c r="B17" s="107"/>
      <c r="C17" s="659" t="s">
        <v>827</v>
      </c>
      <c r="D17" s="211">
        <v>0</v>
      </c>
      <c r="E17" s="211">
        <v>0</v>
      </c>
      <c r="F17" s="370">
        <f t="shared" si="0"/>
        <v>0</v>
      </c>
      <c r="G17" s="917"/>
    </row>
    <row r="18" spans="1:10" s="92" customFormat="1" outlineLevel="1" x14ac:dyDescent="0.2">
      <c r="A18" s="1979"/>
      <c r="B18" s="107"/>
      <c r="C18" s="659" t="s">
        <v>423</v>
      </c>
      <c r="D18" s="211">
        <v>0</v>
      </c>
      <c r="E18" s="211">
        <v>0</v>
      </c>
      <c r="F18" s="370">
        <f t="shared" si="0"/>
        <v>0</v>
      </c>
      <c r="G18" s="917"/>
    </row>
    <row r="19" spans="1:10" s="216" customFormat="1" ht="13.5" thickBot="1" x14ac:dyDescent="0.25">
      <c r="A19" s="1979"/>
      <c r="B19" s="660" t="s">
        <v>216</v>
      </c>
      <c r="C19" s="661" t="s">
        <v>826</v>
      </c>
      <c r="D19" s="307">
        <v>0</v>
      </c>
      <c r="E19" s="307">
        <f>SUM(E12:E18)</f>
        <v>0</v>
      </c>
      <c r="F19" s="582">
        <f t="shared" si="0"/>
        <v>0</v>
      </c>
      <c r="G19" s="915"/>
      <c r="H19" s="595">
        <f>+D19+D27+D35+D43+D51+D59</f>
        <v>0</v>
      </c>
      <c r="I19" s="595">
        <f>H19-'Sumář  výdaje kapitol'!Y62</f>
        <v>-800000</v>
      </c>
      <c r="J19" s="216" t="s">
        <v>872</v>
      </c>
    </row>
    <row r="20" spans="1:10" s="92" customFormat="1" outlineLevel="1" x14ac:dyDescent="0.2">
      <c r="A20" s="1979"/>
      <c r="B20" s="107"/>
      <c r="C20" s="462" t="s">
        <v>334</v>
      </c>
      <c r="D20" s="278">
        <v>0</v>
      </c>
      <c r="E20" s="278">
        <v>0</v>
      </c>
      <c r="F20" s="369">
        <f t="shared" si="0"/>
        <v>0</v>
      </c>
      <c r="G20" s="917"/>
    </row>
    <row r="21" spans="1:10" s="92" customFormat="1" outlineLevel="1" x14ac:dyDescent="0.2">
      <c r="A21" s="1979"/>
      <c r="B21" s="107"/>
      <c r="C21" s="462" t="s">
        <v>331</v>
      </c>
      <c r="D21" s="278">
        <v>0</v>
      </c>
      <c r="E21" s="278">
        <v>0</v>
      </c>
      <c r="F21" s="369">
        <f t="shared" si="0"/>
        <v>0</v>
      </c>
      <c r="G21" s="917"/>
    </row>
    <row r="22" spans="1:10" s="92" customFormat="1" outlineLevel="1" x14ac:dyDescent="0.2">
      <c r="A22" s="1979"/>
      <c r="B22" s="107"/>
      <c r="C22" s="462" t="s">
        <v>332</v>
      </c>
      <c r="D22" s="278">
        <v>0</v>
      </c>
      <c r="E22" s="278">
        <v>0</v>
      </c>
      <c r="F22" s="369">
        <f t="shared" si="0"/>
        <v>0</v>
      </c>
      <c r="G22" s="917"/>
    </row>
    <row r="23" spans="1:10" s="92" customFormat="1" outlineLevel="1" x14ac:dyDescent="0.2">
      <c r="A23" s="1979"/>
      <c r="B23" s="107"/>
      <c r="C23" s="462" t="s">
        <v>397</v>
      </c>
      <c r="D23" s="278">
        <v>0</v>
      </c>
      <c r="E23" s="278">
        <v>0</v>
      </c>
      <c r="F23" s="369">
        <f t="shared" si="0"/>
        <v>0</v>
      </c>
      <c r="G23" s="917"/>
    </row>
    <row r="24" spans="1:10" s="92" customFormat="1" outlineLevel="1" x14ac:dyDescent="0.2">
      <c r="A24" s="1979"/>
      <c r="B24" s="107"/>
      <c r="C24" s="462" t="s">
        <v>413</v>
      </c>
      <c r="D24" s="278">
        <v>0</v>
      </c>
      <c r="E24" s="278">
        <v>0</v>
      </c>
      <c r="F24" s="369">
        <f t="shared" si="0"/>
        <v>0</v>
      </c>
      <c r="G24" s="917"/>
    </row>
    <row r="25" spans="1:10" s="92" customFormat="1" outlineLevel="1" x14ac:dyDescent="0.2">
      <c r="A25" s="1979"/>
      <c r="B25" s="107"/>
      <c r="C25" s="462" t="s">
        <v>827</v>
      </c>
      <c r="D25" s="278">
        <v>0</v>
      </c>
      <c r="E25" s="278">
        <v>0</v>
      </c>
      <c r="F25" s="369">
        <f t="shared" si="0"/>
        <v>0</v>
      </c>
      <c r="G25" s="917"/>
    </row>
    <row r="26" spans="1:10" s="92" customFormat="1" outlineLevel="1" x14ac:dyDescent="0.2">
      <c r="A26" s="1979"/>
      <c r="B26" s="107"/>
      <c r="C26" s="659" t="s">
        <v>423</v>
      </c>
      <c r="D26" s="211">
        <v>0</v>
      </c>
      <c r="E26" s="211">
        <v>0</v>
      </c>
      <c r="F26" s="370">
        <f t="shared" si="0"/>
        <v>0</v>
      </c>
      <c r="G26" s="917"/>
    </row>
    <row r="27" spans="1:10" s="216" customFormat="1" ht="13.5" thickBot="1" x14ac:dyDescent="0.25">
      <c r="A27" s="1979"/>
      <c r="B27" s="660" t="s">
        <v>216</v>
      </c>
      <c r="C27" s="661" t="s">
        <v>828</v>
      </c>
      <c r="D27" s="307">
        <v>0</v>
      </c>
      <c r="E27" s="307">
        <f>SUM(E20:E26)</f>
        <v>0</v>
      </c>
      <c r="F27" s="582">
        <f t="shared" si="0"/>
        <v>0</v>
      </c>
      <c r="G27" s="915"/>
    </row>
    <row r="28" spans="1:10" s="92" customFormat="1" outlineLevel="1" x14ac:dyDescent="0.2">
      <c r="A28" s="1979"/>
      <c r="B28" s="107"/>
      <c r="C28" s="462"/>
      <c r="D28" s="278">
        <v>0</v>
      </c>
      <c r="E28" s="278">
        <v>0</v>
      </c>
      <c r="F28" s="369">
        <f t="shared" si="0"/>
        <v>0</v>
      </c>
      <c r="G28" s="917"/>
    </row>
    <row r="29" spans="1:10" s="92" customFormat="1" outlineLevel="1" x14ac:dyDescent="0.2">
      <c r="A29" s="1979"/>
      <c r="B29" s="107"/>
      <c r="C29" s="462"/>
      <c r="D29" s="278">
        <v>0</v>
      </c>
      <c r="E29" s="278">
        <v>0</v>
      </c>
      <c r="F29" s="369">
        <f t="shared" si="0"/>
        <v>0</v>
      </c>
      <c r="G29" s="917"/>
    </row>
    <row r="30" spans="1:10" s="92" customFormat="1" outlineLevel="1" x14ac:dyDescent="0.2">
      <c r="A30" s="1979"/>
      <c r="B30" s="107"/>
      <c r="C30" s="462"/>
      <c r="D30" s="278">
        <v>0</v>
      </c>
      <c r="E30" s="278">
        <v>0</v>
      </c>
      <c r="F30" s="369">
        <f t="shared" si="0"/>
        <v>0</v>
      </c>
      <c r="G30" s="917"/>
    </row>
    <row r="31" spans="1:10" s="92" customFormat="1" outlineLevel="1" x14ac:dyDescent="0.2">
      <c r="A31" s="1979"/>
      <c r="B31" s="107"/>
      <c r="C31" s="462"/>
      <c r="D31" s="278">
        <v>0</v>
      </c>
      <c r="E31" s="278">
        <v>0</v>
      </c>
      <c r="F31" s="369">
        <f t="shared" si="0"/>
        <v>0</v>
      </c>
      <c r="G31" s="917"/>
    </row>
    <row r="32" spans="1:10" s="92" customFormat="1" outlineLevel="1" x14ac:dyDescent="0.2">
      <c r="A32" s="1979"/>
      <c r="B32" s="107"/>
      <c r="C32" s="462"/>
      <c r="D32" s="278">
        <v>0</v>
      </c>
      <c r="E32" s="278">
        <v>0</v>
      </c>
      <c r="F32" s="369">
        <f t="shared" si="0"/>
        <v>0</v>
      </c>
      <c r="G32" s="917"/>
    </row>
    <row r="33" spans="1:7" s="92" customFormat="1" outlineLevel="1" x14ac:dyDescent="0.2">
      <c r="A33" s="1979"/>
      <c r="B33" s="107"/>
      <c r="C33" s="659"/>
      <c r="D33" s="211">
        <v>0</v>
      </c>
      <c r="E33" s="211">
        <v>0</v>
      </c>
      <c r="F33" s="370">
        <f t="shared" si="0"/>
        <v>0</v>
      </c>
      <c r="G33" s="917"/>
    </row>
    <row r="34" spans="1:7" s="92" customFormat="1" outlineLevel="1" x14ac:dyDescent="0.2">
      <c r="A34" s="1979"/>
      <c r="B34" s="464"/>
      <c r="C34" s="659"/>
      <c r="D34" s="211">
        <v>0</v>
      </c>
      <c r="E34" s="211">
        <v>0</v>
      </c>
      <c r="F34" s="370">
        <f t="shared" si="0"/>
        <v>0</v>
      </c>
      <c r="G34" s="917"/>
    </row>
    <row r="35" spans="1:7" s="216" customFormat="1" ht="13.5" thickBot="1" x14ac:dyDescent="0.25">
      <c r="A35" s="1979"/>
      <c r="B35" s="660" t="s">
        <v>216</v>
      </c>
      <c r="C35" s="661" t="s">
        <v>829</v>
      </c>
      <c r="D35" s="307">
        <v>0</v>
      </c>
      <c r="E35" s="307">
        <f>SUM(E28:E34)</f>
        <v>0</v>
      </c>
      <c r="F35" s="582">
        <f t="shared" si="0"/>
        <v>0</v>
      </c>
      <c r="G35" s="915"/>
    </row>
    <row r="36" spans="1:7" s="92" customFormat="1" outlineLevel="1" x14ac:dyDescent="0.2">
      <c r="A36" s="1979"/>
      <c r="B36" s="107"/>
      <c r="C36" s="462" t="s">
        <v>334</v>
      </c>
      <c r="D36" s="278">
        <v>0</v>
      </c>
      <c r="E36" s="278">
        <v>0</v>
      </c>
      <c r="F36" s="369">
        <f t="shared" si="0"/>
        <v>0</v>
      </c>
      <c r="G36" s="917"/>
    </row>
    <row r="37" spans="1:7" s="92" customFormat="1" outlineLevel="1" x14ac:dyDescent="0.2">
      <c r="A37" s="1979"/>
      <c r="B37" s="107"/>
      <c r="C37" s="462" t="s">
        <v>331</v>
      </c>
      <c r="D37" s="278">
        <v>0</v>
      </c>
      <c r="E37" s="278">
        <v>0</v>
      </c>
      <c r="F37" s="369">
        <f t="shared" si="0"/>
        <v>0</v>
      </c>
      <c r="G37" s="917"/>
    </row>
    <row r="38" spans="1:7" s="92" customFormat="1" outlineLevel="1" x14ac:dyDescent="0.2">
      <c r="A38" s="1979"/>
      <c r="B38" s="107"/>
      <c r="C38" s="462" t="s">
        <v>332</v>
      </c>
      <c r="D38" s="278">
        <v>0</v>
      </c>
      <c r="E38" s="278">
        <v>0</v>
      </c>
      <c r="F38" s="369">
        <f t="shared" si="0"/>
        <v>0</v>
      </c>
      <c r="G38" s="917"/>
    </row>
    <row r="39" spans="1:7" s="92" customFormat="1" outlineLevel="1" x14ac:dyDescent="0.2">
      <c r="A39" s="1979"/>
      <c r="B39" s="107"/>
      <c r="C39" s="462" t="s">
        <v>397</v>
      </c>
      <c r="D39" s="278">
        <v>0</v>
      </c>
      <c r="E39" s="278">
        <v>0</v>
      </c>
      <c r="F39" s="369">
        <f t="shared" si="0"/>
        <v>0</v>
      </c>
      <c r="G39" s="917"/>
    </row>
    <row r="40" spans="1:7" s="92" customFormat="1" outlineLevel="1" x14ac:dyDescent="0.2">
      <c r="A40" s="1979"/>
      <c r="B40" s="107"/>
      <c r="C40" s="462" t="s">
        <v>413</v>
      </c>
      <c r="D40" s="278">
        <v>0</v>
      </c>
      <c r="E40" s="278">
        <v>0</v>
      </c>
      <c r="F40" s="369">
        <f t="shared" si="0"/>
        <v>0</v>
      </c>
      <c r="G40" s="917"/>
    </row>
    <row r="41" spans="1:7" s="92" customFormat="1" outlineLevel="1" x14ac:dyDescent="0.2">
      <c r="A41" s="1979"/>
      <c r="B41" s="107"/>
      <c r="C41" s="462" t="s">
        <v>827</v>
      </c>
      <c r="D41" s="278">
        <v>0</v>
      </c>
      <c r="E41" s="278">
        <v>0</v>
      </c>
      <c r="F41" s="369">
        <f t="shared" si="0"/>
        <v>0</v>
      </c>
      <c r="G41" s="917"/>
    </row>
    <row r="42" spans="1:7" s="92" customFormat="1" outlineLevel="1" x14ac:dyDescent="0.2">
      <c r="A42" s="1979"/>
      <c r="B42" s="107"/>
      <c r="C42" s="462" t="s">
        <v>423</v>
      </c>
      <c r="D42" s="278">
        <v>0</v>
      </c>
      <c r="E42" s="278">
        <v>0</v>
      </c>
      <c r="F42" s="369">
        <f t="shared" si="0"/>
        <v>0</v>
      </c>
      <c r="G42" s="917"/>
    </row>
    <row r="43" spans="1:7" s="216" customFormat="1" ht="13.5" thickBot="1" x14ac:dyDescent="0.25">
      <c r="A43" s="1979"/>
      <c r="B43" s="660" t="s">
        <v>216</v>
      </c>
      <c r="C43" s="661" t="s">
        <v>830</v>
      </c>
      <c r="D43" s="307">
        <v>0</v>
      </c>
      <c r="E43" s="307">
        <f>SUM(E36:E42)</f>
        <v>0</v>
      </c>
      <c r="F43" s="582">
        <f t="shared" si="0"/>
        <v>0</v>
      </c>
      <c r="G43" s="915"/>
    </row>
    <row r="44" spans="1:7" s="92" customFormat="1" outlineLevel="1" x14ac:dyDescent="0.2">
      <c r="A44" s="1979"/>
      <c r="B44" s="107"/>
      <c r="C44" s="462" t="s">
        <v>334</v>
      </c>
      <c r="D44" s="278">
        <v>0</v>
      </c>
      <c r="E44" s="278">
        <v>0</v>
      </c>
      <c r="F44" s="369">
        <f t="shared" si="0"/>
        <v>0</v>
      </c>
      <c r="G44" s="917"/>
    </row>
    <row r="45" spans="1:7" s="92" customFormat="1" outlineLevel="1" x14ac:dyDescent="0.2">
      <c r="A45" s="1979"/>
      <c r="B45" s="107"/>
      <c r="C45" s="462" t="s">
        <v>331</v>
      </c>
      <c r="D45" s="278">
        <v>0</v>
      </c>
      <c r="E45" s="278">
        <v>0</v>
      </c>
      <c r="F45" s="369">
        <f t="shared" si="0"/>
        <v>0</v>
      </c>
      <c r="G45" s="917"/>
    </row>
    <row r="46" spans="1:7" s="92" customFormat="1" outlineLevel="1" x14ac:dyDescent="0.2">
      <c r="A46" s="1979"/>
      <c r="B46" s="107"/>
      <c r="C46" s="462" t="s">
        <v>332</v>
      </c>
      <c r="D46" s="278">
        <v>0</v>
      </c>
      <c r="E46" s="278">
        <v>0</v>
      </c>
      <c r="F46" s="369">
        <f t="shared" si="0"/>
        <v>0</v>
      </c>
      <c r="G46" s="917"/>
    </row>
    <row r="47" spans="1:7" s="92" customFormat="1" outlineLevel="1" x14ac:dyDescent="0.2">
      <c r="A47" s="1979"/>
      <c r="B47" s="107"/>
      <c r="C47" s="462" t="s">
        <v>397</v>
      </c>
      <c r="D47" s="278">
        <v>0</v>
      </c>
      <c r="E47" s="278">
        <v>0</v>
      </c>
      <c r="F47" s="369">
        <f t="shared" si="0"/>
        <v>0</v>
      </c>
      <c r="G47" s="917"/>
    </row>
    <row r="48" spans="1:7" s="92" customFormat="1" outlineLevel="1" x14ac:dyDescent="0.2">
      <c r="A48" s="1979"/>
      <c r="B48" s="107"/>
      <c r="C48" s="462" t="s">
        <v>413</v>
      </c>
      <c r="D48" s="278">
        <v>0</v>
      </c>
      <c r="E48" s="278">
        <v>0</v>
      </c>
      <c r="F48" s="369">
        <f t="shared" si="0"/>
        <v>0</v>
      </c>
      <c r="G48" s="917"/>
    </row>
    <row r="49" spans="1:9" s="92" customFormat="1" outlineLevel="1" x14ac:dyDescent="0.2">
      <c r="A49" s="1979"/>
      <c r="B49" s="107"/>
      <c r="C49" s="462" t="s">
        <v>827</v>
      </c>
      <c r="D49" s="278">
        <v>0</v>
      </c>
      <c r="E49" s="278">
        <v>0</v>
      </c>
      <c r="F49" s="369">
        <f t="shared" si="0"/>
        <v>0</v>
      </c>
      <c r="G49" s="917"/>
    </row>
    <row r="50" spans="1:9" s="92" customFormat="1" outlineLevel="1" x14ac:dyDescent="0.2">
      <c r="A50" s="1979"/>
      <c r="B50" s="464"/>
      <c r="C50" s="659" t="s">
        <v>423</v>
      </c>
      <c r="D50" s="278">
        <v>0</v>
      </c>
      <c r="E50" s="278">
        <v>0</v>
      </c>
      <c r="F50" s="369">
        <f t="shared" si="0"/>
        <v>0</v>
      </c>
      <c r="G50" s="917"/>
    </row>
    <row r="51" spans="1:9" s="216" customFormat="1" ht="13.5" thickBot="1" x14ac:dyDescent="0.25">
      <c r="A51" s="1979"/>
      <c r="B51" s="660" t="s">
        <v>216</v>
      </c>
      <c r="C51" s="661" t="s">
        <v>831</v>
      </c>
      <c r="D51" s="307">
        <v>0</v>
      </c>
      <c r="E51" s="307">
        <f>SUM(E44:E50)</f>
        <v>0</v>
      </c>
      <c r="F51" s="582">
        <f t="shared" si="0"/>
        <v>0</v>
      </c>
      <c r="G51" s="915"/>
    </row>
    <row r="52" spans="1:9" s="92" customFormat="1" outlineLevel="1" x14ac:dyDescent="0.2">
      <c r="A52" s="1979"/>
      <c r="B52" s="464"/>
      <c r="C52" s="462" t="s">
        <v>334</v>
      </c>
      <c r="D52" s="278">
        <v>0</v>
      </c>
      <c r="E52" s="278">
        <v>0</v>
      </c>
      <c r="F52" s="369">
        <f t="shared" si="0"/>
        <v>0</v>
      </c>
      <c r="G52" s="917"/>
    </row>
    <row r="53" spans="1:9" s="92" customFormat="1" outlineLevel="1" x14ac:dyDescent="0.2">
      <c r="A53" s="1979"/>
      <c r="B53" s="107"/>
      <c r="C53" s="462" t="s">
        <v>331</v>
      </c>
      <c r="D53" s="278">
        <v>0</v>
      </c>
      <c r="E53" s="278">
        <v>0</v>
      </c>
      <c r="F53" s="369">
        <f t="shared" si="0"/>
        <v>0</v>
      </c>
      <c r="G53" s="917"/>
    </row>
    <row r="54" spans="1:9" s="92" customFormat="1" outlineLevel="1" x14ac:dyDescent="0.2">
      <c r="A54" s="1979"/>
      <c r="B54" s="107"/>
      <c r="C54" s="462" t="s">
        <v>332</v>
      </c>
      <c r="D54" s="278">
        <v>0</v>
      </c>
      <c r="E54" s="278">
        <v>0</v>
      </c>
      <c r="F54" s="369">
        <f t="shared" si="0"/>
        <v>0</v>
      </c>
      <c r="G54" s="917"/>
    </row>
    <row r="55" spans="1:9" s="92" customFormat="1" outlineLevel="1" x14ac:dyDescent="0.2">
      <c r="A55" s="1979"/>
      <c r="B55" s="107"/>
      <c r="C55" s="462" t="s">
        <v>397</v>
      </c>
      <c r="D55" s="278">
        <v>0</v>
      </c>
      <c r="E55" s="278">
        <v>0</v>
      </c>
      <c r="F55" s="369">
        <f t="shared" si="0"/>
        <v>0</v>
      </c>
      <c r="G55" s="917"/>
    </row>
    <row r="56" spans="1:9" s="92" customFormat="1" outlineLevel="1" x14ac:dyDescent="0.2">
      <c r="A56" s="1979"/>
      <c r="B56" s="107"/>
      <c r="C56" s="462" t="s">
        <v>413</v>
      </c>
      <c r="D56" s="278">
        <v>0</v>
      </c>
      <c r="E56" s="278">
        <v>0</v>
      </c>
      <c r="F56" s="369">
        <f t="shared" si="0"/>
        <v>0</v>
      </c>
      <c r="G56" s="917"/>
    </row>
    <row r="57" spans="1:9" s="92" customFormat="1" outlineLevel="1" x14ac:dyDescent="0.2">
      <c r="A57" s="1979"/>
      <c r="B57" s="107"/>
      <c r="C57" s="462" t="s">
        <v>827</v>
      </c>
      <c r="D57" s="278">
        <v>0</v>
      </c>
      <c r="E57" s="278">
        <v>0</v>
      </c>
      <c r="F57" s="369">
        <f t="shared" si="0"/>
        <v>0</v>
      </c>
      <c r="G57" s="917"/>
    </row>
    <row r="58" spans="1:9" s="92" customFormat="1" outlineLevel="1" x14ac:dyDescent="0.2">
      <c r="A58" s="1979"/>
      <c r="B58" s="107"/>
      <c r="C58" s="462" t="s">
        <v>423</v>
      </c>
      <c r="D58" s="278">
        <v>0</v>
      </c>
      <c r="E58" s="278">
        <v>0</v>
      </c>
      <c r="F58" s="369">
        <f t="shared" si="0"/>
        <v>0</v>
      </c>
      <c r="G58" s="917"/>
    </row>
    <row r="59" spans="1:9" s="216" customFormat="1" ht="13.5" thickBot="1" x14ac:dyDescent="0.25">
      <c r="A59" s="1980"/>
      <c r="B59" s="660" t="s">
        <v>216</v>
      </c>
      <c r="C59" s="661" t="s">
        <v>832</v>
      </c>
      <c r="D59" s="307">
        <v>0</v>
      </c>
      <c r="E59" s="307">
        <f>SUM(E52:E58)</f>
        <v>0</v>
      </c>
      <c r="F59" s="582">
        <f t="shared" si="0"/>
        <v>0</v>
      </c>
      <c r="G59" s="915"/>
    </row>
    <row r="60" spans="1:9" s="92" customFormat="1" ht="13.5" thickBot="1" x14ac:dyDescent="0.25">
      <c r="A60" s="900"/>
      <c r="B60" s="901"/>
      <c r="C60" s="901"/>
      <c r="D60" s="901"/>
      <c r="E60" s="901"/>
      <c r="F60" s="902"/>
      <c r="G60" s="913"/>
    </row>
    <row r="61" spans="1:9" s="92" customFormat="1" outlineLevel="1" x14ac:dyDescent="0.2">
      <c r="A61" s="1981">
        <v>3613</v>
      </c>
      <c r="B61" s="672"/>
      <c r="C61" s="671" t="s">
        <v>339</v>
      </c>
      <c r="D61" s="278">
        <v>30000</v>
      </c>
      <c r="E61" s="278">
        <v>17900</v>
      </c>
      <c r="F61" s="369">
        <f t="shared" ref="F61:F86" si="1">E61-D61</f>
        <v>-12100</v>
      </c>
      <c r="G61" s="917"/>
    </row>
    <row r="62" spans="1:9" s="92" customFormat="1" outlineLevel="1" x14ac:dyDescent="0.2">
      <c r="A62" s="1982"/>
      <c r="B62" s="464"/>
      <c r="C62" s="462"/>
      <c r="D62" s="278"/>
      <c r="E62" s="278"/>
      <c r="F62" s="369">
        <f t="shared" si="1"/>
        <v>0</v>
      </c>
      <c r="G62" s="917"/>
    </row>
    <row r="63" spans="1:9" s="216" customFormat="1" ht="13.5" thickBot="1" x14ac:dyDescent="0.25">
      <c r="A63" s="1982"/>
      <c r="B63" s="660" t="s">
        <v>218</v>
      </c>
      <c r="C63" s="661" t="s">
        <v>330</v>
      </c>
      <c r="D63" s="307">
        <v>30000</v>
      </c>
      <c r="E63" s="307">
        <f>SUM(E61:E62)</f>
        <v>17900</v>
      </c>
      <c r="F63" s="582">
        <f t="shared" si="1"/>
        <v>-12100</v>
      </c>
      <c r="G63" s="915"/>
      <c r="H63" s="595">
        <f>+E63+E70+E77+E81+E86</f>
        <v>13620770</v>
      </c>
      <c r="I63" s="595">
        <f>H63-'Sumář  výdaje kapitol'!AE62</f>
        <v>5122870</v>
      </c>
    </row>
    <row r="64" spans="1:9" s="92" customFormat="1" ht="15" customHeight="1" outlineLevel="1" x14ac:dyDescent="0.2">
      <c r="A64" s="1982"/>
      <c r="B64" s="464"/>
      <c r="C64" s="462" t="s">
        <v>334</v>
      </c>
      <c r="D64" s="278">
        <v>0</v>
      </c>
      <c r="E64" s="278">
        <v>0</v>
      </c>
      <c r="F64" s="369">
        <f t="shared" si="1"/>
        <v>0</v>
      </c>
      <c r="G64" s="917"/>
    </row>
    <row r="65" spans="1:7" s="92" customFormat="1" ht="15" customHeight="1" outlineLevel="1" x14ac:dyDescent="0.2">
      <c r="A65" s="1982"/>
      <c r="B65" s="464"/>
      <c r="C65" s="659" t="s">
        <v>331</v>
      </c>
      <c r="D65" s="211">
        <v>0</v>
      </c>
      <c r="E65" s="211">
        <v>0</v>
      </c>
      <c r="F65" s="370">
        <f t="shared" si="1"/>
        <v>0</v>
      </c>
      <c r="G65" s="917"/>
    </row>
    <row r="66" spans="1:7" s="92" customFormat="1" ht="15" customHeight="1" outlineLevel="1" x14ac:dyDescent="0.2">
      <c r="A66" s="1982"/>
      <c r="B66" s="464"/>
      <c r="C66" s="659" t="s">
        <v>332</v>
      </c>
      <c r="D66" s="211">
        <v>0</v>
      </c>
      <c r="E66" s="211">
        <v>0</v>
      </c>
      <c r="F66" s="370">
        <f t="shared" si="1"/>
        <v>0</v>
      </c>
      <c r="G66" s="917"/>
    </row>
    <row r="67" spans="1:7" s="92" customFormat="1" ht="15" customHeight="1" outlineLevel="1" x14ac:dyDescent="0.2">
      <c r="A67" s="1982"/>
      <c r="B67" s="464"/>
      <c r="C67" s="659" t="s">
        <v>397</v>
      </c>
      <c r="D67" s="211">
        <v>0</v>
      </c>
      <c r="E67" s="211">
        <v>0</v>
      </c>
      <c r="F67" s="370">
        <f t="shared" si="1"/>
        <v>0</v>
      </c>
      <c r="G67" s="917"/>
    </row>
    <row r="68" spans="1:7" s="92" customFormat="1" ht="15" customHeight="1" outlineLevel="1" x14ac:dyDescent="0.2">
      <c r="A68" s="1982"/>
      <c r="B68" s="464"/>
      <c r="C68" s="659" t="s">
        <v>396</v>
      </c>
      <c r="D68" s="211">
        <v>30000</v>
      </c>
      <c r="E68" s="211">
        <v>30000</v>
      </c>
      <c r="F68" s="370">
        <f t="shared" si="1"/>
        <v>0</v>
      </c>
      <c r="G68" s="917"/>
    </row>
    <row r="69" spans="1:7" s="92" customFormat="1" ht="15" customHeight="1" outlineLevel="1" x14ac:dyDescent="0.2">
      <c r="A69" s="1982"/>
      <c r="B69" s="464"/>
      <c r="C69" s="659" t="s">
        <v>333</v>
      </c>
      <c r="D69" s="211">
        <v>0</v>
      </c>
      <c r="E69" s="211">
        <v>0</v>
      </c>
      <c r="F69" s="370">
        <f t="shared" si="1"/>
        <v>0</v>
      </c>
      <c r="G69" s="917"/>
    </row>
    <row r="70" spans="1:7" s="216" customFormat="1" ht="15" customHeight="1" thickBot="1" x14ac:dyDescent="0.25">
      <c r="A70" s="1982"/>
      <c r="B70" s="668" t="s">
        <v>218</v>
      </c>
      <c r="C70" s="673" t="s">
        <v>454</v>
      </c>
      <c r="D70" s="307">
        <v>30000</v>
      </c>
      <c r="E70" s="307">
        <f>SUM(E64:E69)</f>
        <v>30000</v>
      </c>
      <c r="F70" s="582">
        <f t="shared" si="1"/>
        <v>0</v>
      </c>
      <c r="G70" s="915"/>
    </row>
    <row r="71" spans="1:7" s="92" customFormat="1" ht="15" customHeight="1" outlineLevel="1" x14ac:dyDescent="0.2">
      <c r="A71" s="1982"/>
      <c r="B71" s="464"/>
      <c r="C71" s="659" t="s">
        <v>334</v>
      </c>
      <c r="D71" s="278">
        <v>0</v>
      </c>
      <c r="E71" s="278">
        <v>8500000</v>
      </c>
      <c r="F71" s="369">
        <f t="shared" si="1"/>
        <v>8500000</v>
      </c>
      <c r="G71" s="917"/>
    </row>
    <row r="72" spans="1:7" s="92" customFormat="1" ht="15" customHeight="1" outlineLevel="1" x14ac:dyDescent="0.2">
      <c r="A72" s="1982"/>
      <c r="B72" s="464"/>
      <c r="C72" s="659" t="s">
        <v>331</v>
      </c>
      <c r="D72" s="278">
        <v>0</v>
      </c>
      <c r="E72" s="278">
        <v>300000</v>
      </c>
      <c r="F72" s="369">
        <f t="shared" si="1"/>
        <v>300000</v>
      </c>
      <c r="G72" s="917"/>
    </row>
    <row r="73" spans="1:7" s="92" customFormat="1" ht="15" customHeight="1" outlineLevel="1" x14ac:dyDescent="0.2">
      <c r="A73" s="1982"/>
      <c r="B73" s="464"/>
      <c r="C73" s="659" t="s">
        <v>332</v>
      </c>
      <c r="D73" s="278">
        <v>0</v>
      </c>
      <c r="E73" s="278">
        <v>100000</v>
      </c>
      <c r="F73" s="369">
        <f t="shared" si="1"/>
        <v>100000</v>
      </c>
      <c r="G73" s="917"/>
    </row>
    <row r="74" spans="1:7" s="92" customFormat="1" ht="15" customHeight="1" outlineLevel="1" x14ac:dyDescent="0.2">
      <c r="A74" s="1982"/>
      <c r="B74" s="464"/>
      <c r="C74" s="659" t="s">
        <v>397</v>
      </c>
      <c r="D74" s="278">
        <v>0</v>
      </c>
      <c r="E74" s="278">
        <v>0</v>
      </c>
      <c r="F74" s="369">
        <f t="shared" si="1"/>
        <v>0</v>
      </c>
      <c r="G74" s="917"/>
    </row>
    <row r="75" spans="1:7" s="92" customFormat="1" ht="15" customHeight="1" outlineLevel="1" x14ac:dyDescent="0.2">
      <c r="A75" s="1982"/>
      <c r="B75" s="464"/>
      <c r="C75" s="659" t="s">
        <v>833</v>
      </c>
      <c r="D75" s="278">
        <v>0</v>
      </c>
      <c r="E75" s="278">
        <v>0</v>
      </c>
      <c r="F75" s="369">
        <f t="shared" si="1"/>
        <v>0</v>
      </c>
      <c r="G75" s="917"/>
    </row>
    <row r="76" spans="1:7" s="92" customFormat="1" ht="15" customHeight="1" outlineLevel="1" x14ac:dyDescent="0.2">
      <c r="A76" s="1982"/>
      <c r="B76" s="464"/>
      <c r="C76" s="659" t="s">
        <v>434</v>
      </c>
      <c r="D76" s="211">
        <v>0</v>
      </c>
      <c r="E76" s="211">
        <v>450000</v>
      </c>
      <c r="F76" s="370">
        <f t="shared" si="1"/>
        <v>450000</v>
      </c>
      <c r="G76" s="917"/>
    </row>
    <row r="77" spans="1:7" s="216" customFormat="1" ht="15" customHeight="1" thickBot="1" x14ac:dyDescent="0.25">
      <c r="A77" s="1982"/>
      <c r="B77" s="668" t="s">
        <v>218</v>
      </c>
      <c r="C77" s="673" t="s">
        <v>414</v>
      </c>
      <c r="D77" s="307">
        <v>0</v>
      </c>
      <c r="E77" s="307">
        <f>SUM(E71:E76)</f>
        <v>9350000</v>
      </c>
      <c r="F77" s="582">
        <f t="shared" si="1"/>
        <v>9350000</v>
      </c>
      <c r="G77" s="915"/>
    </row>
    <row r="78" spans="1:7" s="92" customFormat="1" ht="15" customHeight="1" outlineLevel="1" x14ac:dyDescent="0.2">
      <c r="A78" s="1982"/>
      <c r="B78" s="464"/>
      <c r="C78" s="462" t="s">
        <v>395</v>
      </c>
      <c r="D78" s="278">
        <v>4000000</v>
      </c>
      <c r="E78" s="278">
        <v>4000000</v>
      </c>
      <c r="F78" s="369">
        <f t="shared" si="1"/>
        <v>0</v>
      </c>
      <c r="G78" s="917"/>
    </row>
    <row r="79" spans="1:7" s="92" customFormat="1" ht="15" customHeight="1" outlineLevel="1" x14ac:dyDescent="0.2">
      <c r="A79" s="1982"/>
      <c r="B79" s="464"/>
      <c r="C79" s="659" t="s">
        <v>435</v>
      </c>
      <c r="D79" s="211">
        <v>300000</v>
      </c>
      <c r="E79" s="211">
        <v>222870</v>
      </c>
      <c r="F79" s="370">
        <f t="shared" si="1"/>
        <v>-77130</v>
      </c>
      <c r="G79" s="92" t="s">
        <v>1131</v>
      </c>
    </row>
    <row r="80" spans="1:7" s="92" customFormat="1" ht="15" customHeight="1" outlineLevel="1" x14ac:dyDescent="0.2">
      <c r="A80" s="1982"/>
      <c r="B80" s="464"/>
      <c r="C80" s="659"/>
      <c r="D80" s="211"/>
      <c r="E80" s="211"/>
      <c r="F80" s="370">
        <f t="shared" si="1"/>
        <v>0</v>
      </c>
      <c r="G80" s="917"/>
    </row>
    <row r="81" spans="1:9" s="216" customFormat="1" ht="15" customHeight="1" thickBot="1" x14ac:dyDescent="0.25">
      <c r="A81" s="1982"/>
      <c r="B81" s="668" t="s">
        <v>218</v>
      </c>
      <c r="C81" s="673" t="s">
        <v>834</v>
      </c>
      <c r="D81" s="307">
        <v>4300000</v>
      </c>
      <c r="E81" s="307">
        <f>SUM(E78:E80)</f>
        <v>4222870</v>
      </c>
      <c r="F81" s="582">
        <f t="shared" si="1"/>
        <v>-77130</v>
      </c>
      <c r="G81" s="915"/>
    </row>
    <row r="82" spans="1:9" s="92" customFormat="1" ht="15" customHeight="1" outlineLevel="1" x14ac:dyDescent="0.2">
      <c r="A82" s="1982"/>
      <c r="B82" s="464"/>
      <c r="C82" s="659" t="s">
        <v>334</v>
      </c>
      <c r="D82" s="278">
        <v>800000</v>
      </c>
      <c r="E82" s="278">
        <v>0</v>
      </c>
      <c r="F82" s="369">
        <f t="shared" si="1"/>
        <v>-800000</v>
      </c>
      <c r="G82" s="917"/>
    </row>
    <row r="83" spans="1:9" s="92" customFormat="1" ht="15" customHeight="1" outlineLevel="1" x14ac:dyDescent="0.2">
      <c r="A83" s="1982"/>
      <c r="B83" s="464"/>
      <c r="C83" s="659" t="s">
        <v>331</v>
      </c>
      <c r="D83" s="211">
        <v>120000</v>
      </c>
      <c r="E83" s="211">
        <v>0</v>
      </c>
      <c r="F83" s="370">
        <f t="shared" si="1"/>
        <v>-120000</v>
      </c>
      <c r="G83" s="917"/>
    </row>
    <row r="84" spans="1:9" s="92" customFormat="1" ht="15" customHeight="1" outlineLevel="1" x14ac:dyDescent="0.2">
      <c r="A84" s="1982"/>
      <c r="B84" s="464"/>
      <c r="C84" s="659" t="s">
        <v>332</v>
      </c>
      <c r="D84" s="211">
        <v>60000</v>
      </c>
      <c r="E84" s="211">
        <v>0</v>
      </c>
      <c r="F84" s="370">
        <f t="shared" si="1"/>
        <v>-60000</v>
      </c>
      <c r="G84" s="917"/>
    </row>
    <row r="85" spans="1:9" s="92" customFormat="1" ht="15" customHeight="1" outlineLevel="1" x14ac:dyDescent="0.2">
      <c r="A85" s="1982"/>
      <c r="B85" s="464"/>
      <c r="C85" s="659" t="s">
        <v>397</v>
      </c>
      <c r="D85" s="211">
        <v>0</v>
      </c>
      <c r="E85" s="211">
        <v>0</v>
      </c>
      <c r="F85" s="370">
        <f t="shared" si="1"/>
        <v>0</v>
      </c>
      <c r="G85" s="917"/>
    </row>
    <row r="86" spans="1:9" s="216" customFormat="1" ht="13.5" thickBot="1" x14ac:dyDescent="0.25">
      <c r="A86" s="1983"/>
      <c r="B86" s="660" t="s">
        <v>218</v>
      </c>
      <c r="C86" s="661" t="s">
        <v>292</v>
      </c>
      <c r="D86" s="307">
        <v>980000</v>
      </c>
      <c r="E86" s="307">
        <f>SUM(E82:E85)</f>
        <v>0</v>
      </c>
      <c r="F86" s="582">
        <f t="shared" si="1"/>
        <v>-980000</v>
      </c>
      <c r="G86" s="915"/>
    </row>
    <row r="87" spans="1:9" s="216" customFormat="1" ht="13.5" thickBot="1" x14ac:dyDescent="0.25">
      <c r="A87" s="904"/>
      <c r="B87" s="904"/>
      <c r="C87" s="904"/>
      <c r="D87" s="904"/>
      <c r="E87" s="904"/>
      <c r="F87" s="905"/>
      <c r="G87" s="918"/>
    </row>
    <row r="88" spans="1:9" s="92" customFormat="1" ht="15" customHeight="1" outlineLevel="1" x14ac:dyDescent="0.2">
      <c r="A88" s="1976"/>
      <c r="B88" s="235"/>
      <c r="C88" s="462" t="s">
        <v>401</v>
      </c>
      <c r="D88" s="278">
        <v>1000000</v>
      </c>
      <c r="E88" s="278" t="e">
        <v>#REF!</v>
      </c>
      <c r="F88" s="369" t="e">
        <f>E88-D88</f>
        <v>#REF!</v>
      </c>
      <c r="G88" s="917"/>
    </row>
    <row r="89" spans="1:9" s="92" customFormat="1" ht="15" customHeight="1" outlineLevel="1" x14ac:dyDescent="0.2">
      <c r="A89" s="1975"/>
      <c r="B89" s="235"/>
      <c r="C89" s="277"/>
      <c r="D89" s="211">
        <v>0</v>
      </c>
      <c r="E89" s="211">
        <v>0</v>
      </c>
      <c r="F89" s="370">
        <f>E89-D89</f>
        <v>0</v>
      </c>
      <c r="G89" s="917"/>
    </row>
    <row r="90" spans="1:9" s="216" customFormat="1" ht="13.5" thickBot="1" x14ac:dyDescent="0.25">
      <c r="A90" s="345" t="s">
        <v>254</v>
      </c>
      <c r="B90" s="303" t="s">
        <v>217</v>
      </c>
      <c r="C90" s="303"/>
      <c r="D90" s="307">
        <v>1000000</v>
      </c>
      <c r="E90" s="307" t="e">
        <f>SUM(E88:E89)</f>
        <v>#REF!</v>
      </c>
      <c r="F90" s="582" t="e">
        <f>E90-D90</f>
        <v>#REF!</v>
      </c>
      <c r="G90" s="915"/>
      <c r="H90" s="595">
        <f>'Sumář  výdaje kapitol'!AB62</f>
        <v>0</v>
      </c>
      <c r="I90" s="595" t="e">
        <f>H90-F90</f>
        <v>#REF!</v>
      </c>
    </row>
    <row r="91" spans="1:9" s="216" customFormat="1" ht="13.5" thickBot="1" x14ac:dyDescent="0.25">
      <c r="A91" s="900"/>
      <c r="B91" s="901"/>
      <c r="C91" s="901"/>
      <c r="D91" s="901"/>
      <c r="E91" s="901"/>
      <c r="F91" s="902"/>
      <c r="G91" s="913"/>
    </row>
    <row r="92" spans="1:9" s="92" customFormat="1" ht="15" customHeight="1" outlineLevel="1" x14ac:dyDescent="0.2">
      <c r="A92" s="1976"/>
      <c r="B92" s="235"/>
      <c r="C92" s="277" t="s">
        <v>499</v>
      </c>
      <c r="D92" s="278">
        <v>0</v>
      </c>
      <c r="E92" s="278" t="e">
        <v>#REF!</v>
      </c>
      <c r="F92" s="369" t="e">
        <f>E92-D92</f>
        <v>#REF!</v>
      </c>
      <c r="G92" s="917"/>
    </row>
    <row r="93" spans="1:9" s="92" customFormat="1" ht="15" customHeight="1" outlineLevel="1" x14ac:dyDescent="0.2">
      <c r="A93" s="1975"/>
      <c r="B93" s="235"/>
      <c r="C93" s="222" t="s">
        <v>868</v>
      </c>
      <c r="D93" s="211"/>
      <c r="E93" s="211" t="e">
        <v>#REF!</v>
      </c>
      <c r="F93" s="370" t="e">
        <f>E93-D93</f>
        <v>#REF!</v>
      </c>
      <c r="G93" s="92" t="s">
        <v>1131</v>
      </c>
    </row>
    <row r="94" spans="1:9" s="216" customFormat="1" ht="13.5" thickBot="1" x14ac:dyDescent="0.25">
      <c r="A94" s="345">
        <v>5512</v>
      </c>
      <c r="B94" s="303" t="s">
        <v>219</v>
      </c>
      <c r="C94" s="303"/>
      <c r="D94" s="307">
        <v>0</v>
      </c>
      <c r="E94" s="307" t="e">
        <f>SUM(E92:E93)</f>
        <v>#REF!</v>
      </c>
      <c r="F94" s="582" t="e">
        <f>E94-D94</f>
        <v>#REF!</v>
      </c>
      <c r="G94" s="915"/>
      <c r="H94" s="595">
        <f>'Sumář  výdaje kapitol'!AH62</f>
        <v>80000</v>
      </c>
      <c r="I94" s="595" t="e">
        <f>H94-F94</f>
        <v>#REF!</v>
      </c>
    </row>
    <row r="95" spans="1:9" s="216" customFormat="1" ht="13.5" thickBot="1" x14ac:dyDescent="0.25">
      <c r="A95" s="900"/>
      <c r="B95" s="901"/>
      <c r="C95" s="901"/>
      <c r="D95" s="901"/>
      <c r="E95" s="901"/>
      <c r="F95" s="902"/>
      <c r="G95" s="913"/>
    </row>
    <row r="96" spans="1:9" s="92" customFormat="1" ht="15" customHeight="1" outlineLevel="1" x14ac:dyDescent="0.2">
      <c r="A96" s="1976"/>
      <c r="B96" s="235"/>
      <c r="C96" s="277" t="s">
        <v>402</v>
      </c>
      <c r="D96" s="278">
        <v>70000</v>
      </c>
      <c r="E96" s="278" t="e">
        <v>#REF!</v>
      </c>
      <c r="F96" s="369" t="e">
        <f>E96-D96</f>
        <v>#REF!</v>
      </c>
      <c r="G96" s="917"/>
    </row>
    <row r="97" spans="1:10" s="92" customFormat="1" ht="15" customHeight="1" outlineLevel="1" x14ac:dyDescent="0.2">
      <c r="A97" s="1975"/>
      <c r="B97" s="107"/>
      <c r="C97" s="222" t="s">
        <v>1043</v>
      </c>
      <c r="D97" s="211">
        <v>200000</v>
      </c>
      <c r="E97" s="211" t="e">
        <v>#REF!</v>
      </c>
      <c r="F97" s="370" t="e">
        <f>E97-D97</f>
        <v>#REF!</v>
      </c>
      <c r="G97" s="917"/>
    </row>
    <row r="98" spans="1:10" s="216" customFormat="1" ht="13.5" thickBot="1" x14ac:dyDescent="0.25">
      <c r="A98" s="345">
        <v>3632</v>
      </c>
      <c r="B98" s="303" t="s">
        <v>222</v>
      </c>
      <c r="C98" s="303"/>
      <c r="D98" s="307">
        <v>270000</v>
      </c>
      <c r="E98" s="307" t="e">
        <f>SUM(E96:E97)</f>
        <v>#REF!</v>
      </c>
      <c r="F98" s="582" t="e">
        <f>E98-D98</f>
        <v>#REF!</v>
      </c>
      <c r="G98" s="915"/>
      <c r="H98" s="595">
        <f>'Sumář  výdaje kapitol'!AK62</f>
        <v>350000</v>
      </c>
      <c r="I98" s="595" t="e">
        <f>H98-F98</f>
        <v>#REF!</v>
      </c>
    </row>
    <row r="99" spans="1:10" s="216" customFormat="1" ht="13.5" thickBot="1" x14ac:dyDescent="0.25">
      <c r="A99" s="900"/>
      <c r="B99" s="901"/>
      <c r="C99" s="901"/>
      <c r="D99" s="901"/>
      <c r="E99" s="901"/>
      <c r="F99" s="902"/>
      <c r="G99" s="913"/>
    </row>
    <row r="100" spans="1:10" s="216" customFormat="1" ht="13.5" thickBot="1" x14ac:dyDescent="0.25">
      <c r="A100" s="900"/>
      <c r="B100" s="901"/>
      <c r="C100" s="901"/>
      <c r="D100" s="901"/>
      <c r="E100" s="901"/>
      <c r="F100" s="902"/>
      <c r="G100" s="913"/>
    </row>
    <row r="101" spans="1:10" s="92" customFormat="1" ht="15" customHeight="1" outlineLevel="1" x14ac:dyDescent="0.2">
      <c r="A101" s="1974"/>
      <c r="B101" s="235"/>
      <c r="C101" s="277" t="s">
        <v>1134</v>
      </c>
      <c r="D101" s="278">
        <v>0</v>
      </c>
      <c r="E101" s="278"/>
      <c r="F101" s="369">
        <f>E101-D101</f>
        <v>0</v>
      </c>
      <c r="G101" s="917"/>
    </row>
    <row r="102" spans="1:10" s="92" customFormat="1" ht="15" customHeight="1" outlineLevel="1" x14ac:dyDescent="0.2">
      <c r="A102" s="1975"/>
      <c r="B102" s="107"/>
      <c r="C102" s="222"/>
      <c r="D102" s="211"/>
      <c r="E102" s="211"/>
      <c r="F102" s="370">
        <f>E102-D102</f>
        <v>0</v>
      </c>
      <c r="G102" s="917"/>
    </row>
    <row r="103" spans="1:10" s="216" customFormat="1" ht="13.5" thickBot="1" x14ac:dyDescent="0.25">
      <c r="A103" s="345" t="s">
        <v>1133</v>
      </c>
      <c r="B103" s="303" t="s">
        <v>1132</v>
      </c>
      <c r="C103" s="303"/>
      <c r="D103" s="307">
        <v>0</v>
      </c>
      <c r="E103" s="307">
        <f>SUM(E101:E102)</f>
        <v>0</v>
      </c>
      <c r="F103" s="582">
        <f>E103-D103</f>
        <v>0</v>
      </c>
      <c r="G103" s="915"/>
      <c r="H103" s="595">
        <f>'Sumář  výdaje kapitol'!AN56</f>
        <v>2050000</v>
      </c>
      <c r="I103" s="595">
        <f>H103-F103</f>
        <v>2050000</v>
      </c>
      <c r="J103" s="216" t="s">
        <v>872</v>
      </c>
    </row>
    <row r="104" spans="1:10" s="216" customFormat="1" ht="13.5" thickBot="1" x14ac:dyDescent="0.25">
      <c r="A104" s="912"/>
      <c r="B104" s="901"/>
      <c r="C104" s="901"/>
      <c r="D104" s="901"/>
      <c r="E104" s="901"/>
      <c r="F104" s="902"/>
      <c r="G104" s="913"/>
    </row>
    <row r="105" spans="1:10" s="92" customFormat="1" ht="15" customHeight="1" outlineLevel="1" x14ac:dyDescent="0.2">
      <c r="A105" s="1976"/>
      <c r="B105" s="235"/>
      <c r="C105" s="277" t="s">
        <v>835</v>
      </c>
      <c r="D105" s="278">
        <v>0</v>
      </c>
      <c r="E105" s="278">
        <v>19000000</v>
      </c>
      <c r="F105" s="369">
        <f>E105-D105</f>
        <v>19000000</v>
      </c>
      <c r="G105" s="917"/>
    </row>
    <row r="106" spans="1:10" s="92" customFormat="1" ht="15" customHeight="1" outlineLevel="1" x14ac:dyDescent="0.2">
      <c r="A106" s="1975"/>
      <c r="B106" s="107"/>
      <c r="C106" s="222" t="s">
        <v>1126</v>
      </c>
      <c r="D106" s="211"/>
      <c r="E106" s="211">
        <v>0</v>
      </c>
      <c r="F106" s="370">
        <f>E106-D106</f>
        <v>0</v>
      </c>
      <c r="G106" s="917"/>
    </row>
    <row r="107" spans="1:10" s="216" customFormat="1" ht="13.5" thickBot="1" x14ac:dyDescent="0.25">
      <c r="A107" s="345">
        <v>3412</v>
      </c>
      <c r="B107" s="303" t="s">
        <v>498</v>
      </c>
      <c r="C107" s="303"/>
      <c r="D107" s="307">
        <v>0</v>
      </c>
      <c r="E107" s="307">
        <f>SUM(E105:E106)</f>
        <v>19000000</v>
      </c>
      <c r="F107" s="582">
        <f>E107-D107</f>
        <v>19000000</v>
      </c>
      <c r="G107" s="915"/>
      <c r="H107" s="595">
        <f>'Sumář  výdaje kapitol'!AN62</f>
        <v>14500000</v>
      </c>
      <c r="I107" s="595">
        <f>H107-F107</f>
        <v>-4500000</v>
      </c>
      <c r="J107" s="216" t="s">
        <v>872</v>
      </c>
    </row>
    <row r="108" spans="1:10" s="216" customFormat="1" ht="13.5" thickBot="1" x14ac:dyDescent="0.25">
      <c r="A108" s="900"/>
      <c r="B108" s="901"/>
      <c r="C108" s="901"/>
      <c r="D108" s="901"/>
      <c r="E108" s="901"/>
      <c r="F108" s="902"/>
      <c r="G108" s="913"/>
    </row>
    <row r="109" spans="1:10" s="92" customFormat="1" ht="15" customHeight="1" outlineLevel="1" x14ac:dyDescent="0.2">
      <c r="A109" s="1978">
        <v>3113</v>
      </c>
      <c r="B109" s="104"/>
      <c r="C109" s="671" t="s">
        <v>436</v>
      </c>
      <c r="D109" s="278">
        <v>0</v>
      </c>
      <c r="E109" s="278">
        <v>0</v>
      </c>
      <c r="F109" s="369">
        <f t="shared" ref="F109:F123" si="2">E109-D109</f>
        <v>0</v>
      </c>
      <c r="G109" s="917"/>
    </row>
    <row r="110" spans="1:10" s="92" customFormat="1" ht="15" customHeight="1" outlineLevel="1" x14ac:dyDescent="0.2">
      <c r="A110" s="1979"/>
      <c r="B110" s="107"/>
      <c r="C110" s="659" t="s">
        <v>331</v>
      </c>
      <c r="D110" s="211">
        <v>0</v>
      </c>
      <c r="E110" s="211">
        <v>0</v>
      </c>
      <c r="F110" s="370">
        <f t="shared" si="2"/>
        <v>0</v>
      </c>
      <c r="G110" s="917"/>
    </row>
    <row r="111" spans="1:10" s="92" customFormat="1" ht="15" customHeight="1" outlineLevel="1" x14ac:dyDescent="0.2">
      <c r="A111" s="1979"/>
      <c r="B111" s="107"/>
      <c r="C111" s="659" t="s">
        <v>332</v>
      </c>
      <c r="D111" s="211">
        <v>0</v>
      </c>
      <c r="E111" s="211">
        <v>0</v>
      </c>
      <c r="F111" s="370">
        <f t="shared" si="2"/>
        <v>0</v>
      </c>
      <c r="G111" s="917"/>
    </row>
    <row r="112" spans="1:10" s="92" customFormat="1" ht="15" customHeight="1" outlineLevel="1" x14ac:dyDescent="0.2">
      <c r="A112" s="1979"/>
      <c r="B112" s="107"/>
      <c r="C112" s="659" t="s">
        <v>397</v>
      </c>
      <c r="D112" s="211">
        <v>0</v>
      </c>
      <c r="E112" s="211">
        <v>0</v>
      </c>
      <c r="F112" s="370">
        <f t="shared" si="2"/>
        <v>0</v>
      </c>
      <c r="G112" s="917"/>
    </row>
    <row r="113" spans="1:10" s="92" customFormat="1" ht="15" customHeight="1" outlineLevel="1" x14ac:dyDescent="0.2">
      <c r="A113" s="1979"/>
      <c r="B113" s="107"/>
      <c r="C113" s="659" t="s">
        <v>423</v>
      </c>
      <c r="D113" s="211">
        <v>0</v>
      </c>
      <c r="E113" s="211">
        <v>0</v>
      </c>
      <c r="F113" s="370">
        <f t="shared" si="2"/>
        <v>0</v>
      </c>
      <c r="G113" s="917"/>
    </row>
    <row r="114" spans="1:10" s="92" customFormat="1" ht="15" customHeight="1" outlineLevel="1" x14ac:dyDescent="0.2">
      <c r="A114" s="1979"/>
      <c r="B114" s="107"/>
      <c r="C114" s="659" t="s">
        <v>864</v>
      </c>
      <c r="D114" s="211">
        <v>30000</v>
      </c>
      <c r="E114" s="211">
        <v>30000</v>
      </c>
      <c r="F114" s="370">
        <f t="shared" si="2"/>
        <v>0</v>
      </c>
      <c r="G114" s="917"/>
    </row>
    <row r="115" spans="1:10" s="92" customFormat="1" ht="15" customHeight="1" outlineLevel="1" x14ac:dyDescent="0.2">
      <c r="A115" s="1979"/>
      <c r="B115" s="107"/>
      <c r="C115" s="659" t="s">
        <v>333</v>
      </c>
      <c r="D115" s="211">
        <v>0</v>
      </c>
      <c r="E115" s="211">
        <v>0</v>
      </c>
      <c r="F115" s="370">
        <f t="shared" si="2"/>
        <v>0</v>
      </c>
      <c r="G115" s="917"/>
    </row>
    <row r="116" spans="1:10" s="216" customFormat="1" ht="13.5" thickBot="1" x14ac:dyDescent="0.25">
      <c r="A116" s="1979"/>
      <c r="B116" s="346" t="s">
        <v>224</v>
      </c>
      <c r="C116" s="661" t="s">
        <v>491</v>
      </c>
      <c r="D116" s="307">
        <v>30000</v>
      </c>
      <c r="E116" s="307">
        <f>SUM(E109:E115)</f>
        <v>30000</v>
      </c>
      <c r="F116" s="582">
        <f t="shared" si="2"/>
        <v>0</v>
      </c>
      <c r="G116" s="915"/>
      <c r="H116" s="595">
        <f>+D116+D123</f>
        <v>30000</v>
      </c>
      <c r="I116" s="595">
        <f>H116-'Sumář  výdaje kapitol'!AQ62</f>
        <v>-8146819</v>
      </c>
    </row>
    <row r="117" spans="1:10" s="92" customFormat="1" ht="15" customHeight="1" outlineLevel="1" x14ac:dyDescent="0.2">
      <c r="A117" s="1979"/>
      <c r="B117" s="107"/>
      <c r="C117" s="462" t="s">
        <v>837</v>
      </c>
      <c r="D117" s="278">
        <v>0</v>
      </c>
      <c r="E117" s="278">
        <v>7194738</v>
      </c>
      <c r="F117" s="369">
        <f t="shared" si="2"/>
        <v>7194738</v>
      </c>
      <c r="G117" s="917"/>
    </row>
    <row r="118" spans="1:10" s="92" customFormat="1" ht="15" customHeight="1" outlineLevel="1" x14ac:dyDescent="0.2">
      <c r="A118" s="1979"/>
      <c r="B118" s="107"/>
      <c r="C118" s="659" t="s">
        <v>331</v>
      </c>
      <c r="D118" s="211">
        <v>0</v>
      </c>
      <c r="E118" s="211">
        <v>290000</v>
      </c>
      <c r="F118" s="370">
        <f t="shared" si="2"/>
        <v>290000</v>
      </c>
      <c r="G118" s="917"/>
    </row>
    <row r="119" spans="1:10" s="92" customFormat="1" ht="15" customHeight="1" outlineLevel="1" x14ac:dyDescent="0.2">
      <c r="A119" s="1979"/>
      <c r="B119" s="107"/>
      <c r="C119" s="659" t="s">
        <v>332</v>
      </c>
      <c r="D119" s="211">
        <v>0</v>
      </c>
      <c r="E119" s="211">
        <v>160000</v>
      </c>
      <c r="F119" s="370">
        <f t="shared" si="2"/>
        <v>160000</v>
      </c>
      <c r="G119" s="917"/>
    </row>
    <row r="120" spans="1:10" s="92" customFormat="1" ht="15" customHeight="1" outlineLevel="1" x14ac:dyDescent="0.2">
      <c r="A120" s="1979"/>
      <c r="B120" s="235"/>
      <c r="C120" s="659" t="s">
        <v>397</v>
      </c>
      <c r="D120" s="211">
        <v>0</v>
      </c>
      <c r="E120" s="211">
        <v>70000</v>
      </c>
      <c r="F120" s="370">
        <f t="shared" si="2"/>
        <v>70000</v>
      </c>
      <c r="G120" s="917"/>
    </row>
    <row r="121" spans="1:10" s="92" customFormat="1" ht="15" customHeight="1" outlineLevel="1" x14ac:dyDescent="0.2">
      <c r="A121" s="1979"/>
      <c r="B121" s="310"/>
      <c r="C121" s="674" t="s">
        <v>423</v>
      </c>
      <c r="D121" s="312">
        <v>0</v>
      </c>
      <c r="E121" s="312">
        <v>0</v>
      </c>
      <c r="F121" s="580">
        <f t="shared" si="2"/>
        <v>0</v>
      </c>
      <c r="G121" s="917"/>
    </row>
    <row r="122" spans="1:10" s="92" customFormat="1" outlineLevel="1" x14ac:dyDescent="0.2">
      <c r="A122" s="1979"/>
      <c r="B122" s="107"/>
      <c r="C122" s="659" t="s">
        <v>333</v>
      </c>
      <c r="D122" s="211">
        <v>0</v>
      </c>
      <c r="E122" s="211">
        <v>100000</v>
      </c>
      <c r="F122" s="370">
        <f t="shared" si="2"/>
        <v>100000</v>
      </c>
      <c r="G122" s="917"/>
    </row>
    <row r="123" spans="1:10" s="216" customFormat="1" ht="13.5" thickBot="1" x14ac:dyDescent="0.25">
      <c r="A123" s="1980"/>
      <c r="B123" s="346" t="s">
        <v>224</v>
      </c>
      <c r="C123" s="661" t="s">
        <v>836</v>
      </c>
      <c r="D123" s="307">
        <v>0</v>
      </c>
      <c r="E123" s="307">
        <f>SUM(E117:E122)</f>
        <v>7814738</v>
      </c>
      <c r="F123" s="582">
        <f t="shared" si="2"/>
        <v>7814738</v>
      </c>
      <c r="G123" s="915"/>
      <c r="J123" s="216" t="s">
        <v>872</v>
      </c>
    </row>
    <row r="124" spans="1:10" s="216" customFormat="1" ht="13.5" thickBot="1" x14ac:dyDescent="0.25">
      <c r="A124" s="906"/>
      <c r="B124" s="907"/>
      <c r="C124" s="907"/>
      <c r="D124" s="907"/>
      <c r="E124" s="907"/>
      <c r="F124" s="908"/>
      <c r="G124" s="919"/>
    </row>
    <row r="125" spans="1:10" s="92" customFormat="1" ht="15" customHeight="1" outlineLevel="1" x14ac:dyDescent="0.2">
      <c r="A125" s="1976"/>
      <c r="B125" s="104"/>
      <c r="C125" s="671" t="s">
        <v>1127</v>
      </c>
      <c r="D125" s="278">
        <v>0</v>
      </c>
      <c r="E125" s="278">
        <v>768117</v>
      </c>
      <c r="F125" s="369">
        <f t="shared" ref="F125:F131" si="3">E125-D125</f>
        <v>768117</v>
      </c>
      <c r="G125" s="92" t="s">
        <v>1131</v>
      </c>
    </row>
    <row r="126" spans="1:10" s="92" customFormat="1" ht="15" customHeight="1" outlineLevel="1" x14ac:dyDescent="0.2">
      <c r="A126" s="1974"/>
      <c r="B126" s="107"/>
      <c r="C126" s="659" t="s">
        <v>331</v>
      </c>
      <c r="D126" s="211"/>
      <c r="E126" s="211"/>
      <c r="F126" s="370">
        <f t="shared" si="3"/>
        <v>0</v>
      </c>
      <c r="G126" s="917"/>
    </row>
    <row r="127" spans="1:10" s="92" customFormat="1" ht="15" customHeight="1" outlineLevel="1" x14ac:dyDescent="0.2">
      <c r="A127" s="1974"/>
      <c r="B127" s="107"/>
      <c r="C127" s="659" t="s">
        <v>340</v>
      </c>
      <c r="D127" s="211"/>
      <c r="E127" s="211"/>
      <c r="F127" s="370">
        <f t="shared" si="3"/>
        <v>0</v>
      </c>
      <c r="G127" s="917"/>
    </row>
    <row r="128" spans="1:10" s="92" customFormat="1" ht="15" customHeight="1" outlineLevel="1" x14ac:dyDescent="0.2">
      <c r="A128" s="1974"/>
      <c r="B128" s="235"/>
      <c r="C128" s="659" t="s">
        <v>332</v>
      </c>
      <c r="D128" s="211"/>
      <c r="E128" s="211"/>
      <c r="F128" s="370">
        <f t="shared" si="3"/>
        <v>0</v>
      </c>
      <c r="G128" s="917"/>
    </row>
    <row r="129" spans="1:9" s="92" customFormat="1" ht="15" customHeight="1" outlineLevel="1" x14ac:dyDescent="0.2">
      <c r="A129" s="1974"/>
      <c r="B129" s="310"/>
      <c r="C129" s="674" t="s">
        <v>1128</v>
      </c>
      <c r="D129" s="312"/>
      <c r="E129" s="312">
        <v>50000</v>
      </c>
      <c r="F129" s="580">
        <f t="shared" si="3"/>
        <v>50000</v>
      </c>
      <c r="G129" s="917"/>
    </row>
    <row r="130" spans="1:9" s="92" customFormat="1" ht="13.5" outlineLevel="1" thickBot="1" x14ac:dyDescent="0.25">
      <c r="A130" s="1977"/>
      <c r="B130" s="283"/>
      <c r="C130" s="304" t="s">
        <v>825</v>
      </c>
      <c r="D130" s="287">
        <v>30000</v>
      </c>
      <c r="E130" s="287">
        <v>30000</v>
      </c>
      <c r="F130" s="581">
        <f t="shared" si="3"/>
        <v>0</v>
      </c>
      <c r="G130" s="917"/>
    </row>
    <row r="131" spans="1:9" s="216" customFormat="1" ht="13.5" thickBot="1" x14ac:dyDescent="0.25">
      <c r="A131" s="345">
        <v>3114</v>
      </c>
      <c r="B131" s="303" t="s">
        <v>839</v>
      </c>
      <c r="C131" s="303"/>
      <c r="D131" s="307">
        <v>30000</v>
      </c>
      <c r="E131" s="307">
        <f>SUM(E125:E130)</f>
        <v>848117</v>
      </c>
      <c r="F131" s="582">
        <f t="shared" si="3"/>
        <v>818117</v>
      </c>
      <c r="G131" s="915"/>
      <c r="H131" s="595">
        <f>'Sumář  výdaje kapitol'!AT62</f>
        <v>70000</v>
      </c>
      <c r="I131" s="595">
        <f>H131-F131</f>
        <v>-748117</v>
      </c>
    </row>
    <row r="132" spans="1:9" s="216" customFormat="1" ht="13.5" thickBot="1" x14ac:dyDescent="0.25">
      <c r="A132" s="900"/>
      <c r="B132" s="901"/>
      <c r="C132" s="901"/>
      <c r="D132" s="901"/>
      <c r="E132" s="901"/>
      <c r="F132" s="902"/>
      <c r="G132" s="913"/>
    </row>
    <row r="133" spans="1:9" s="92" customFormat="1" ht="15" customHeight="1" outlineLevel="1" x14ac:dyDescent="0.2">
      <c r="A133" s="1976"/>
      <c r="B133" s="104"/>
      <c r="C133" s="671" t="s">
        <v>334</v>
      </c>
      <c r="D133" s="278">
        <v>0</v>
      </c>
      <c r="E133" s="278">
        <v>11877934</v>
      </c>
      <c r="F133" s="369">
        <f t="shared" ref="F133:F140" si="4">E133-D133</f>
        <v>11877934</v>
      </c>
      <c r="G133" s="917"/>
    </row>
    <row r="134" spans="1:9" s="92" customFormat="1" ht="15" customHeight="1" outlineLevel="1" x14ac:dyDescent="0.2">
      <c r="A134" s="1974"/>
      <c r="B134" s="107"/>
      <c r="C134" s="659" t="s">
        <v>331</v>
      </c>
      <c r="D134" s="211">
        <v>0</v>
      </c>
      <c r="E134" s="211">
        <v>400000</v>
      </c>
      <c r="F134" s="370">
        <f t="shared" si="4"/>
        <v>400000</v>
      </c>
      <c r="G134" s="917"/>
    </row>
    <row r="135" spans="1:9" s="92" customFormat="1" ht="15" customHeight="1" outlineLevel="1" x14ac:dyDescent="0.2">
      <c r="A135" s="1974"/>
      <c r="B135" s="107"/>
      <c r="C135" s="659" t="s">
        <v>332</v>
      </c>
      <c r="D135" s="211">
        <v>0</v>
      </c>
      <c r="E135" s="211">
        <v>200000</v>
      </c>
      <c r="F135" s="370">
        <f t="shared" si="4"/>
        <v>200000</v>
      </c>
      <c r="G135" s="917"/>
    </row>
    <row r="136" spans="1:9" s="92" customFormat="1" ht="15" customHeight="1" outlineLevel="1" x14ac:dyDescent="0.2">
      <c r="A136" s="1974"/>
      <c r="B136" s="235"/>
      <c r="C136" s="659" t="s">
        <v>397</v>
      </c>
      <c r="D136" s="211">
        <v>0</v>
      </c>
      <c r="E136" s="211">
        <v>0</v>
      </c>
      <c r="F136" s="370">
        <f t="shared" si="4"/>
        <v>0</v>
      </c>
      <c r="G136" s="917"/>
    </row>
    <row r="137" spans="1:9" s="92" customFormat="1" ht="15" customHeight="1" outlineLevel="1" x14ac:dyDescent="0.2">
      <c r="A137" s="1974"/>
      <c r="B137" s="310"/>
      <c r="C137" s="674" t="s">
        <v>841</v>
      </c>
      <c r="D137" s="312">
        <v>0</v>
      </c>
      <c r="E137" s="312">
        <v>0</v>
      </c>
      <c r="F137" s="580">
        <f t="shared" si="4"/>
        <v>0</v>
      </c>
      <c r="G137" s="917"/>
    </row>
    <row r="138" spans="1:9" s="92" customFormat="1" outlineLevel="1" x14ac:dyDescent="0.2">
      <c r="A138" s="1974"/>
      <c r="B138" s="107"/>
      <c r="C138" s="659" t="s">
        <v>396</v>
      </c>
      <c r="D138" s="211">
        <v>0</v>
      </c>
      <c r="E138" s="211">
        <v>0</v>
      </c>
      <c r="F138" s="370">
        <f t="shared" si="4"/>
        <v>0</v>
      </c>
      <c r="G138" s="917"/>
    </row>
    <row r="139" spans="1:9" s="92" customFormat="1" ht="13.5" outlineLevel="1" thickBot="1" x14ac:dyDescent="0.25">
      <c r="A139" s="1977"/>
      <c r="B139" s="283"/>
      <c r="C139" s="304" t="s">
        <v>437</v>
      </c>
      <c r="D139" s="287">
        <v>100000</v>
      </c>
      <c r="E139" s="287">
        <v>0</v>
      </c>
      <c r="F139" s="581">
        <f t="shared" si="4"/>
        <v>-100000</v>
      </c>
      <c r="G139" s="917"/>
    </row>
    <row r="140" spans="1:9" s="216" customFormat="1" ht="13.5" thickBot="1" x14ac:dyDescent="0.25">
      <c r="A140" s="345" t="s">
        <v>297</v>
      </c>
      <c r="B140" s="303" t="s">
        <v>840</v>
      </c>
      <c r="C140" s="303"/>
      <c r="D140" s="307">
        <v>100000</v>
      </c>
      <c r="E140" s="307">
        <f>SUM(E133:E139)</f>
        <v>12477934</v>
      </c>
      <c r="F140" s="582">
        <f t="shared" si="4"/>
        <v>12377934</v>
      </c>
      <c r="G140" s="915"/>
      <c r="H140" s="595">
        <f>'Sumář  výdaje kapitol'!BC62</f>
        <v>2287000</v>
      </c>
      <c r="I140" s="595">
        <f>H140-F140</f>
        <v>-10090934</v>
      </c>
    </row>
    <row r="141" spans="1:9" s="216" customFormat="1" ht="13.5" thickBot="1" x14ac:dyDescent="0.25">
      <c r="A141" s="900"/>
      <c r="B141" s="901"/>
      <c r="C141" s="901"/>
      <c r="D141" s="901"/>
      <c r="E141" s="901"/>
      <c r="F141" s="902"/>
      <c r="G141" s="913"/>
    </row>
    <row r="142" spans="1:9" s="92" customFormat="1" ht="15" customHeight="1" outlineLevel="1" x14ac:dyDescent="0.2">
      <c r="A142" s="1976"/>
      <c r="B142" s="104"/>
      <c r="C142" s="671" t="s">
        <v>334</v>
      </c>
      <c r="D142" s="278">
        <v>519200</v>
      </c>
      <c r="E142" s="278">
        <v>2420000</v>
      </c>
      <c r="F142" s="369">
        <f t="shared" ref="F142:F148" si="5">E142-D142</f>
        <v>1900800</v>
      </c>
      <c r="G142" s="917"/>
    </row>
    <row r="143" spans="1:9" s="92" customFormat="1" ht="15" customHeight="1" outlineLevel="1" x14ac:dyDescent="0.2">
      <c r="A143" s="1974"/>
      <c r="B143" s="107"/>
      <c r="C143" s="659" t="s">
        <v>331</v>
      </c>
      <c r="D143" s="211"/>
      <c r="E143" s="211"/>
      <c r="F143" s="370">
        <f t="shared" si="5"/>
        <v>0</v>
      </c>
      <c r="G143" s="917"/>
    </row>
    <row r="144" spans="1:9" s="92" customFormat="1" ht="15" customHeight="1" outlineLevel="1" x14ac:dyDescent="0.2">
      <c r="A144" s="1974"/>
      <c r="B144" s="107"/>
      <c r="C144" s="659" t="s">
        <v>340</v>
      </c>
      <c r="D144" s="211"/>
      <c r="E144" s="211"/>
      <c r="F144" s="370">
        <f t="shared" si="5"/>
        <v>0</v>
      </c>
      <c r="G144" s="917"/>
    </row>
    <row r="145" spans="1:9" s="92" customFormat="1" ht="15" customHeight="1" outlineLevel="1" x14ac:dyDescent="0.2">
      <c r="A145" s="1974"/>
      <c r="B145" s="107"/>
      <c r="C145" s="659" t="s">
        <v>332</v>
      </c>
      <c r="D145" s="211"/>
      <c r="E145" s="211"/>
      <c r="F145" s="370">
        <f t="shared" si="5"/>
        <v>0</v>
      </c>
      <c r="G145" s="917"/>
    </row>
    <row r="146" spans="1:9" s="92" customFormat="1" ht="15" customHeight="1" outlineLevel="1" x14ac:dyDescent="0.2">
      <c r="A146" s="1974"/>
      <c r="B146" s="310"/>
      <c r="C146" s="674" t="s">
        <v>397</v>
      </c>
      <c r="D146" s="312"/>
      <c r="E146" s="312"/>
      <c r="F146" s="580">
        <f t="shared" si="5"/>
        <v>0</v>
      </c>
      <c r="G146" s="917"/>
    </row>
    <row r="147" spans="1:9" s="92" customFormat="1" ht="13.5" outlineLevel="1" thickBot="1" x14ac:dyDescent="0.25">
      <c r="A147" s="1977"/>
      <c r="B147" s="283"/>
      <c r="C147" s="304" t="s">
        <v>333</v>
      </c>
      <c r="D147" s="287"/>
      <c r="E147" s="287"/>
      <c r="F147" s="581">
        <f t="shared" si="5"/>
        <v>0</v>
      </c>
      <c r="G147" s="917"/>
    </row>
    <row r="148" spans="1:9" s="216" customFormat="1" ht="13.5" thickBot="1" x14ac:dyDescent="0.25">
      <c r="A148" s="345" t="s">
        <v>299</v>
      </c>
      <c r="B148" s="346" t="s">
        <v>452</v>
      </c>
      <c r="C148" s="303"/>
      <c r="D148" s="307">
        <v>519200</v>
      </c>
      <c r="E148" s="307">
        <f>SUM(E142:E147)</f>
        <v>2420000</v>
      </c>
      <c r="F148" s="582">
        <f t="shared" si="5"/>
        <v>1900800</v>
      </c>
      <c r="G148" s="915"/>
      <c r="H148" s="595">
        <f>'Sumář  výdaje kapitol'!BF62</f>
        <v>200000</v>
      </c>
      <c r="I148" s="595">
        <f>H148-F148</f>
        <v>-1700800</v>
      </c>
    </row>
    <row r="149" spans="1:9" s="216" customFormat="1" ht="13.5" thickBot="1" x14ac:dyDescent="0.25">
      <c r="A149" s="900"/>
      <c r="B149" s="901"/>
      <c r="C149" s="901"/>
      <c r="D149" s="901"/>
      <c r="E149" s="901"/>
      <c r="F149" s="902"/>
      <c r="G149" s="913"/>
    </row>
    <row r="150" spans="1:9" s="92" customFormat="1" ht="15" customHeight="1" outlineLevel="1" x14ac:dyDescent="0.2">
      <c r="A150" s="1976"/>
      <c r="B150" s="104"/>
      <c r="C150" s="671" t="s">
        <v>334</v>
      </c>
      <c r="D150" s="278"/>
      <c r="E150" s="278"/>
      <c r="F150" s="369">
        <f t="shared" ref="F150:F156" si="6">E150-D150</f>
        <v>0</v>
      </c>
      <c r="G150" s="917"/>
    </row>
    <row r="151" spans="1:9" s="92" customFormat="1" ht="15" customHeight="1" outlineLevel="1" x14ac:dyDescent="0.2">
      <c r="A151" s="1974"/>
      <c r="B151" s="107"/>
      <c r="C151" s="659" t="s">
        <v>331</v>
      </c>
      <c r="D151" s="211"/>
      <c r="E151" s="211"/>
      <c r="F151" s="370">
        <f t="shared" si="6"/>
        <v>0</v>
      </c>
      <c r="G151" s="917"/>
    </row>
    <row r="152" spans="1:9" s="92" customFormat="1" ht="15" customHeight="1" outlineLevel="1" x14ac:dyDescent="0.2">
      <c r="A152" s="1974"/>
      <c r="B152" s="107"/>
      <c r="C152" s="659" t="s">
        <v>340</v>
      </c>
      <c r="D152" s="211"/>
      <c r="E152" s="211"/>
      <c r="F152" s="370">
        <f t="shared" si="6"/>
        <v>0</v>
      </c>
      <c r="G152" s="917"/>
    </row>
    <row r="153" spans="1:9" s="92" customFormat="1" ht="15" customHeight="1" outlineLevel="1" x14ac:dyDescent="0.2">
      <c r="A153" s="1974"/>
      <c r="B153" s="107"/>
      <c r="C153" s="659" t="s">
        <v>332</v>
      </c>
      <c r="D153" s="211"/>
      <c r="E153" s="211"/>
      <c r="F153" s="370">
        <f t="shared" si="6"/>
        <v>0</v>
      </c>
      <c r="G153" s="917"/>
    </row>
    <row r="154" spans="1:9" s="92" customFormat="1" ht="15" customHeight="1" outlineLevel="1" x14ac:dyDescent="0.2">
      <c r="A154" s="1974"/>
      <c r="B154" s="310"/>
      <c r="C154" s="674" t="s">
        <v>397</v>
      </c>
      <c r="D154" s="312"/>
      <c r="E154" s="312"/>
      <c r="F154" s="580">
        <f t="shared" si="6"/>
        <v>0</v>
      </c>
      <c r="G154" s="917"/>
    </row>
    <row r="155" spans="1:9" s="92" customFormat="1" ht="13.5" outlineLevel="1" thickBot="1" x14ac:dyDescent="0.25">
      <c r="A155" s="1977"/>
      <c r="B155" s="283"/>
      <c r="C155" s="304" t="s">
        <v>396</v>
      </c>
      <c r="D155" s="287">
        <v>30000</v>
      </c>
      <c r="E155" s="287">
        <v>30000</v>
      </c>
      <c r="F155" s="581">
        <f t="shared" si="6"/>
        <v>0</v>
      </c>
      <c r="G155" s="917"/>
    </row>
    <row r="156" spans="1:9" s="216" customFormat="1" ht="13.5" thickBot="1" x14ac:dyDescent="0.25">
      <c r="A156" s="345" t="s">
        <v>801</v>
      </c>
      <c r="B156" s="346" t="s">
        <v>842</v>
      </c>
      <c r="C156" s="303"/>
      <c r="D156" s="307">
        <v>30000</v>
      </c>
      <c r="E156" s="307">
        <f>SUM(E150:E155)</f>
        <v>30000</v>
      </c>
      <c r="F156" s="582">
        <f t="shared" si="6"/>
        <v>0</v>
      </c>
      <c r="G156" s="915"/>
      <c r="H156" s="595">
        <f>'Sumář  výdaje kapitol'!BJ62</f>
        <v>30000</v>
      </c>
      <c r="I156" s="595">
        <f>H156-F156</f>
        <v>30000</v>
      </c>
    </row>
    <row r="157" spans="1:9" s="216" customFormat="1" ht="13.5" thickBot="1" x14ac:dyDescent="0.25">
      <c r="A157" s="900"/>
      <c r="B157" s="901"/>
      <c r="C157" s="901"/>
      <c r="D157" s="901"/>
      <c r="E157" s="901"/>
      <c r="F157" s="902"/>
      <c r="G157" s="913"/>
    </row>
    <row r="158" spans="1:9" s="92" customFormat="1" ht="15" customHeight="1" outlineLevel="1" x14ac:dyDescent="0.2">
      <c r="A158" s="1976"/>
      <c r="B158" s="104"/>
      <c r="C158" s="671" t="s">
        <v>403</v>
      </c>
      <c r="D158" s="278">
        <v>0</v>
      </c>
      <c r="E158" s="278" t="e">
        <v>#REF!</v>
      </c>
      <c r="F158" s="369" t="e">
        <f t="shared" ref="F158:F222" si="7">E158-D158</f>
        <v>#REF!</v>
      </c>
      <c r="G158" s="917"/>
    </row>
    <row r="159" spans="1:9" s="92" customFormat="1" ht="15" customHeight="1" outlineLevel="1" x14ac:dyDescent="0.2">
      <c r="A159" s="1974"/>
      <c r="B159" s="107"/>
      <c r="C159" s="462" t="s">
        <v>404</v>
      </c>
      <c r="D159" s="278">
        <v>0</v>
      </c>
      <c r="E159" s="278" t="e">
        <v>#REF!</v>
      </c>
      <c r="F159" s="369" t="e">
        <f t="shared" si="7"/>
        <v>#REF!</v>
      </c>
      <c r="G159" s="917"/>
    </row>
    <row r="160" spans="1:9" s="92" customFormat="1" ht="15" customHeight="1" outlineLevel="1" x14ac:dyDescent="0.2">
      <c r="A160" s="1974"/>
      <c r="B160" s="107"/>
      <c r="C160" s="462" t="s">
        <v>416</v>
      </c>
      <c r="D160" s="278">
        <v>350000</v>
      </c>
      <c r="E160" s="278" t="e">
        <v>#REF!</v>
      </c>
      <c r="F160" s="369" t="e">
        <f t="shared" si="7"/>
        <v>#REF!</v>
      </c>
      <c r="G160" s="917"/>
    </row>
    <row r="161" spans="1:9" s="92" customFormat="1" ht="15" customHeight="1" outlineLevel="1" x14ac:dyDescent="0.2">
      <c r="A161" s="1974"/>
      <c r="B161" s="107"/>
      <c r="C161" s="462" t="s">
        <v>843</v>
      </c>
      <c r="D161" s="278">
        <v>0</v>
      </c>
      <c r="E161" s="278" t="e">
        <v>#REF!</v>
      </c>
      <c r="F161" s="369" t="e">
        <f t="shared" si="7"/>
        <v>#REF!</v>
      </c>
      <c r="G161" s="92" t="s">
        <v>1129</v>
      </c>
    </row>
    <row r="162" spans="1:9" s="92" customFormat="1" ht="15" customHeight="1" outlineLevel="1" x14ac:dyDescent="0.2">
      <c r="A162" s="1974"/>
      <c r="B162" s="107"/>
      <c r="C162" s="462" t="s">
        <v>426</v>
      </c>
      <c r="D162" s="278">
        <v>0</v>
      </c>
      <c r="E162" s="278" t="e">
        <v>#REF!</v>
      </c>
      <c r="F162" s="369" t="e">
        <f t="shared" si="7"/>
        <v>#REF!</v>
      </c>
      <c r="G162" s="92" t="s">
        <v>1129</v>
      </c>
    </row>
    <row r="163" spans="1:9" s="92" customFormat="1" ht="15" customHeight="1" outlineLevel="1" x14ac:dyDescent="0.2">
      <c r="A163" s="1974"/>
      <c r="B163" s="107"/>
      <c r="C163" s="659" t="s">
        <v>451</v>
      </c>
      <c r="D163" s="211">
        <v>145000</v>
      </c>
      <c r="E163" s="211" t="e">
        <v>#REF!</v>
      </c>
      <c r="F163" s="370" t="e">
        <f t="shared" si="7"/>
        <v>#REF!</v>
      </c>
    </row>
    <row r="164" spans="1:9" s="92" customFormat="1" ht="15" customHeight="1" outlineLevel="1" x14ac:dyDescent="0.2">
      <c r="A164" s="1974"/>
      <c r="B164" s="310"/>
      <c r="C164" s="674" t="s">
        <v>1130</v>
      </c>
      <c r="D164" s="312"/>
      <c r="E164" s="312" t="e">
        <v>#REF!</v>
      </c>
      <c r="F164" s="580"/>
      <c r="G164" s="92" t="s">
        <v>1129</v>
      </c>
    </row>
    <row r="165" spans="1:9" s="92" customFormat="1" ht="15" customHeight="1" outlineLevel="1" thickBot="1" x14ac:dyDescent="0.25">
      <c r="A165" s="1977"/>
      <c r="B165" s="283"/>
      <c r="C165" s="304" t="s">
        <v>844</v>
      </c>
      <c r="D165" s="287">
        <v>16000</v>
      </c>
      <c r="E165" s="287" t="e">
        <v>#REF!</v>
      </c>
      <c r="F165" s="581" t="e">
        <f t="shared" si="7"/>
        <v>#REF!</v>
      </c>
      <c r="G165" s="917"/>
    </row>
    <row r="166" spans="1:9" s="216" customFormat="1" ht="13.5" thickBot="1" x14ac:dyDescent="0.25">
      <c r="A166" s="345">
        <v>3631</v>
      </c>
      <c r="B166" s="346" t="s">
        <v>232</v>
      </c>
      <c r="C166" s="303"/>
      <c r="D166" s="307">
        <v>511000</v>
      </c>
      <c r="E166" s="307" t="e">
        <f>SUM(E158:E165)</f>
        <v>#REF!</v>
      </c>
      <c r="F166" s="582" t="e">
        <f t="shared" si="7"/>
        <v>#REF!</v>
      </c>
      <c r="G166" s="915"/>
      <c r="H166" s="595">
        <f>'Sumář  výdaje kapitol'!BN62</f>
        <v>2792000</v>
      </c>
      <c r="I166" s="595" t="e">
        <f>H166-F166</f>
        <v>#REF!</v>
      </c>
    </row>
    <row r="167" spans="1:9" s="92" customFormat="1" ht="15" customHeight="1" outlineLevel="1" x14ac:dyDescent="0.2">
      <c r="A167" s="1981">
        <v>2212</v>
      </c>
      <c r="B167" s="672"/>
      <c r="C167" s="671" t="s">
        <v>334</v>
      </c>
      <c r="D167" s="278">
        <v>0</v>
      </c>
      <c r="E167" s="278">
        <v>0</v>
      </c>
      <c r="F167" s="369">
        <f t="shared" si="7"/>
        <v>0</v>
      </c>
      <c r="G167" s="917"/>
    </row>
    <row r="168" spans="1:9" s="92" customFormat="1" ht="15" customHeight="1" outlineLevel="1" x14ac:dyDescent="0.2">
      <c r="A168" s="1982"/>
      <c r="B168" s="464"/>
      <c r="C168" s="659" t="s">
        <v>331</v>
      </c>
      <c r="D168" s="211">
        <v>0</v>
      </c>
      <c r="E168" s="211">
        <v>0</v>
      </c>
      <c r="F168" s="370">
        <f t="shared" si="7"/>
        <v>0</v>
      </c>
      <c r="G168" s="917"/>
    </row>
    <row r="169" spans="1:9" s="92" customFormat="1" ht="15" customHeight="1" outlineLevel="1" x14ac:dyDescent="0.2">
      <c r="A169" s="1982"/>
      <c r="B169" s="464"/>
      <c r="C169" s="659" t="s">
        <v>332</v>
      </c>
      <c r="D169" s="211">
        <v>0</v>
      </c>
      <c r="E169" s="211">
        <v>0</v>
      </c>
      <c r="F169" s="370">
        <f t="shared" si="7"/>
        <v>0</v>
      </c>
      <c r="G169" s="917"/>
    </row>
    <row r="170" spans="1:9" s="92" customFormat="1" ht="15" customHeight="1" outlineLevel="1" x14ac:dyDescent="0.2">
      <c r="A170" s="1982"/>
      <c r="B170" s="464"/>
      <c r="C170" s="659" t="s">
        <v>397</v>
      </c>
      <c r="D170" s="211">
        <v>0</v>
      </c>
      <c r="E170" s="211">
        <v>0</v>
      </c>
      <c r="F170" s="370">
        <f t="shared" si="7"/>
        <v>0</v>
      </c>
      <c r="G170" s="917"/>
    </row>
    <row r="171" spans="1:9" s="92" customFormat="1" ht="15" customHeight="1" outlineLevel="1" x14ac:dyDescent="0.2">
      <c r="A171" s="1982"/>
      <c r="B171" s="464"/>
      <c r="C171" s="659" t="s">
        <v>423</v>
      </c>
      <c r="D171" s="211">
        <v>0</v>
      </c>
      <c r="E171" s="211">
        <v>0</v>
      </c>
      <c r="F171" s="370">
        <f t="shared" si="7"/>
        <v>0</v>
      </c>
      <c r="G171" s="917"/>
    </row>
    <row r="172" spans="1:9" s="92" customFormat="1" ht="15" customHeight="1" outlineLevel="1" x14ac:dyDescent="0.2">
      <c r="A172" s="1982"/>
      <c r="B172" s="464"/>
      <c r="C172" s="659" t="s">
        <v>333</v>
      </c>
      <c r="D172" s="211">
        <v>0</v>
      </c>
      <c r="E172" s="211">
        <v>0</v>
      </c>
      <c r="F172" s="370">
        <f t="shared" si="7"/>
        <v>0</v>
      </c>
      <c r="G172" s="917"/>
    </row>
    <row r="173" spans="1:9" s="92" customFormat="1" ht="15" customHeight="1" thickBot="1" x14ac:dyDescent="0.3">
      <c r="A173" s="1982"/>
      <c r="B173" s="663" t="s">
        <v>233</v>
      </c>
      <c r="C173" s="675" t="s">
        <v>967</v>
      </c>
      <c r="D173" s="307">
        <v>0</v>
      </c>
      <c r="E173" s="307">
        <f>SUM(E167:E172)</f>
        <v>0</v>
      </c>
      <c r="F173" s="582">
        <f t="shared" si="7"/>
        <v>0</v>
      </c>
      <c r="G173" s="915"/>
      <c r="H173" s="276">
        <f>+E173+E180+E186+E192+E196+D203+E208+E214+E219+E224+E229+E234+E239+E244+E249+E254+E259++E264+E269+E274+E279+E284</f>
        <v>45276089</v>
      </c>
      <c r="I173" s="276">
        <f>H173-'Sumář  výdaje kapitol'!BQ62</f>
        <v>2449191.0399999991</v>
      </c>
    </row>
    <row r="174" spans="1:9" s="92" customFormat="1" ht="15" customHeight="1" outlineLevel="1" x14ac:dyDescent="0.2">
      <c r="A174" s="1982"/>
      <c r="B174" s="672"/>
      <c r="C174" s="671" t="s">
        <v>334</v>
      </c>
      <c r="D174" s="278">
        <v>0</v>
      </c>
      <c r="E174" s="278">
        <v>0</v>
      </c>
      <c r="F174" s="369">
        <f t="shared" si="7"/>
        <v>0</v>
      </c>
      <c r="G174" s="917"/>
    </row>
    <row r="175" spans="1:9" s="92" customFormat="1" ht="15" customHeight="1" outlineLevel="1" x14ac:dyDescent="0.2">
      <c r="A175" s="1982"/>
      <c r="B175" s="464"/>
      <c r="C175" s="659" t="s">
        <v>331</v>
      </c>
      <c r="D175" s="211">
        <v>0</v>
      </c>
      <c r="E175" s="211">
        <v>0</v>
      </c>
      <c r="F175" s="370">
        <f t="shared" si="7"/>
        <v>0</v>
      </c>
      <c r="G175" s="917"/>
    </row>
    <row r="176" spans="1:9" s="92" customFormat="1" ht="15" customHeight="1" outlineLevel="1" x14ac:dyDescent="0.2">
      <c r="A176" s="1982"/>
      <c r="B176" s="464"/>
      <c r="C176" s="659" t="s">
        <v>332</v>
      </c>
      <c r="D176" s="211">
        <v>0</v>
      </c>
      <c r="E176" s="211">
        <v>0</v>
      </c>
      <c r="F176" s="370">
        <f t="shared" si="7"/>
        <v>0</v>
      </c>
      <c r="G176" s="917"/>
    </row>
    <row r="177" spans="1:7" s="92" customFormat="1" ht="15" customHeight="1" outlineLevel="1" x14ac:dyDescent="0.2">
      <c r="A177" s="1982"/>
      <c r="B177" s="464"/>
      <c r="C177" s="659" t="s">
        <v>397</v>
      </c>
      <c r="D177" s="211">
        <v>0</v>
      </c>
      <c r="E177" s="211">
        <v>0</v>
      </c>
      <c r="F177" s="370">
        <f t="shared" si="7"/>
        <v>0</v>
      </c>
      <c r="G177" s="917"/>
    </row>
    <row r="178" spans="1:7" s="92" customFormat="1" ht="15" customHeight="1" outlineLevel="1" x14ac:dyDescent="0.2">
      <c r="A178" s="1982"/>
      <c r="B178" s="464"/>
      <c r="C178" s="659" t="s">
        <v>423</v>
      </c>
      <c r="D178" s="211">
        <v>0</v>
      </c>
      <c r="E178" s="211">
        <v>0</v>
      </c>
      <c r="F178" s="370">
        <f t="shared" si="7"/>
        <v>0</v>
      </c>
      <c r="G178" s="917"/>
    </row>
    <row r="179" spans="1:7" s="92" customFormat="1" ht="15" customHeight="1" outlineLevel="1" x14ac:dyDescent="0.2">
      <c r="A179" s="1982"/>
      <c r="B179" s="464"/>
      <c r="C179" s="659" t="s">
        <v>333</v>
      </c>
      <c r="D179" s="211">
        <v>0</v>
      </c>
      <c r="E179" s="211">
        <v>0</v>
      </c>
      <c r="F179" s="370">
        <f t="shared" si="7"/>
        <v>0</v>
      </c>
      <c r="G179" s="917"/>
    </row>
    <row r="180" spans="1:7" s="92" customFormat="1" ht="15" customHeight="1" thickBot="1" x14ac:dyDescent="0.3">
      <c r="A180" s="1982"/>
      <c r="B180" s="663" t="s">
        <v>233</v>
      </c>
      <c r="C180" s="675" t="s">
        <v>968</v>
      </c>
      <c r="D180" s="307">
        <v>0</v>
      </c>
      <c r="E180" s="307">
        <f>SUM(E174:E179)</f>
        <v>0</v>
      </c>
      <c r="F180" s="582">
        <f t="shared" si="7"/>
        <v>0</v>
      </c>
      <c r="G180" s="915"/>
    </row>
    <row r="181" spans="1:7" s="92" customFormat="1" ht="15" customHeight="1" outlineLevel="1" x14ac:dyDescent="0.2">
      <c r="A181" s="1982"/>
      <c r="B181" s="672"/>
      <c r="C181" s="671" t="s">
        <v>334</v>
      </c>
      <c r="D181" s="278">
        <v>0</v>
      </c>
      <c r="E181" s="278">
        <v>3825915</v>
      </c>
      <c r="F181" s="369">
        <f t="shared" si="7"/>
        <v>3825915</v>
      </c>
      <c r="G181" s="917"/>
    </row>
    <row r="182" spans="1:7" s="92" customFormat="1" ht="15" customHeight="1" outlineLevel="1" x14ac:dyDescent="0.2">
      <c r="A182" s="1982"/>
      <c r="B182" s="464"/>
      <c r="C182" s="659" t="s">
        <v>331</v>
      </c>
      <c r="D182" s="211">
        <v>0</v>
      </c>
      <c r="E182" s="211">
        <v>100000</v>
      </c>
      <c r="F182" s="370">
        <f t="shared" si="7"/>
        <v>100000</v>
      </c>
      <c r="G182" s="917"/>
    </row>
    <row r="183" spans="1:7" s="92" customFormat="1" ht="15" customHeight="1" outlineLevel="1" x14ac:dyDescent="0.2">
      <c r="A183" s="1982"/>
      <c r="B183" s="464"/>
      <c r="C183" s="659" t="s">
        <v>397</v>
      </c>
      <c r="D183" s="211">
        <v>0</v>
      </c>
      <c r="E183" s="211">
        <v>50000</v>
      </c>
      <c r="F183" s="370">
        <f t="shared" si="7"/>
        <v>50000</v>
      </c>
      <c r="G183" s="917"/>
    </row>
    <row r="184" spans="1:7" s="92" customFormat="1" ht="15" customHeight="1" outlineLevel="1" x14ac:dyDescent="0.2">
      <c r="A184" s="1982"/>
      <c r="B184" s="464"/>
      <c r="C184" s="659" t="s">
        <v>409</v>
      </c>
      <c r="D184" s="211">
        <v>0</v>
      </c>
      <c r="E184" s="211">
        <v>50000</v>
      </c>
      <c r="F184" s="370">
        <f t="shared" si="7"/>
        <v>50000</v>
      </c>
      <c r="G184" s="917"/>
    </row>
    <row r="185" spans="1:7" s="92" customFormat="1" ht="15" customHeight="1" outlineLevel="1" x14ac:dyDescent="0.2">
      <c r="A185" s="1982"/>
      <c r="B185" s="464"/>
      <c r="C185" s="659" t="s">
        <v>332</v>
      </c>
      <c r="D185" s="211">
        <v>0</v>
      </c>
      <c r="E185" s="211">
        <v>50000</v>
      </c>
      <c r="F185" s="370">
        <f t="shared" si="7"/>
        <v>50000</v>
      </c>
      <c r="G185" s="917"/>
    </row>
    <row r="186" spans="1:7" s="92" customFormat="1" ht="15" customHeight="1" thickBot="1" x14ac:dyDescent="0.3">
      <c r="A186" s="1982"/>
      <c r="B186" s="663" t="s">
        <v>233</v>
      </c>
      <c r="C186" s="675" t="s">
        <v>845</v>
      </c>
      <c r="D186" s="307">
        <v>0</v>
      </c>
      <c r="E186" s="307">
        <f>SUM(E181:E185)</f>
        <v>4075915</v>
      </c>
      <c r="F186" s="582">
        <f t="shared" si="7"/>
        <v>4075915</v>
      </c>
      <c r="G186" s="915"/>
    </row>
    <row r="187" spans="1:7" s="92" customFormat="1" ht="15" customHeight="1" outlineLevel="1" x14ac:dyDescent="0.2">
      <c r="A187" s="1982"/>
      <c r="B187" s="676"/>
      <c r="C187" s="462" t="s">
        <v>334</v>
      </c>
      <c r="D187" s="278">
        <v>0</v>
      </c>
      <c r="E187" s="278">
        <v>3500000</v>
      </c>
      <c r="F187" s="369">
        <f t="shared" si="7"/>
        <v>3500000</v>
      </c>
      <c r="G187" s="917"/>
    </row>
    <row r="188" spans="1:7" s="92" customFormat="1" ht="15" customHeight="1" outlineLevel="1" x14ac:dyDescent="0.2">
      <c r="A188" s="1982"/>
      <c r="B188" s="464"/>
      <c r="C188" s="659" t="s">
        <v>847</v>
      </c>
      <c r="D188" s="211">
        <v>1500000</v>
      </c>
      <c r="E188" s="211">
        <v>1972918</v>
      </c>
      <c r="F188" s="370">
        <f t="shared" si="7"/>
        <v>472918</v>
      </c>
      <c r="G188" s="917"/>
    </row>
    <row r="189" spans="1:7" s="92" customFormat="1" ht="15" customHeight="1" outlineLevel="1" x14ac:dyDescent="0.2">
      <c r="A189" s="1982"/>
      <c r="B189" s="464"/>
      <c r="C189" s="659" t="s">
        <v>331</v>
      </c>
      <c r="D189" s="211">
        <v>0</v>
      </c>
      <c r="E189" s="211">
        <v>49972</v>
      </c>
      <c r="F189" s="370">
        <f t="shared" si="7"/>
        <v>49972</v>
      </c>
      <c r="G189" s="917"/>
    </row>
    <row r="190" spans="1:7" s="92" customFormat="1" ht="15" customHeight="1" outlineLevel="1" x14ac:dyDescent="0.2">
      <c r="A190" s="1982"/>
      <c r="B190" s="464"/>
      <c r="C190" s="659" t="s">
        <v>332</v>
      </c>
      <c r="D190" s="211">
        <v>70000</v>
      </c>
      <c r="E190" s="211">
        <v>220000</v>
      </c>
      <c r="F190" s="370">
        <f t="shared" si="7"/>
        <v>150000</v>
      </c>
      <c r="G190" s="917"/>
    </row>
    <row r="191" spans="1:7" s="92" customFormat="1" ht="15" customHeight="1" outlineLevel="1" x14ac:dyDescent="0.2">
      <c r="A191" s="1982"/>
      <c r="B191" s="464"/>
      <c r="C191" s="659" t="s">
        <v>333</v>
      </c>
      <c r="D191" s="211">
        <v>65110</v>
      </c>
      <c r="E191" s="211">
        <v>80000</v>
      </c>
      <c r="F191" s="370">
        <f t="shared" si="7"/>
        <v>14890</v>
      </c>
      <c r="G191" s="917"/>
    </row>
    <row r="192" spans="1:7" s="92" customFormat="1" ht="15" customHeight="1" thickBot="1" x14ac:dyDescent="0.3">
      <c r="A192" s="1982"/>
      <c r="B192" s="663" t="s">
        <v>233</v>
      </c>
      <c r="C192" s="662" t="s">
        <v>846</v>
      </c>
      <c r="D192" s="292">
        <v>1635110</v>
      </c>
      <c r="E192" s="292">
        <f>SUM(E187:E191)</f>
        <v>5822890</v>
      </c>
      <c r="F192" s="583">
        <f t="shared" si="7"/>
        <v>4187780</v>
      </c>
      <c r="G192" s="915"/>
    </row>
    <row r="193" spans="1:7" s="92" customFormat="1" ht="15" customHeight="1" outlineLevel="1" x14ac:dyDescent="0.2">
      <c r="A193" s="1982"/>
      <c r="B193" s="464"/>
      <c r="C193" s="462" t="s">
        <v>334</v>
      </c>
      <c r="D193" s="278">
        <v>1500000</v>
      </c>
      <c r="E193" s="278">
        <v>1500000</v>
      </c>
      <c r="F193" s="369">
        <f t="shared" si="7"/>
        <v>0</v>
      </c>
      <c r="G193" s="917"/>
    </row>
    <row r="194" spans="1:7" s="92" customFormat="1" ht="15" customHeight="1" outlineLevel="1" x14ac:dyDescent="0.2">
      <c r="A194" s="1982"/>
      <c r="B194" s="464"/>
      <c r="C194" s="659" t="s">
        <v>397</v>
      </c>
      <c r="D194" s="211">
        <v>100000</v>
      </c>
      <c r="E194" s="211">
        <v>100000</v>
      </c>
      <c r="F194" s="370">
        <f t="shared" si="7"/>
        <v>0</v>
      </c>
      <c r="G194" s="917"/>
    </row>
    <row r="195" spans="1:7" s="92" customFormat="1" ht="15" customHeight="1" outlineLevel="1" x14ac:dyDescent="0.2">
      <c r="A195" s="1982"/>
      <c r="B195" s="464"/>
      <c r="C195" s="659" t="s">
        <v>332</v>
      </c>
      <c r="D195" s="211">
        <v>100000</v>
      </c>
      <c r="E195" s="211">
        <v>100000</v>
      </c>
      <c r="F195" s="370">
        <f t="shared" si="7"/>
        <v>0</v>
      </c>
      <c r="G195" s="917"/>
    </row>
    <row r="196" spans="1:7" s="92" customFormat="1" ht="15" customHeight="1" thickBot="1" x14ac:dyDescent="0.3">
      <c r="A196" s="1982"/>
      <c r="B196" s="663" t="s">
        <v>233</v>
      </c>
      <c r="C196" s="662" t="s">
        <v>848</v>
      </c>
      <c r="D196" s="292">
        <v>1700000</v>
      </c>
      <c r="E196" s="292">
        <f>SUM(E193:E195)</f>
        <v>1700000</v>
      </c>
      <c r="F196" s="583">
        <f t="shared" si="7"/>
        <v>0</v>
      </c>
      <c r="G196" s="915"/>
    </row>
    <row r="197" spans="1:7" s="92" customFormat="1" ht="15" customHeight="1" outlineLevel="1" x14ac:dyDescent="0.2">
      <c r="A197" s="1982"/>
      <c r="B197" s="464"/>
      <c r="C197" s="462" t="s">
        <v>334</v>
      </c>
      <c r="D197" s="278">
        <v>0</v>
      </c>
      <c r="E197" s="278">
        <v>0</v>
      </c>
      <c r="F197" s="369">
        <f t="shared" si="7"/>
        <v>0</v>
      </c>
      <c r="G197" s="917"/>
    </row>
    <row r="198" spans="1:7" s="92" customFormat="1" ht="15" customHeight="1" outlineLevel="1" x14ac:dyDescent="0.2">
      <c r="A198" s="1982"/>
      <c r="B198" s="464"/>
      <c r="C198" s="659" t="s">
        <v>331</v>
      </c>
      <c r="D198" s="211">
        <v>0</v>
      </c>
      <c r="E198" s="211">
        <v>0</v>
      </c>
      <c r="F198" s="370">
        <f t="shared" si="7"/>
        <v>0</v>
      </c>
      <c r="G198" s="917"/>
    </row>
    <row r="199" spans="1:7" s="92" customFormat="1" ht="15" customHeight="1" outlineLevel="1" x14ac:dyDescent="0.2">
      <c r="A199" s="1982"/>
      <c r="B199" s="464"/>
      <c r="C199" s="659" t="s">
        <v>332</v>
      </c>
      <c r="D199" s="211">
        <v>0</v>
      </c>
      <c r="E199" s="211">
        <v>0</v>
      </c>
      <c r="F199" s="370">
        <f t="shared" si="7"/>
        <v>0</v>
      </c>
      <c r="G199" s="917"/>
    </row>
    <row r="200" spans="1:7" s="92" customFormat="1" ht="15" customHeight="1" outlineLevel="1" x14ac:dyDescent="0.2">
      <c r="A200" s="1982"/>
      <c r="B200" s="464"/>
      <c r="C200" s="659" t="s">
        <v>397</v>
      </c>
      <c r="D200" s="211">
        <v>0</v>
      </c>
      <c r="E200" s="211">
        <v>0</v>
      </c>
      <c r="F200" s="370">
        <f t="shared" si="7"/>
        <v>0</v>
      </c>
      <c r="G200" s="917"/>
    </row>
    <row r="201" spans="1:7" s="92" customFormat="1" ht="15" customHeight="1" outlineLevel="1" x14ac:dyDescent="0.2">
      <c r="A201" s="1982"/>
      <c r="B201" s="464"/>
      <c r="C201" s="659" t="s">
        <v>333</v>
      </c>
      <c r="D201" s="211">
        <v>0</v>
      </c>
      <c r="E201" s="211">
        <v>0</v>
      </c>
      <c r="F201" s="370">
        <f t="shared" si="7"/>
        <v>0</v>
      </c>
      <c r="G201" s="917"/>
    </row>
    <row r="202" spans="1:7" s="92" customFormat="1" ht="15" customHeight="1" outlineLevel="1" x14ac:dyDescent="0.2">
      <c r="A202" s="1982"/>
      <c r="B202" s="464"/>
      <c r="C202" s="659" t="s">
        <v>423</v>
      </c>
      <c r="D202" s="211">
        <v>0</v>
      </c>
      <c r="E202" s="211">
        <v>0</v>
      </c>
      <c r="F202" s="370">
        <f t="shared" si="7"/>
        <v>0</v>
      </c>
      <c r="G202" s="917"/>
    </row>
    <row r="203" spans="1:7" s="92" customFormat="1" ht="15" customHeight="1" thickBot="1" x14ac:dyDescent="0.3">
      <c r="A203" s="1982"/>
      <c r="B203" s="663" t="s">
        <v>233</v>
      </c>
      <c r="C203" s="662" t="s">
        <v>400</v>
      </c>
      <c r="D203" s="292">
        <v>0</v>
      </c>
      <c r="E203" s="292">
        <f>SUM(E197:E202)</f>
        <v>0</v>
      </c>
      <c r="F203" s="583">
        <f t="shared" si="7"/>
        <v>0</v>
      </c>
      <c r="G203" s="915"/>
    </row>
    <row r="204" spans="1:7" s="92" customFormat="1" ht="15" customHeight="1" outlineLevel="1" x14ac:dyDescent="0.2">
      <c r="A204" s="1982"/>
      <c r="B204" s="464"/>
      <c r="C204" s="462" t="s">
        <v>334</v>
      </c>
      <c r="D204" s="278">
        <v>0</v>
      </c>
      <c r="E204" s="278">
        <v>0</v>
      </c>
      <c r="F204" s="369">
        <f t="shared" si="7"/>
        <v>0</v>
      </c>
      <c r="G204" s="917"/>
    </row>
    <row r="205" spans="1:7" s="92" customFormat="1" ht="15" customHeight="1" outlineLevel="1" x14ac:dyDescent="0.2">
      <c r="A205" s="1982"/>
      <c r="B205" s="464"/>
      <c r="C205" s="659" t="s">
        <v>331</v>
      </c>
      <c r="D205" s="211">
        <v>0</v>
      </c>
      <c r="E205" s="211">
        <v>0</v>
      </c>
      <c r="F205" s="370">
        <f t="shared" si="7"/>
        <v>0</v>
      </c>
      <c r="G205" s="917"/>
    </row>
    <row r="206" spans="1:7" s="92" customFormat="1" ht="15" customHeight="1" outlineLevel="1" x14ac:dyDescent="0.2">
      <c r="A206" s="1982"/>
      <c r="B206" s="464"/>
      <c r="C206" s="659" t="s">
        <v>397</v>
      </c>
      <c r="D206" s="211">
        <v>0</v>
      </c>
      <c r="E206" s="211">
        <v>0</v>
      </c>
      <c r="F206" s="370">
        <f t="shared" si="7"/>
        <v>0</v>
      </c>
      <c r="G206" s="917"/>
    </row>
    <row r="207" spans="1:7" s="92" customFormat="1" ht="15" customHeight="1" outlineLevel="1" x14ac:dyDescent="0.2">
      <c r="A207" s="1982"/>
      <c r="B207" s="464"/>
      <c r="C207" s="659" t="s">
        <v>332</v>
      </c>
      <c r="D207" s="211">
        <v>0</v>
      </c>
      <c r="E207" s="211">
        <v>0</v>
      </c>
      <c r="F207" s="370">
        <f t="shared" si="7"/>
        <v>0</v>
      </c>
      <c r="G207" s="917"/>
    </row>
    <row r="208" spans="1:7" s="92" customFormat="1" ht="15" customHeight="1" thickBot="1" x14ac:dyDescent="0.3">
      <c r="A208" s="1982"/>
      <c r="B208" s="663" t="s">
        <v>233</v>
      </c>
      <c r="C208" s="662" t="s">
        <v>438</v>
      </c>
      <c r="D208" s="292">
        <v>0</v>
      </c>
      <c r="E208" s="292">
        <f>SUM(E204:E207)</f>
        <v>0</v>
      </c>
      <c r="F208" s="583">
        <f t="shared" si="7"/>
        <v>0</v>
      </c>
      <c r="G208" s="915"/>
    </row>
    <row r="209" spans="1:7" s="92" customFormat="1" ht="15" customHeight="1" outlineLevel="1" x14ac:dyDescent="0.2">
      <c r="A209" s="1982"/>
      <c r="B209" s="464"/>
      <c r="C209" s="462" t="s">
        <v>334</v>
      </c>
      <c r="D209" s="278">
        <v>0</v>
      </c>
      <c r="E209" s="278">
        <v>0</v>
      </c>
      <c r="F209" s="369">
        <f t="shared" si="7"/>
        <v>0</v>
      </c>
      <c r="G209" s="917"/>
    </row>
    <row r="210" spans="1:7" s="92" customFormat="1" ht="15" customHeight="1" outlineLevel="1" x14ac:dyDescent="0.2">
      <c r="A210" s="1982"/>
      <c r="B210" s="464"/>
      <c r="C210" s="659" t="s">
        <v>335</v>
      </c>
      <c r="D210" s="211"/>
      <c r="E210" s="211"/>
      <c r="F210" s="370">
        <f t="shared" si="7"/>
        <v>0</v>
      </c>
      <c r="G210" s="917"/>
    </row>
    <row r="211" spans="1:7" s="92" customFormat="1" ht="15" customHeight="1" outlineLevel="1" x14ac:dyDescent="0.2">
      <c r="A211" s="1982"/>
      <c r="B211" s="464"/>
      <c r="C211" s="659" t="s">
        <v>331</v>
      </c>
      <c r="D211" s="211"/>
      <c r="E211" s="211"/>
      <c r="F211" s="370">
        <f t="shared" si="7"/>
        <v>0</v>
      </c>
      <c r="G211" s="917"/>
    </row>
    <row r="212" spans="1:7" s="92" customFormat="1" ht="15" customHeight="1" outlineLevel="1" x14ac:dyDescent="0.2">
      <c r="A212" s="1982"/>
      <c r="B212" s="464"/>
      <c r="C212" s="659" t="s">
        <v>336</v>
      </c>
      <c r="D212" s="211"/>
      <c r="E212" s="211"/>
      <c r="F212" s="370">
        <f t="shared" si="7"/>
        <v>0</v>
      </c>
      <c r="G212" s="917"/>
    </row>
    <row r="213" spans="1:7" s="92" customFormat="1" ht="15" customHeight="1" outlineLevel="1" x14ac:dyDescent="0.2">
      <c r="A213" s="1982"/>
      <c r="B213" s="464"/>
      <c r="C213" s="674" t="s">
        <v>642</v>
      </c>
      <c r="D213" s="312"/>
      <c r="E213" s="312"/>
      <c r="F213" s="580">
        <f t="shared" si="7"/>
        <v>0</v>
      </c>
      <c r="G213" s="917"/>
    </row>
    <row r="214" spans="1:7" s="92" customFormat="1" ht="15" customHeight="1" thickBot="1" x14ac:dyDescent="0.3">
      <c r="A214" s="1982"/>
      <c r="B214" s="663" t="s">
        <v>233</v>
      </c>
      <c r="C214" s="662" t="s">
        <v>439</v>
      </c>
      <c r="D214" s="292">
        <v>0</v>
      </c>
      <c r="E214" s="292">
        <f>SUM(E209:E213)</f>
        <v>0</v>
      </c>
      <c r="F214" s="583">
        <f t="shared" si="7"/>
        <v>0</v>
      </c>
      <c r="G214" s="915"/>
    </row>
    <row r="215" spans="1:7" s="92" customFormat="1" ht="15" customHeight="1" outlineLevel="1" x14ac:dyDescent="0.2">
      <c r="A215" s="1982"/>
      <c r="B215" s="464"/>
      <c r="C215" s="462" t="s">
        <v>334</v>
      </c>
      <c r="D215" s="278">
        <v>0</v>
      </c>
      <c r="E215" s="278">
        <v>0</v>
      </c>
      <c r="F215" s="369">
        <f t="shared" si="7"/>
        <v>0</v>
      </c>
      <c r="G215" s="917"/>
    </row>
    <row r="216" spans="1:7" s="92" customFormat="1" ht="15" customHeight="1" outlineLevel="1" x14ac:dyDescent="0.2">
      <c r="A216" s="1982"/>
      <c r="B216" s="464"/>
      <c r="C216" s="462" t="s">
        <v>331</v>
      </c>
      <c r="D216" s="278">
        <v>0</v>
      </c>
      <c r="E216" s="278">
        <v>0</v>
      </c>
      <c r="F216" s="369">
        <f t="shared" si="7"/>
        <v>0</v>
      </c>
      <c r="G216" s="917"/>
    </row>
    <row r="217" spans="1:7" s="92" customFormat="1" ht="15" customHeight="1" outlineLevel="1" x14ac:dyDescent="0.2">
      <c r="A217" s="1982"/>
      <c r="B217" s="464"/>
      <c r="C217" s="462" t="s">
        <v>332</v>
      </c>
      <c r="D217" s="278">
        <v>0</v>
      </c>
      <c r="E217" s="278">
        <v>0</v>
      </c>
      <c r="F217" s="369">
        <f t="shared" si="7"/>
        <v>0</v>
      </c>
      <c r="G217" s="917"/>
    </row>
    <row r="218" spans="1:7" s="92" customFormat="1" ht="15" customHeight="1" outlineLevel="1" x14ac:dyDescent="0.2">
      <c r="A218" s="1982"/>
      <c r="B218" s="464"/>
      <c r="C218" s="462" t="s">
        <v>397</v>
      </c>
      <c r="D218" s="278">
        <v>0</v>
      </c>
      <c r="E218" s="278">
        <v>0</v>
      </c>
      <c r="F218" s="369">
        <f t="shared" si="7"/>
        <v>0</v>
      </c>
      <c r="G218" s="917"/>
    </row>
    <row r="219" spans="1:7" s="92" customFormat="1" ht="15" customHeight="1" thickBot="1" x14ac:dyDescent="0.3">
      <c r="A219" s="1982"/>
      <c r="B219" s="663" t="s">
        <v>233</v>
      </c>
      <c r="C219" s="662" t="s">
        <v>440</v>
      </c>
      <c r="D219" s="292">
        <v>0</v>
      </c>
      <c r="E219" s="292">
        <f>SUM(E215:E218)</f>
        <v>0</v>
      </c>
      <c r="F219" s="583">
        <f t="shared" si="7"/>
        <v>0</v>
      </c>
      <c r="G219" s="915"/>
    </row>
    <row r="220" spans="1:7" s="92" customFormat="1" ht="15" customHeight="1" outlineLevel="1" x14ac:dyDescent="0.2">
      <c r="A220" s="1982"/>
      <c r="B220" s="464"/>
      <c r="C220" s="462" t="s">
        <v>334</v>
      </c>
      <c r="D220" s="369">
        <v>0</v>
      </c>
      <c r="E220" s="369">
        <v>0</v>
      </c>
      <c r="F220" s="369">
        <f t="shared" si="7"/>
        <v>0</v>
      </c>
      <c r="G220" s="917"/>
    </row>
    <row r="221" spans="1:7" s="92" customFormat="1" ht="15" customHeight="1" outlineLevel="1" x14ac:dyDescent="0.2">
      <c r="A221" s="1982"/>
      <c r="B221" s="464"/>
      <c r="C221" s="659" t="s">
        <v>331</v>
      </c>
      <c r="D221" s="370">
        <v>0</v>
      </c>
      <c r="E221" s="370">
        <v>0</v>
      </c>
      <c r="F221" s="370">
        <f t="shared" si="7"/>
        <v>0</v>
      </c>
      <c r="G221" s="917"/>
    </row>
    <row r="222" spans="1:7" s="92" customFormat="1" ht="15" customHeight="1" outlineLevel="1" x14ac:dyDescent="0.2">
      <c r="A222" s="1982"/>
      <c r="B222" s="464"/>
      <c r="C222" s="659" t="s">
        <v>332</v>
      </c>
      <c r="D222" s="370">
        <v>0</v>
      </c>
      <c r="E222" s="370">
        <v>0</v>
      </c>
      <c r="F222" s="370">
        <f t="shared" si="7"/>
        <v>0</v>
      </c>
      <c r="G222" s="917"/>
    </row>
    <row r="223" spans="1:7" s="92" customFormat="1" ht="15" customHeight="1" outlineLevel="1" x14ac:dyDescent="0.2">
      <c r="A223" s="1982"/>
      <c r="B223" s="464"/>
      <c r="C223" s="659" t="s">
        <v>397</v>
      </c>
      <c r="D223" s="370">
        <v>0</v>
      </c>
      <c r="E223" s="370">
        <v>0</v>
      </c>
      <c r="F223" s="370">
        <f t="shared" ref="F223:F284" si="8">E223-D223</f>
        <v>0</v>
      </c>
      <c r="G223" s="917"/>
    </row>
    <row r="224" spans="1:7" s="92" customFormat="1" ht="15" customHeight="1" thickBot="1" x14ac:dyDescent="0.3">
      <c r="A224" s="1982"/>
      <c r="B224" s="663" t="s">
        <v>233</v>
      </c>
      <c r="C224" s="662" t="s">
        <v>441</v>
      </c>
      <c r="D224" s="292">
        <v>0</v>
      </c>
      <c r="E224" s="292">
        <f>SUM(E220:E223)</f>
        <v>0</v>
      </c>
      <c r="F224" s="583">
        <f t="shared" si="8"/>
        <v>0</v>
      </c>
      <c r="G224" s="915"/>
    </row>
    <row r="225" spans="1:7" s="92" customFormat="1" ht="15" customHeight="1" outlineLevel="1" x14ac:dyDescent="0.2">
      <c r="A225" s="1982"/>
      <c r="B225" s="464"/>
      <c r="C225" s="462" t="s">
        <v>334</v>
      </c>
      <c r="D225" s="278"/>
      <c r="E225" s="278">
        <v>500000</v>
      </c>
      <c r="F225" s="369">
        <f t="shared" si="8"/>
        <v>500000</v>
      </c>
      <c r="G225" s="917"/>
    </row>
    <row r="226" spans="1:7" s="92" customFormat="1" ht="15" customHeight="1" outlineLevel="1" x14ac:dyDescent="0.2">
      <c r="A226" s="1982"/>
      <c r="B226" s="464"/>
      <c r="C226" s="659" t="s">
        <v>331</v>
      </c>
      <c r="D226" s="211"/>
      <c r="E226" s="211">
        <v>10000</v>
      </c>
      <c r="F226" s="370">
        <f t="shared" si="8"/>
        <v>10000</v>
      </c>
      <c r="G226" s="917"/>
    </row>
    <row r="227" spans="1:7" s="92" customFormat="1" ht="15" customHeight="1" outlineLevel="1" x14ac:dyDescent="0.2">
      <c r="A227" s="1982"/>
      <c r="B227" s="464"/>
      <c r="C227" s="659" t="s">
        <v>332</v>
      </c>
      <c r="D227" s="211"/>
      <c r="E227" s="211">
        <v>20000</v>
      </c>
      <c r="F227" s="370">
        <f t="shared" si="8"/>
        <v>20000</v>
      </c>
      <c r="G227" s="917"/>
    </row>
    <row r="228" spans="1:7" s="92" customFormat="1" ht="15" customHeight="1" outlineLevel="1" x14ac:dyDescent="0.2">
      <c r="A228" s="1982"/>
      <c r="B228" s="464"/>
      <c r="C228" s="659" t="s">
        <v>397</v>
      </c>
      <c r="D228" s="211"/>
      <c r="E228" s="211">
        <v>10000</v>
      </c>
      <c r="F228" s="370">
        <f t="shared" si="8"/>
        <v>10000</v>
      </c>
      <c r="G228" s="917"/>
    </row>
    <row r="229" spans="1:7" s="92" customFormat="1" ht="15" customHeight="1" thickBot="1" x14ac:dyDescent="0.3">
      <c r="A229" s="1982"/>
      <c r="B229" s="663" t="s">
        <v>233</v>
      </c>
      <c r="C229" s="662" t="s">
        <v>442</v>
      </c>
      <c r="D229" s="292">
        <v>0</v>
      </c>
      <c r="E229" s="292">
        <f>SUM(E225:E228)</f>
        <v>540000</v>
      </c>
      <c r="F229" s="583">
        <f t="shared" si="8"/>
        <v>540000</v>
      </c>
      <c r="G229" s="915"/>
    </row>
    <row r="230" spans="1:7" s="92" customFormat="1" ht="15" customHeight="1" outlineLevel="1" x14ac:dyDescent="0.2">
      <c r="A230" s="1982"/>
      <c r="B230" s="464"/>
      <c r="C230" s="462" t="s">
        <v>334</v>
      </c>
      <c r="D230" s="278">
        <v>4300000</v>
      </c>
      <c r="E230" s="278">
        <v>4300000</v>
      </c>
      <c r="F230" s="369">
        <f t="shared" si="8"/>
        <v>0</v>
      </c>
      <c r="G230" s="917"/>
    </row>
    <row r="231" spans="1:7" s="92" customFormat="1" ht="15" customHeight="1" outlineLevel="1" x14ac:dyDescent="0.2">
      <c r="A231" s="1982"/>
      <c r="B231" s="464"/>
      <c r="C231" s="659" t="s">
        <v>331</v>
      </c>
      <c r="D231" s="211">
        <v>130000</v>
      </c>
      <c r="E231" s="211">
        <v>130000</v>
      </c>
      <c r="F231" s="370">
        <f t="shared" si="8"/>
        <v>0</v>
      </c>
      <c r="G231" s="917"/>
    </row>
    <row r="232" spans="1:7" s="92" customFormat="1" ht="15" customHeight="1" outlineLevel="1" x14ac:dyDescent="0.2">
      <c r="A232" s="1982"/>
      <c r="B232" s="464"/>
      <c r="C232" s="659" t="s">
        <v>332</v>
      </c>
      <c r="D232" s="211">
        <v>100000</v>
      </c>
      <c r="E232" s="211">
        <v>100000</v>
      </c>
      <c r="F232" s="370">
        <f t="shared" si="8"/>
        <v>0</v>
      </c>
      <c r="G232" s="917"/>
    </row>
    <row r="233" spans="1:7" s="92" customFormat="1" ht="15" customHeight="1" outlineLevel="1" x14ac:dyDescent="0.2">
      <c r="A233" s="1982"/>
      <c r="B233" s="464"/>
      <c r="C233" s="659" t="s">
        <v>397</v>
      </c>
      <c r="D233" s="211"/>
      <c r="E233" s="211"/>
      <c r="F233" s="370">
        <f t="shared" si="8"/>
        <v>0</v>
      </c>
      <c r="G233" s="917"/>
    </row>
    <row r="234" spans="1:7" s="92" customFormat="1" ht="15" customHeight="1" thickBot="1" x14ac:dyDescent="0.3">
      <c r="A234" s="1982"/>
      <c r="B234" s="663" t="s">
        <v>233</v>
      </c>
      <c r="C234" s="662" t="s">
        <v>849</v>
      </c>
      <c r="D234" s="292">
        <v>4530000</v>
      </c>
      <c r="E234" s="292">
        <f>SUM(E230:E233)</f>
        <v>4530000</v>
      </c>
      <c r="F234" s="583">
        <f t="shared" si="8"/>
        <v>0</v>
      </c>
      <c r="G234" s="915"/>
    </row>
    <row r="235" spans="1:7" s="92" customFormat="1" ht="15" customHeight="1" outlineLevel="1" x14ac:dyDescent="0.2">
      <c r="A235" s="1982"/>
      <c r="B235" s="464"/>
      <c r="C235" s="462" t="s">
        <v>334</v>
      </c>
      <c r="D235" s="278">
        <v>0</v>
      </c>
      <c r="E235" s="278">
        <v>0</v>
      </c>
      <c r="F235" s="369">
        <f t="shared" si="8"/>
        <v>0</v>
      </c>
      <c r="G235" s="917"/>
    </row>
    <row r="236" spans="1:7" s="92" customFormat="1" ht="15" customHeight="1" outlineLevel="1" x14ac:dyDescent="0.2">
      <c r="A236" s="1982"/>
      <c r="B236" s="464"/>
      <c r="C236" s="659" t="s">
        <v>331</v>
      </c>
      <c r="D236" s="211">
        <v>0</v>
      </c>
      <c r="E236" s="211">
        <v>0</v>
      </c>
      <c r="F236" s="370">
        <f t="shared" si="8"/>
        <v>0</v>
      </c>
      <c r="G236" s="917"/>
    </row>
    <row r="237" spans="1:7" s="92" customFormat="1" ht="15" customHeight="1" outlineLevel="1" x14ac:dyDescent="0.2">
      <c r="A237" s="1982"/>
      <c r="B237" s="464"/>
      <c r="C237" s="659" t="s">
        <v>332</v>
      </c>
      <c r="D237" s="211">
        <v>0</v>
      </c>
      <c r="E237" s="211">
        <v>0</v>
      </c>
      <c r="F237" s="370">
        <f t="shared" si="8"/>
        <v>0</v>
      </c>
      <c r="G237" s="917"/>
    </row>
    <row r="238" spans="1:7" s="92" customFormat="1" ht="15" customHeight="1" outlineLevel="1" x14ac:dyDescent="0.2">
      <c r="A238" s="1982"/>
      <c r="B238" s="464"/>
      <c r="C238" s="659" t="s">
        <v>397</v>
      </c>
      <c r="D238" s="211">
        <v>0</v>
      </c>
      <c r="E238" s="211">
        <v>0</v>
      </c>
      <c r="F238" s="370">
        <f t="shared" si="8"/>
        <v>0</v>
      </c>
      <c r="G238" s="917"/>
    </row>
    <row r="239" spans="1:7" s="92" customFormat="1" ht="15" customHeight="1" thickBot="1" x14ac:dyDescent="0.3">
      <c r="A239" s="1982"/>
      <c r="B239" s="663" t="s">
        <v>233</v>
      </c>
      <c r="C239" s="662" t="s">
        <v>850</v>
      </c>
      <c r="D239" s="292">
        <v>0</v>
      </c>
      <c r="E239" s="292">
        <f>SUM(E235:E238)</f>
        <v>0</v>
      </c>
      <c r="F239" s="583">
        <f t="shared" si="8"/>
        <v>0</v>
      </c>
      <c r="G239" s="915"/>
    </row>
    <row r="240" spans="1:7" s="92" customFormat="1" ht="15" customHeight="1" outlineLevel="1" x14ac:dyDescent="0.2">
      <c r="A240" s="1982"/>
      <c r="B240" s="464"/>
      <c r="C240" s="462" t="s">
        <v>334</v>
      </c>
      <c r="D240" s="278">
        <v>0</v>
      </c>
      <c r="E240" s="278">
        <v>0</v>
      </c>
      <c r="F240" s="369">
        <f t="shared" si="8"/>
        <v>0</v>
      </c>
      <c r="G240" s="917"/>
    </row>
    <row r="241" spans="1:7" s="92" customFormat="1" ht="15" customHeight="1" outlineLevel="1" x14ac:dyDescent="0.2">
      <c r="A241" s="1982"/>
      <c r="B241" s="464"/>
      <c r="C241" s="659" t="s">
        <v>331</v>
      </c>
      <c r="D241" s="211">
        <v>0</v>
      </c>
      <c r="E241" s="211">
        <v>0</v>
      </c>
      <c r="F241" s="370">
        <f t="shared" si="8"/>
        <v>0</v>
      </c>
      <c r="G241" s="917"/>
    </row>
    <row r="242" spans="1:7" s="92" customFormat="1" ht="15" customHeight="1" outlineLevel="1" x14ac:dyDescent="0.2">
      <c r="A242" s="1982"/>
      <c r="B242" s="464"/>
      <c r="C242" s="659" t="s">
        <v>397</v>
      </c>
      <c r="D242" s="211">
        <v>0</v>
      </c>
      <c r="E242" s="211">
        <v>0</v>
      </c>
      <c r="F242" s="370">
        <f t="shared" si="8"/>
        <v>0</v>
      </c>
      <c r="G242" s="917"/>
    </row>
    <row r="243" spans="1:7" s="92" customFormat="1" ht="15" customHeight="1" outlineLevel="1" thickBot="1" x14ac:dyDescent="0.25">
      <c r="A243" s="1982"/>
      <c r="B243" s="464"/>
      <c r="C243" s="304" t="s">
        <v>332</v>
      </c>
      <c r="D243" s="287">
        <v>0</v>
      </c>
      <c r="E243" s="287">
        <v>0</v>
      </c>
      <c r="F243" s="581">
        <f t="shared" si="8"/>
        <v>0</v>
      </c>
      <c r="G243" s="917"/>
    </row>
    <row r="244" spans="1:7" s="92" customFormat="1" ht="15" customHeight="1" thickBot="1" x14ac:dyDescent="0.3">
      <c r="A244" s="1982"/>
      <c r="B244" s="663" t="s">
        <v>233</v>
      </c>
      <c r="C244" s="675" t="s">
        <v>445</v>
      </c>
      <c r="D244" s="307">
        <v>0</v>
      </c>
      <c r="E244" s="307">
        <f>SUM(E240:E243)</f>
        <v>0</v>
      </c>
      <c r="F244" s="582">
        <f t="shared" si="8"/>
        <v>0</v>
      </c>
      <c r="G244" s="915"/>
    </row>
    <row r="245" spans="1:7" s="92" customFormat="1" ht="15" customHeight="1" outlineLevel="1" x14ac:dyDescent="0.2">
      <c r="A245" s="1982"/>
      <c r="B245" s="464"/>
      <c r="C245" s="462" t="s">
        <v>334</v>
      </c>
      <c r="D245" s="278">
        <v>0</v>
      </c>
      <c r="E245" s="278">
        <v>150000</v>
      </c>
      <c r="F245" s="369">
        <f t="shared" si="8"/>
        <v>150000</v>
      </c>
      <c r="G245" s="917"/>
    </row>
    <row r="246" spans="1:7" s="92" customFormat="1" ht="15" customHeight="1" outlineLevel="1" x14ac:dyDescent="0.2">
      <c r="A246" s="1982"/>
      <c r="B246" s="464"/>
      <c r="C246" s="659" t="s">
        <v>331</v>
      </c>
      <c r="D246" s="211"/>
      <c r="E246" s="211"/>
      <c r="F246" s="370">
        <f t="shared" si="8"/>
        <v>0</v>
      </c>
      <c r="G246" s="917"/>
    </row>
    <row r="247" spans="1:7" s="92" customFormat="1" ht="15" customHeight="1" outlineLevel="1" x14ac:dyDescent="0.2">
      <c r="A247" s="1982"/>
      <c r="B247" s="464"/>
      <c r="C247" s="659" t="s">
        <v>332</v>
      </c>
      <c r="D247" s="211"/>
      <c r="E247" s="211"/>
      <c r="F247" s="370">
        <f t="shared" si="8"/>
        <v>0</v>
      </c>
      <c r="G247" s="917"/>
    </row>
    <row r="248" spans="1:7" s="92" customFormat="1" ht="15" customHeight="1" outlineLevel="1" x14ac:dyDescent="0.2">
      <c r="A248" s="1982"/>
      <c r="B248" s="464"/>
      <c r="C248" s="659" t="s">
        <v>397</v>
      </c>
      <c r="D248" s="211"/>
      <c r="E248" s="211"/>
      <c r="F248" s="370">
        <f t="shared" si="8"/>
        <v>0</v>
      </c>
      <c r="G248" s="917"/>
    </row>
    <row r="249" spans="1:7" s="92" customFormat="1" ht="15" customHeight="1" thickBot="1" x14ac:dyDescent="0.3">
      <c r="A249" s="1982"/>
      <c r="B249" s="663" t="s">
        <v>233</v>
      </c>
      <c r="C249" s="662" t="s">
        <v>851</v>
      </c>
      <c r="D249" s="292">
        <v>0</v>
      </c>
      <c r="E249" s="292">
        <f>SUM(E245:E248)</f>
        <v>150000</v>
      </c>
      <c r="F249" s="583">
        <f t="shared" si="8"/>
        <v>150000</v>
      </c>
      <c r="G249" s="915"/>
    </row>
    <row r="250" spans="1:7" s="92" customFormat="1" ht="15" customHeight="1" outlineLevel="1" x14ac:dyDescent="0.2">
      <c r="A250" s="1982"/>
      <c r="B250" s="464"/>
      <c r="C250" s="659" t="s">
        <v>334</v>
      </c>
      <c r="D250" s="211">
        <v>0</v>
      </c>
      <c r="E250" s="211">
        <v>0</v>
      </c>
      <c r="F250" s="370">
        <f t="shared" si="8"/>
        <v>0</v>
      </c>
      <c r="G250" s="917"/>
    </row>
    <row r="251" spans="1:7" s="92" customFormat="1" ht="15" customHeight="1" outlineLevel="1" x14ac:dyDescent="0.2">
      <c r="A251" s="1982"/>
      <c r="B251" s="464"/>
      <c r="C251" s="659" t="s">
        <v>331</v>
      </c>
      <c r="D251" s="211"/>
      <c r="E251" s="211"/>
      <c r="F251" s="370">
        <f t="shared" si="8"/>
        <v>0</v>
      </c>
      <c r="G251" s="917"/>
    </row>
    <row r="252" spans="1:7" s="92" customFormat="1" ht="15" customHeight="1" outlineLevel="1" x14ac:dyDescent="0.2">
      <c r="A252" s="1982"/>
      <c r="B252" s="464"/>
      <c r="C252" s="659" t="s">
        <v>332</v>
      </c>
      <c r="D252" s="211"/>
      <c r="E252" s="211"/>
      <c r="F252" s="370">
        <f t="shared" si="8"/>
        <v>0</v>
      </c>
      <c r="G252" s="917"/>
    </row>
    <row r="253" spans="1:7" s="92" customFormat="1" ht="15" customHeight="1" outlineLevel="1" x14ac:dyDescent="0.2">
      <c r="A253" s="1982"/>
      <c r="B253" s="464"/>
      <c r="C253" s="659" t="s">
        <v>397</v>
      </c>
      <c r="D253" s="211"/>
      <c r="E253" s="211"/>
      <c r="F253" s="370">
        <f t="shared" si="8"/>
        <v>0</v>
      </c>
      <c r="G253" s="917"/>
    </row>
    <row r="254" spans="1:7" s="92" customFormat="1" ht="15" customHeight="1" thickBot="1" x14ac:dyDescent="0.3">
      <c r="A254" s="1982"/>
      <c r="B254" s="663" t="s">
        <v>233</v>
      </c>
      <c r="C254" s="662" t="s">
        <v>882</v>
      </c>
      <c r="D254" s="292">
        <v>0</v>
      </c>
      <c r="E254" s="292">
        <f>SUM(E250:E253)</f>
        <v>0</v>
      </c>
      <c r="F254" s="583">
        <f t="shared" si="8"/>
        <v>0</v>
      </c>
      <c r="G254" s="915"/>
    </row>
    <row r="255" spans="1:7" s="92" customFormat="1" ht="15" customHeight="1" outlineLevel="1" x14ac:dyDescent="0.2">
      <c r="A255" s="1982"/>
      <c r="B255" s="464"/>
      <c r="C255" s="462" t="s">
        <v>334</v>
      </c>
      <c r="D255" s="278">
        <v>0</v>
      </c>
      <c r="E255" s="278">
        <v>0</v>
      </c>
      <c r="F255" s="369">
        <f t="shared" si="8"/>
        <v>0</v>
      </c>
      <c r="G255" s="917"/>
    </row>
    <row r="256" spans="1:7" s="92" customFormat="1" ht="15" customHeight="1" outlineLevel="1" x14ac:dyDescent="0.2">
      <c r="A256" s="1982"/>
      <c r="B256" s="464"/>
      <c r="C256" s="659" t="s">
        <v>331</v>
      </c>
      <c r="D256" s="211"/>
      <c r="E256" s="211"/>
      <c r="F256" s="370">
        <f t="shared" si="8"/>
        <v>0</v>
      </c>
      <c r="G256" s="917"/>
    </row>
    <row r="257" spans="1:7" s="92" customFormat="1" ht="15" customHeight="1" outlineLevel="1" x14ac:dyDescent="0.2">
      <c r="A257" s="1982"/>
      <c r="B257" s="464"/>
      <c r="C257" s="659" t="s">
        <v>332</v>
      </c>
      <c r="D257" s="211"/>
      <c r="E257" s="211"/>
      <c r="F257" s="370">
        <f t="shared" si="8"/>
        <v>0</v>
      </c>
      <c r="G257" s="917"/>
    </row>
    <row r="258" spans="1:7" s="92" customFormat="1" ht="15" customHeight="1" outlineLevel="1" x14ac:dyDescent="0.2">
      <c r="A258" s="1982"/>
      <c r="B258" s="464"/>
      <c r="C258" s="659" t="s">
        <v>397</v>
      </c>
      <c r="D258" s="211"/>
      <c r="E258" s="211"/>
      <c r="F258" s="370">
        <f t="shared" si="8"/>
        <v>0</v>
      </c>
      <c r="G258" s="917"/>
    </row>
    <row r="259" spans="1:7" s="92" customFormat="1" ht="15" customHeight="1" thickBot="1" x14ac:dyDescent="0.3">
      <c r="A259" s="1982"/>
      <c r="B259" s="663" t="s">
        <v>233</v>
      </c>
      <c r="C259" s="662" t="s">
        <v>852</v>
      </c>
      <c r="D259" s="292">
        <v>0</v>
      </c>
      <c r="E259" s="292">
        <f>SUM(E255:E258)</f>
        <v>0</v>
      </c>
      <c r="F259" s="583">
        <f t="shared" si="8"/>
        <v>0</v>
      </c>
      <c r="G259" s="915"/>
    </row>
    <row r="260" spans="1:7" s="92" customFormat="1" ht="15" customHeight="1" outlineLevel="1" x14ac:dyDescent="0.2">
      <c r="A260" s="1982"/>
      <c r="B260" s="464"/>
      <c r="C260" s="462" t="s">
        <v>334</v>
      </c>
      <c r="D260" s="278">
        <v>0</v>
      </c>
      <c r="E260" s="278">
        <v>0</v>
      </c>
      <c r="F260" s="369">
        <f t="shared" si="8"/>
        <v>0</v>
      </c>
      <c r="G260" s="917"/>
    </row>
    <row r="261" spans="1:7" s="92" customFormat="1" ht="15" customHeight="1" outlineLevel="1" x14ac:dyDescent="0.2">
      <c r="A261" s="1982"/>
      <c r="B261" s="464"/>
      <c r="C261" s="659" t="s">
        <v>331</v>
      </c>
      <c r="D261" s="211"/>
      <c r="E261" s="211"/>
      <c r="F261" s="370">
        <f t="shared" si="8"/>
        <v>0</v>
      </c>
      <c r="G261" s="917"/>
    </row>
    <row r="262" spans="1:7" s="92" customFormat="1" ht="15" customHeight="1" outlineLevel="1" x14ac:dyDescent="0.2">
      <c r="A262" s="1982"/>
      <c r="B262" s="464"/>
      <c r="C262" s="659" t="s">
        <v>332</v>
      </c>
      <c r="D262" s="211"/>
      <c r="E262" s="211"/>
      <c r="F262" s="370">
        <f t="shared" si="8"/>
        <v>0</v>
      </c>
      <c r="G262" s="917"/>
    </row>
    <row r="263" spans="1:7" s="92" customFormat="1" ht="15" customHeight="1" outlineLevel="1" x14ac:dyDescent="0.2">
      <c r="A263" s="1982"/>
      <c r="B263" s="464"/>
      <c r="C263" s="659" t="s">
        <v>397</v>
      </c>
      <c r="D263" s="211"/>
      <c r="E263" s="211"/>
      <c r="F263" s="370">
        <f t="shared" si="8"/>
        <v>0</v>
      </c>
      <c r="G263" s="917"/>
    </row>
    <row r="264" spans="1:7" s="92" customFormat="1" ht="15" customHeight="1" thickBot="1" x14ac:dyDescent="0.3">
      <c r="A264" s="1982"/>
      <c r="B264" s="663" t="s">
        <v>233</v>
      </c>
      <c r="C264" s="662" t="s">
        <v>853</v>
      </c>
      <c r="D264" s="292">
        <v>0</v>
      </c>
      <c r="E264" s="292">
        <f>SUM(E260:E263)</f>
        <v>0</v>
      </c>
      <c r="F264" s="583">
        <f t="shared" si="8"/>
        <v>0</v>
      </c>
      <c r="G264" s="915"/>
    </row>
    <row r="265" spans="1:7" s="92" customFormat="1" ht="15" customHeight="1" outlineLevel="1" x14ac:dyDescent="0.2">
      <c r="A265" s="1982"/>
      <c r="B265" s="464"/>
      <c r="C265" s="462" t="s">
        <v>334</v>
      </c>
      <c r="D265" s="278">
        <v>0</v>
      </c>
      <c r="E265" s="278">
        <v>0</v>
      </c>
      <c r="F265" s="369">
        <f t="shared" si="8"/>
        <v>0</v>
      </c>
      <c r="G265" s="917"/>
    </row>
    <row r="266" spans="1:7" s="92" customFormat="1" ht="15" customHeight="1" outlineLevel="1" x14ac:dyDescent="0.2">
      <c r="A266" s="1982"/>
      <c r="B266" s="464"/>
      <c r="C266" s="659" t="s">
        <v>331</v>
      </c>
      <c r="D266" s="211"/>
      <c r="E266" s="211"/>
      <c r="F266" s="370">
        <f t="shared" si="8"/>
        <v>0</v>
      </c>
      <c r="G266" s="917"/>
    </row>
    <row r="267" spans="1:7" s="92" customFormat="1" ht="15" customHeight="1" outlineLevel="1" x14ac:dyDescent="0.2">
      <c r="A267" s="1982"/>
      <c r="B267" s="464"/>
      <c r="C267" s="659" t="s">
        <v>332</v>
      </c>
      <c r="D267" s="211"/>
      <c r="E267" s="211"/>
      <c r="F267" s="370">
        <f t="shared" si="8"/>
        <v>0</v>
      </c>
      <c r="G267" s="917"/>
    </row>
    <row r="268" spans="1:7" s="92" customFormat="1" ht="15" customHeight="1" outlineLevel="1" x14ac:dyDescent="0.2">
      <c r="A268" s="1982"/>
      <c r="B268" s="464"/>
      <c r="C268" s="659" t="s">
        <v>397</v>
      </c>
      <c r="D268" s="211"/>
      <c r="E268" s="211"/>
      <c r="F268" s="370">
        <f t="shared" si="8"/>
        <v>0</v>
      </c>
      <c r="G268" s="917"/>
    </row>
    <row r="269" spans="1:7" s="92" customFormat="1" ht="15" customHeight="1" thickBot="1" x14ac:dyDescent="0.3">
      <c r="A269" s="1982"/>
      <c r="B269" s="663" t="s">
        <v>233</v>
      </c>
      <c r="C269" s="662" t="s">
        <v>854</v>
      </c>
      <c r="D269" s="292">
        <v>0</v>
      </c>
      <c r="E269" s="292">
        <f>SUM(E265:E268)</f>
        <v>0</v>
      </c>
      <c r="F269" s="583">
        <f t="shared" si="8"/>
        <v>0</v>
      </c>
      <c r="G269" s="915"/>
    </row>
    <row r="270" spans="1:7" s="92" customFormat="1" ht="15" customHeight="1" outlineLevel="1" x14ac:dyDescent="0.2">
      <c r="A270" s="1982"/>
      <c r="B270" s="464"/>
      <c r="C270" s="462" t="s">
        <v>334</v>
      </c>
      <c r="D270" s="278">
        <v>0</v>
      </c>
      <c r="E270" s="278">
        <v>0</v>
      </c>
      <c r="F270" s="369">
        <f t="shared" si="8"/>
        <v>0</v>
      </c>
      <c r="G270" s="917"/>
    </row>
    <row r="271" spans="1:7" s="92" customFormat="1" ht="15" customHeight="1" outlineLevel="1" x14ac:dyDescent="0.2">
      <c r="A271" s="1982"/>
      <c r="B271" s="464"/>
      <c r="C271" s="659" t="s">
        <v>331</v>
      </c>
      <c r="D271" s="211">
        <v>0</v>
      </c>
      <c r="E271" s="211">
        <v>0</v>
      </c>
      <c r="F271" s="370">
        <f t="shared" si="8"/>
        <v>0</v>
      </c>
      <c r="G271" s="917"/>
    </row>
    <row r="272" spans="1:7" s="92" customFormat="1" ht="15" customHeight="1" outlineLevel="1" x14ac:dyDescent="0.2">
      <c r="A272" s="1982"/>
      <c r="B272" s="464"/>
      <c r="C272" s="659" t="s">
        <v>397</v>
      </c>
      <c r="D272" s="211">
        <v>0</v>
      </c>
      <c r="E272" s="211">
        <v>0</v>
      </c>
      <c r="F272" s="370">
        <f t="shared" si="8"/>
        <v>0</v>
      </c>
      <c r="G272" s="917"/>
    </row>
    <row r="273" spans="1:7" s="92" customFormat="1" ht="15" customHeight="1" outlineLevel="1" x14ac:dyDescent="0.2">
      <c r="A273" s="1982"/>
      <c r="B273" s="464"/>
      <c r="C273" s="659" t="s">
        <v>332</v>
      </c>
      <c r="D273" s="211">
        <v>0</v>
      </c>
      <c r="E273" s="211">
        <v>0</v>
      </c>
      <c r="F273" s="370">
        <f t="shared" si="8"/>
        <v>0</v>
      </c>
      <c r="G273" s="917"/>
    </row>
    <row r="274" spans="1:7" s="92" customFormat="1" ht="15" customHeight="1" thickBot="1" x14ac:dyDescent="0.3">
      <c r="A274" s="1982"/>
      <c r="B274" s="663" t="s">
        <v>233</v>
      </c>
      <c r="C274" s="662" t="s">
        <v>855</v>
      </c>
      <c r="D274" s="292">
        <v>0</v>
      </c>
      <c r="E274" s="292">
        <f>SUM(E270:E273)</f>
        <v>0</v>
      </c>
      <c r="F274" s="583">
        <f t="shared" si="8"/>
        <v>0</v>
      </c>
      <c r="G274" s="915"/>
    </row>
    <row r="275" spans="1:7" s="92" customFormat="1" ht="15" customHeight="1" outlineLevel="1" x14ac:dyDescent="0.2">
      <c r="A275" s="1982"/>
      <c r="B275" s="464"/>
      <c r="C275" s="462" t="s">
        <v>334</v>
      </c>
      <c r="D275" s="278">
        <v>0</v>
      </c>
      <c r="E275" s="278">
        <v>0</v>
      </c>
      <c r="F275" s="369">
        <f t="shared" si="8"/>
        <v>0</v>
      </c>
      <c r="G275" s="917"/>
    </row>
    <row r="276" spans="1:7" s="92" customFormat="1" ht="15" customHeight="1" outlineLevel="1" x14ac:dyDescent="0.2">
      <c r="A276" s="1982"/>
      <c r="B276" s="464"/>
      <c r="C276" s="659" t="s">
        <v>331</v>
      </c>
      <c r="D276" s="211">
        <v>0</v>
      </c>
      <c r="E276" s="211">
        <v>0</v>
      </c>
      <c r="F276" s="370">
        <f t="shared" si="8"/>
        <v>0</v>
      </c>
      <c r="G276" s="917"/>
    </row>
    <row r="277" spans="1:7" s="92" customFormat="1" ht="15" customHeight="1" outlineLevel="1" x14ac:dyDescent="0.2">
      <c r="A277" s="1982"/>
      <c r="B277" s="464"/>
      <c r="C277" s="659" t="s">
        <v>397</v>
      </c>
      <c r="D277" s="211">
        <v>0</v>
      </c>
      <c r="E277" s="211">
        <v>0</v>
      </c>
      <c r="F277" s="370">
        <f t="shared" si="8"/>
        <v>0</v>
      </c>
      <c r="G277" s="917"/>
    </row>
    <row r="278" spans="1:7" s="92" customFormat="1" ht="15" customHeight="1" outlineLevel="1" x14ac:dyDescent="0.2">
      <c r="A278" s="1982"/>
      <c r="B278" s="464"/>
      <c r="C278" s="659" t="s">
        <v>332</v>
      </c>
      <c r="D278" s="211">
        <v>0</v>
      </c>
      <c r="E278" s="211">
        <v>0</v>
      </c>
      <c r="F278" s="370">
        <f t="shared" si="8"/>
        <v>0</v>
      </c>
      <c r="G278" s="917"/>
    </row>
    <row r="279" spans="1:7" s="92" customFormat="1" ht="15" customHeight="1" thickBot="1" x14ac:dyDescent="0.3">
      <c r="A279" s="1982"/>
      <c r="B279" s="663" t="s">
        <v>233</v>
      </c>
      <c r="C279" s="662" t="s">
        <v>856</v>
      </c>
      <c r="D279" s="292">
        <v>0</v>
      </c>
      <c r="E279" s="292">
        <f>SUM(E275:E278)</f>
        <v>0</v>
      </c>
      <c r="F279" s="583">
        <f t="shared" si="8"/>
        <v>0</v>
      </c>
      <c r="G279" s="915"/>
    </row>
    <row r="280" spans="1:7" s="92" customFormat="1" ht="15" customHeight="1" outlineLevel="1" x14ac:dyDescent="0.2">
      <c r="A280" s="1982"/>
      <c r="B280" s="464"/>
      <c r="C280" s="462" t="s">
        <v>334</v>
      </c>
      <c r="D280" s="278">
        <v>0</v>
      </c>
      <c r="E280" s="278">
        <v>26957284</v>
      </c>
      <c r="F280" s="369">
        <f t="shared" si="8"/>
        <v>26957284</v>
      </c>
      <c r="G280" s="917"/>
    </row>
    <row r="281" spans="1:7" s="92" customFormat="1" ht="15" customHeight="1" outlineLevel="1" x14ac:dyDescent="0.2">
      <c r="A281" s="1982"/>
      <c r="B281" s="464"/>
      <c r="C281" s="659" t="s">
        <v>331</v>
      </c>
      <c r="D281" s="211">
        <v>0</v>
      </c>
      <c r="E281" s="211">
        <v>1000000</v>
      </c>
      <c r="F281" s="370">
        <f t="shared" si="8"/>
        <v>1000000</v>
      </c>
      <c r="G281" s="917"/>
    </row>
    <row r="282" spans="1:7" s="92" customFormat="1" ht="15" customHeight="1" outlineLevel="1" x14ac:dyDescent="0.2">
      <c r="A282" s="1982"/>
      <c r="B282" s="464"/>
      <c r="C282" s="659" t="s">
        <v>397</v>
      </c>
      <c r="D282" s="211">
        <v>0</v>
      </c>
      <c r="E282" s="211">
        <v>0</v>
      </c>
      <c r="F282" s="370">
        <f t="shared" si="8"/>
        <v>0</v>
      </c>
      <c r="G282" s="917"/>
    </row>
    <row r="283" spans="1:7" s="92" customFormat="1" ht="15" customHeight="1" outlineLevel="1" x14ac:dyDescent="0.2">
      <c r="A283" s="1982"/>
      <c r="B283" s="464"/>
      <c r="C283" s="659" t="s">
        <v>332</v>
      </c>
      <c r="D283" s="211">
        <v>0</v>
      </c>
      <c r="E283" s="211">
        <v>500000</v>
      </c>
      <c r="F283" s="370">
        <f t="shared" si="8"/>
        <v>500000</v>
      </c>
      <c r="G283" s="917"/>
    </row>
    <row r="284" spans="1:7" s="92" customFormat="1" ht="15" customHeight="1" thickBot="1" x14ac:dyDescent="0.3">
      <c r="A284" s="1983"/>
      <c r="B284" s="663" t="s">
        <v>233</v>
      </c>
      <c r="C284" s="662" t="s">
        <v>857</v>
      </c>
      <c r="D284" s="292">
        <v>0</v>
      </c>
      <c r="E284" s="292">
        <f>SUM(E280:E283)</f>
        <v>28457284</v>
      </c>
      <c r="F284" s="583">
        <f t="shared" si="8"/>
        <v>28457284</v>
      </c>
      <c r="G284" s="915"/>
    </row>
    <row r="285" spans="1:7" s="92" customFormat="1" ht="15" customHeight="1" thickBot="1" x14ac:dyDescent="0.25">
      <c r="A285" s="903"/>
      <c r="B285" s="904"/>
      <c r="C285" s="904"/>
      <c r="D285" s="904"/>
      <c r="E285" s="904"/>
      <c r="F285" s="905"/>
      <c r="G285" s="918"/>
    </row>
    <row r="286" spans="1:7" s="92" customFormat="1" ht="15" customHeight="1" outlineLevel="1" x14ac:dyDescent="0.2">
      <c r="A286" s="1976"/>
      <c r="B286" s="104"/>
      <c r="C286" s="671" t="s">
        <v>334</v>
      </c>
      <c r="D286" s="278">
        <v>500000</v>
      </c>
      <c r="E286" s="278">
        <v>0</v>
      </c>
      <c r="F286" s="369">
        <f>E286-D286</f>
        <v>-500000</v>
      </c>
      <c r="G286" s="917"/>
    </row>
    <row r="287" spans="1:7" s="92" customFormat="1" ht="15" customHeight="1" outlineLevel="1" x14ac:dyDescent="0.2">
      <c r="A287" s="1974"/>
      <c r="B287" s="107"/>
      <c r="C287" s="659" t="s">
        <v>331</v>
      </c>
      <c r="D287" s="211">
        <v>0</v>
      </c>
      <c r="E287" s="211">
        <v>0</v>
      </c>
      <c r="F287" s="370">
        <f>E287-D287</f>
        <v>0</v>
      </c>
      <c r="G287" s="917"/>
    </row>
    <row r="288" spans="1:7" s="92" customFormat="1" ht="15" customHeight="1" outlineLevel="1" x14ac:dyDescent="0.2">
      <c r="A288" s="1974"/>
      <c r="B288" s="107"/>
      <c r="C288" s="659" t="s">
        <v>332</v>
      </c>
      <c r="D288" s="211">
        <v>0</v>
      </c>
      <c r="E288" s="211">
        <v>0</v>
      </c>
      <c r="F288" s="370">
        <f>E288-D288</f>
        <v>0</v>
      </c>
      <c r="G288" s="917"/>
    </row>
    <row r="289" spans="1:9" s="92" customFormat="1" outlineLevel="1" x14ac:dyDescent="0.2">
      <c r="A289" s="1975"/>
      <c r="B289" s="107"/>
      <c r="C289" s="659" t="s">
        <v>397</v>
      </c>
      <c r="D289" s="211">
        <v>0</v>
      </c>
      <c r="E289" s="211">
        <v>0</v>
      </c>
      <c r="F289" s="370">
        <f>E289-D289</f>
        <v>0</v>
      </c>
      <c r="G289" s="917"/>
    </row>
    <row r="290" spans="1:9" s="216" customFormat="1" ht="13.5" thickBot="1" x14ac:dyDescent="0.25">
      <c r="A290" s="345">
        <v>3633</v>
      </c>
      <c r="B290" s="346" t="s">
        <v>239</v>
      </c>
      <c r="C290" s="661"/>
      <c r="D290" s="307">
        <v>500000</v>
      </c>
      <c r="E290" s="307">
        <f>SUM(E286:E289)</f>
        <v>0</v>
      </c>
      <c r="F290" s="582">
        <f>E290-D290</f>
        <v>-500000</v>
      </c>
      <c r="G290" s="915"/>
      <c r="H290" s="595">
        <f>'Sumář  výdaje kapitol'!CA62</f>
        <v>1000000</v>
      </c>
      <c r="I290" s="595">
        <f>H290-F290</f>
        <v>1500000</v>
      </c>
    </row>
    <row r="291" spans="1:9" s="216" customFormat="1" ht="13.5" thickBot="1" x14ac:dyDescent="0.25">
      <c r="A291" s="900"/>
      <c r="B291" s="901"/>
      <c r="C291" s="901"/>
      <c r="D291" s="901"/>
      <c r="E291" s="901"/>
      <c r="F291" s="902"/>
      <c r="G291" s="913"/>
    </row>
    <row r="292" spans="1:9" s="92" customFormat="1" ht="15" customHeight="1" outlineLevel="1" x14ac:dyDescent="0.2">
      <c r="A292" s="1978" t="s">
        <v>265</v>
      </c>
      <c r="B292" s="104"/>
      <c r="C292" s="671" t="s">
        <v>334</v>
      </c>
      <c r="D292" s="278">
        <v>0</v>
      </c>
      <c r="E292" s="278">
        <v>25004000</v>
      </c>
      <c r="F292" s="369">
        <f t="shared" ref="F292:F306" si="9">E292-D292</f>
        <v>25004000</v>
      </c>
      <c r="G292" s="917"/>
    </row>
    <row r="293" spans="1:9" s="92" customFormat="1" ht="15" customHeight="1" outlineLevel="1" x14ac:dyDescent="0.2">
      <c r="A293" s="1979"/>
      <c r="B293" s="107"/>
      <c r="C293" s="659" t="s">
        <v>331</v>
      </c>
      <c r="D293" s="211">
        <v>0</v>
      </c>
      <c r="E293" s="211">
        <v>700000</v>
      </c>
      <c r="F293" s="370">
        <f t="shared" si="9"/>
        <v>700000</v>
      </c>
      <c r="G293" s="917"/>
    </row>
    <row r="294" spans="1:9" s="92" customFormat="1" ht="15" customHeight="1" outlineLevel="1" x14ac:dyDescent="0.2">
      <c r="A294" s="1979"/>
      <c r="B294" s="107"/>
      <c r="C294" s="659" t="s">
        <v>332</v>
      </c>
      <c r="D294" s="211">
        <v>0</v>
      </c>
      <c r="E294" s="211">
        <v>150000</v>
      </c>
      <c r="F294" s="370">
        <f t="shared" si="9"/>
        <v>150000</v>
      </c>
      <c r="G294" s="917"/>
    </row>
    <row r="295" spans="1:9" s="92" customFormat="1" outlineLevel="1" x14ac:dyDescent="0.2">
      <c r="A295" s="1979"/>
      <c r="B295" s="107"/>
      <c r="C295" s="659" t="s">
        <v>397</v>
      </c>
      <c r="D295" s="211"/>
      <c r="E295" s="211"/>
      <c r="F295" s="370">
        <f t="shared" si="9"/>
        <v>0</v>
      </c>
      <c r="G295" s="917"/>
    </row>
    <row r="296" spans="1:9" s="216" customFormat="1" ht="13.5" thickBot="1" x14ac:dyDescent="0.25">
      <c r="A296" s="1979"/>
      <c r="B296" s="346" t="s">
        <v>237</v>
      </c>
      <c r="C296" s="661" t="s">
        <v>858</v>
      </c>
      <c r="D296" s="307">
        <v>0</v>
      </c>
      <c r="E296" s="307">
        <f>SUM(E292:E295)</f>
        <v>25854000</v>
      </c>
      <c r="F296" s="582">
        <f t="shared" si="9"/>
        <v>25854000</v>
      </c>
      <c r="G296" s="915"/>
      <c r="H296" s="595">
        <f>'Sumář  výdaje kapitol'!BY62</f>
        <v>9200000</v>
      </c>
      <c r="I296" s="595">
        <f>H296-F296</f>
        <v>-16654000</v>
      </c>
    </row>
    <row r="297" spans="1:9" s="92" customFormat="1" ht="15" customHeight="1" outlineLevel="1" x14ac:dyDescent="0.2">
      <c r="A297" s="1979"/>
      <c r="B297" s="235"/>
      <c r="C297" s="462" t="s">
        <v>334</v>
      </c>
      <c r="D297" s="278">
        <v>0</v>
      </c>
      <c r="E297" s="278">
        <v>0</v>
      </c>
      <c r="F297" s="369">
        <f t="shared" si="9"/>
        <v>0</v>
      </c>
      <c r="G297" s="917"/>
    </row>
    <row r="298" spans="1:9" s="92" customFormat="1" ht="15" customHeight="1" outlineLevel="1" x14ac:dyDescent="0.2">
      <c r="A298" s="1979"/>
      <c r="B298" s="107"/>
      <c r="C298" s="659" t="s">
        <v>331</v>
      </c>
      <c r="D298" s="211">
        <v>0</v>
      </c>
      <c r="E298" s="211">
        <v>0</v>
      </c>
      <c r="F298" s="370">
        <f t="shared" si="9"/>
        <v>0</v>
      </c>
      <c r="G298" s="917"/>
    </row>
    <row r="299" spans="1:9" s="92" customFormat="1" ht="15" customHeight="1" outlineLevel="1" x14ac:dyDescent="0.2">
      <c r="A299" s="1979"/>
      <c r="B299" s="107"/>
      <c r="C299" s="659" t="s">
        <v>332</v>
      </c>
      <c r="D299" s="211">
        <v>0</v>
      </c>
      <c r="E299" s="211">
        <v>0</v>
      </c>
      <c r="F299" s="370">
        <f t="shared" si="9"/>
        <v>0</v>
      </c>
      <c r="G299" s="917"/>
    </row>
    <row r="300" spans="1:9" s="92" customFormat="1" outlineLevel="1" x14ac:dyDescent="0.2">
      <c r="A300" s="1979"/>
      <c r="B300" s="107"/>
      <c r="C300" s="659" t="s">
        <v>397</v>
      </c>
      <c r="D300" s="211">
        <v>0</v>
      </c>
      <c r="E300" s="211">
        <v>0</v>
      </c>
      <c r="F300" s="370">
        <f t="shared" si="9"/>
        <v>0</v>
      </c>
      <c r="G300" s="917"/>
    </row>
    <row r="301" spans="1:9" s="216" customFormat="1" ht="13.5" thickBot="1" x14ac:dyDescent="0.25">
      <c r="A301" s="1979"/>
      <c r="B301" s="346" t="s">
        <v>237</v>
      </c>
      <c r="C301" s="661" t="s">
        <v>861</v>
      </c>
      <c r="D301" s="307">
        <v>0</v>
      </c>
      <c r="E301" s="307">
        <f>SUM(E297:E300)</f>
        <v>0</v>
      </c>
      <c r="F301" s="582">
        <f t="shared" si="9"/>
        <v>0</v>
      </c>
      <c r="G301" s="915"/>
    </row>
    <row r="302" spans="1:9" s="92" customFormat="1" ht="15" customHeight="1" outlineLevel="1" x14ac:dyDescent="0.2">
      <c r="A302" s="1979"/>
      <c r="B302" s="235"/>
      <c r="C302" s="462" t="s">
        <v>334</v>
      </c>
      <c r="D302" s="278">
        <v>0</v>
      </c>
      <c r="E302" s="278">
        <v>0</v>
      </c>
      <c r="F302" s="369">
        <f t="shared" si="9"/>
        <v>0</v>
      </c>
      <c r="G302" s="917"/>
    </row>
    <row r="303" spans="1:9" s="92" customFormat="1" ht="15" customHeight="1" outlineLevel="1" x14ac:dyDescent="0.2">
      <c r="A303" s="1979"/>
      <c r="B303" s="107"/>
      <c r="C303" s="659" t="s">
        <v>331</v>
      </c>
      <c r="D303" s="211">
        <v>0</v>
      </c>
      <c r="E303" s="211">
        <v>0</v>
      </c>
      <c r="F303" s="370">
        <f t="shared" si="9"/>
        <v>0</v>
      </c>
      <c r="G303" s="917"/>
    </row>
    <row r="304" spans="1:9" s="92" customFormat="1" ht="15" customHeight="1" outlineLevel="1" x14ac:dyDescent="0.2">
      <c r="A304" s="1979"/>
      <c r="B304" s="107"/>
      <c r="C304" s="659" t="s">
        <v>332</v>
      </c>
      <c r="D304" s="211">
        <v>0</v>
      </c>
      <c r="E304" s="211">
        <v>0</v>
      </c>
      <c r="F304" s="370">
        <f t="shared" si="9"/>
        <v>0</v>
      </c>
      <c r="G304" s="917"/>
    </row>
    <row r="305" spans="1:9" s="92" customFormat="1" outlineLevel="1" x14ac:dyDescent="0.2">
      <c r="A305" s="1979"/>
      <c r="B305" s="107"/>
      <c r="C305" s="659" t="s">
        <v>397</v>
      </c>
      <c r="D305" s="211">
        <v>0</v>
      </c>
      <c r="E305" s="211">
        <v>0</v>
      </c>
      <c r="F305" s="370">
        <f t="shared" si="9"/>
        <v>0</v>
      </c>
      <c r="G305" s="917"/>
    </row>
    <row r="306" spans="1:9" s="216" customFormat="1" ht="13.5" thickBot="1" x14ac:dyDescent="0.25">
      <c r="A306" s="1980"/>
      <c r="B306" s="346" t="s">
        <v>237</v>
      </c>
      <c r="C306" s="661" t="s">
        <v>860</v>
      </c>
      <c r="D306" s="307">
        <v>0</v>
      </c>
      <c r="E306" s="307">
        <f>SUM(E302:E305)</f>
        <v>0</v>
      </c>
      <c r="F306" s="582">
        <f t="shared" si="9"/>
        <v>0</v>
      </c>
      <c r="G306" s="915"/>
    </row>
    <row r="307" spans="1:9" s="216" customFormat="1" ht="13.5" thickBot="1" x14ac:dyDescent="0.25">
      <c r="A307" s="900"/>
      <c r="B307" s="901"/>
      <c r="C307" s="901"/>
      <c r="D307" s="901"/>
      <c r="E307" s="901"/>
      <c r="F307" s="902"/>
      <c r="G307" s="913"/>
    </row>
    <row r="308" spans="1:9" s="92" customFormat="1" ht="15" customHeight="1" outlineLevel="1" x14ac:dyDescent="0.2">
      <c r="A308" s="1976"/>
      <c r="B308" s="104"/>
      <c r="C308" s="671" t="s">
        <v>334</v>
      </c>
      <c r="D308" s="278">
        <v>0</v>
      </c>
      <c r="E308" s="278">
        <v>0</v>
      </c>
      <c r="F308" s="369">
        <f>E308-D308</f>
        <v>0</v>
      </c>
      <c r="G308" s="917"/>
    </row>
    <row r="309" spans="1:9" s="92" customFormat="1" ht="15" customHeight="1" outlineLevel="1" x14ac:dyDescent="0.2">
      <c r="A309" s="1974"/>
      <c r="B309" s="107"/>
      <c r="C309" s="659" t="s">
        <v>331</v>
      </c>
      <c r="D309" s="211">
        <v>0</v>
      </c>
      <c r="E309" s="211">
        <v>0</v>
      </c>
      <c r="F309" s="370">
        <f>E309-D309</f>
        <v>0</v>
      </c>
      <c r="G309" s="917"/>
    </row>
    <row r="310" spans="1:9" s="92" customFormat="1" ht="15" customHeight="1" outlineLevel="1" x14ac:dyDescent="0.2">
      <c r="A310" s="1974"/>
      <c r="B310" s="107"/>
      <c r="C310" s="659" t="s">
        <v>332</v>
      </c>
      <c r="D310" s="211">
        <v>0</v>
      </c>
      <c r="E310" s="211">
        <v>0</v>
      </c>
      <c r="F310" s="370">
        <f>E310-D310</f>
        <v>0</v>
      </c>
      <c r="G310" s="917"/>
    </row>
    <row r="311" spans="1:9" s="92" customFormat="1" outlineLevel="1" x14ac:dyDescent="0.2">
      <c r="A311" s="1975"/>
      <c r="B311" s="107"/>
      <c r="C311" s="659" t="s">
        <v>397</v>
      </c>
      <c r="D311" s="211">
        <v>0</v>
      </c>
      <c r="E311" s="211">
        <v>0</v>
      </c>
      <c r="F311" s="370">
        <f>E311-D311</f>
        <v>0</v>
      </c>
      <c r="G311" s="917"/>
    </row>
    <row r="312" spans="1:9" s="216" customFormat="1" ht="13.5" thickBot="1" x14ac:dyDescent="0.25">
      <c r="A312" s="345">
        <v>2310</v>
      </c>
      <c r="B312" s="303" t="s">
        <v>235</v>
      </c>
      <c r="C312" s="661"/>
      <c r="D312" s="307">
        <v>0</v>
      </c>
      <c r="E312" s="307">
        <f>SUM(E308:E311)</f>
        <v>0</v>
      </c>
      <c r="F312" s="582">
        <f>E312-D312</f>
        <v>0</v>
      </c>
      <c r="G312" s="915"/>
    </row>
    <row r="313" spans="1:9" s="216" customFormat="1" ht="13.5" thickBot="1" x14ac:dyDescent="0.25">
      <c r="A313" s="900"/>
      <c r="B313" s="901"/>
      <c r="C313" s="901"/>
      <c r="D313" s="901"/>
      <c r="E313" s="901"/>
      <c r="F313" s="902"/>
      <c r="G313" s="913"/>
    </row>
    <row r="314" spans="1:9" s="92" customFormat="1" ht="15" customHeight="1" outlineLevel="1" x14ac:dyDescent="0.2">
      <c r="A314" s="1976"/>
      <c r="B314" s="235"/>
      <c r="C314" s="277" t="s">
        <v>859</v>
      </c>
      <c r="D314" s="278">
        <v>30000</v>
      </c>
      <c r="E314" s="278">
        <v>30000</v>
      </c>
      <c r="F314" s="369">
        <f>E314-D314</f>
        <v>0</v>
      </c>
      <c r="G314" s="917"/>
    </row>
    <row r="315" spans="1:9" s="92" customFormat="1" outlineLevel="1" x14ac:dyDescent="0.2">
      <c r="A315" s="1975"/>
      <c r="B315" s="107"/>
      <c r="C315" s="659" t="s">
        <v>450</v>
      </c>
      <c r="D315" s="211">
        <v>30000</v>
      </c>
      <c r="E315" s="211">
        <v>30000</v>
      </c>
      <c r="F315" s="370">
        <f>E315-D315</f>
        <v>0</v>
      </c>
      <c r="G315" s="917"/>
    </row>
    <row r="316" spans="1:9" s="216" customFormat="1" ht="13.5" thickBot="1" x14ac:dyDescent="0.25">
      <c r="A316" s="345">
        <v>3329</v>
      </c>
      <c r="B316" s="303" t="s">
        <v>247</v>
      </c>
      <c r="C316" s="303" t="s">
        <v>247</v>
      </c>
      <c r="D316" s="307">
        <v>60000</v>
      </c>
      <c r="E316" s="307">
        <f>SUM(E314:E315)</f>
        <v>60000</v>
      </c>
      <c r="F316" s="582">
        <f>E316-D316</f>
        <v>0</v>
      </c>
      <c r="G316" s="915"/>
      <c r="H316" s="595">
        <f>'Sumář  výdaje kapitol'!CW62</f>
        <v>90000</v>
      </c>
      <c r="I316" s="595">
        <f>H316-F316</f>
        <v>90000</v>
      </c>
    </row>
    <row r="317" spans="1:9" s="216" customFormat="1" ht="13.5" thickBot="1" x14ac:dyDescent="0.25">
      <c r="A317" s="664"/>
      <c r="B317" s="665"/>
      <c r="C317" s="665"/>
      <c r="D317" s="666"/>
      <c r="E317" s="666"/>
      <c r="F317" s="667"/>
      <c r="G317" s="915"/>
    </row>
    <row r="318" spans="1:9" s="92" customFormat="1" ht="15" customHeight="1" outlineLevel="1" x14ac:dyDescent="0.2">
      <c r="A318" s="1976"/>
      <c r="B318" s="104"/>
      <c r="C318" s="671" t="s">
        <v>334</v>
      </c>
      <c r="D318" s="278">
        <v>110000</v>
      </c>
      <c r="E318" s="278">
        <v>210000</v>
      </c>
      <c r="F318" s="369">
        <f>E318-D318</f>
        <v>100000</v>
      </c>
      <c r="G318" s="917"/>
    </row>
    <row r="319" spans="1:9" s="92" customFormat="1" ht="15" customHeight="1" outlineLevel="1" x14ac:dyDescent="0.2">
      <c r="A319" s="1974"/>
      <c r="B319" s="107"/>
      <c r="C319" s="659" t="s">
        <v>331</v>
      </c>
      <c r="D319" s="211">
        <v>0</v>
      </c>
      <c r="E319" s="211">
        <v>0</v>
      </c>
      <c r="F319" s="370">
        <f>E319-D319</f>
        <v>0</v>
      </c>
      <c r="G319" s="917"/>
    </row>
    <row r="320" spans="1:9" s="92" customFormat="1" ht="15" customHeight="1" outlineLevel="1" x14ac:dyDescent="0.2">
      <c r="A320" s="1974"/>
      <c r="B320" s="107"/>
      <c r="C320" s="659" t="s">
        <v>332</v>
      </c>
      <c r="D320" s="211">
        <v>0</v>
      </c>
      <c r="E320" s="211">
        <v>0</v>
      </c>
      <c r="F320" s="370">
        <f>E320-D320</f>
        <v>0</v>
      </c>
      <c r="G320" s="917"/>
    </row>
    <row r="321" spans="1:9" s="92" customFormat="1" outlineLevel="1" x14ac:dyDescent="0.2">
      <c r="A321" s="1975"/>
      <c r="B321" s="107"/>
      <c r="C321" s="659" t="s">
        <v>397</v>
      </c>
      <c r="D321" s="211">
        <v>0</v>
      </c>
      <c r="E321" s="211">
        <v>0</v>
      </c>
      <c r="F321" s="370">
        <f>E321-D321</f>
        <v>0</v>
      </c>
      <c r="G321" s="917"/>
    </row>
    <row r="322" spans="1:9" s="216" customFormat="1" ht="13.5" thickBot="1" x14ac:dyDescent="0.25">
      <c r="A322" s="345" t="s">
        <v>459</v>
      </c>
      <c r="B322" s="303" t="s">
        <v>863</v>
      </c>
      <c r="C322" s="661" t="s">
        <v>497</v>
      </c>
      <c r="D322" s="307">
        <v>110000</v>
      </c>
      <c r="E322" s="307">
        <f>SUM(E318:E321)</f>
        <v>210000</v>
      </c>
      <c r="F322" s="582">
        <f>E322-D322</f>
        <v>100000</v>
      </c>
      <c r="G322" s="915"/>
      <c r="H322" s="595">
        <f>'Sumář  výdaje kapitol'!CT62</f>
        <v>2058000</v>
      </c>
      <c r="I322" s="595">
        <f>H322-F322</f>
        <v>1958000</v>
      </c>
    </row>
    <row r="323" spans="1:9" s="216" customFormat="1" ht="13.5" thickBot="1" x14ac:dyDescent="0.25">
      <c r="A323" s="664"/>
      <c r="B323" s="665"/>
      <c r="C323" s="665"/>
      <c r="D323" s="666"/>
      <c r="E323" s="666"/>
      <c r="F323" s="667"/>
      <c r="G323" s="915"/>
    </row>
    <row r="324" spans="1:9" s="92" customFormat="1" ht="15" customHeight="1" outlineLevel="1" x14ac:dyDescent="0.2">
      <c r="A324" s="1976"/>
      <c r="B324" s="104"/>
      <c r="C324" s="671" t="s">
        <v>334</v>
      </c>
      <c r="D324" s="278">
        <v>0</v>
      </c>
      <c r="E324" s="278">
        <v>0</v>
      </c>
      <c r="F324" s="369">
        <f>E324-D324</f>
        <v>0</v>
      </c>
      <c r="G324" s="917"/>
    </row>
    <row r="325" spans="1:9" s="92" customFormat="1" ht="15" customHeight="1" outlineLevel="1" x14ac:dyDescent="0.2">
      <c r="A325" s="1974"/>
      <c r="B325" s="107"/>
      <c r="C325" s="659" t="s">
        <v>331</v>
      </c>
      <c r="D325" s="211">
        <v>0</v>
      </c>
      <c r="E325" s="211">
        <v>0</v>
      </c>
      <c r="F325" s="370">
        <f>E325-D325</f>
        <v>0</v>
      </c>
      <c r="G325" s="917"/>
    </row>
    <row r="326" spans="1:9" s="92" customFormat="1" ht="15" customHeight="1" outlineLevel="1" x14ac:dyDescent="0.2">
      <c r="A326" s="1974"/>
      <c r="B326" s="107"/>
      <c r="C326" s="659" t="s">
        <v>332</v>
      </c>
      <c r="D326" s="211">
        <v>0</v>
      </c>
      <c r="E326" s="211">
        <v>0</v>
      </c>
      <c r="F326" s="370">
        <f>E326-D326</f>
        <v>0</v>
      </c>
      <c r="G326" s="917"/>
    </row>
    <row r="327" spans="1:9" s="92" customFormat="1" outlineLevel="1" x14ac:dyDescent="0.2">
      <c r="A327" s="1975"/>
      <c r="B327" s="107"/>
      <c r="C327" s="659" t="s">
        <v>450</v>
      </c>
      <c r="D327" s="211">
        <v>30000</v>
      </c>
      <c r="E327" s="211">
        <v>30000</v>
      </c>
      <c r="F327" s="370">
        <f>E327-D327</f>
        <v>0</v>
      </c>
      <c r="G327" s="917"/>
    </row>
    <row r="328" spans="1:9" s="216" customFormat="1" ht="13.5" thickBot="1" x14ac:dyDescent="0.25">
      <c r="A328" s="345">
        <v>3744</v>
      </c>
      <c r="B328" s="303" t="s">
        <v>244</v>
      </c>
      <c r="C328" s="661"/>
      <c r="D328" s="307">
        <v>30000</v>
      </c>
      <c r="E328" s="307">
        <f>SUM(E324:E327)</f>
        <v>30000</v>
      </c>
      <c r="F328" s="582">
        <f>E328-D328</f>
        <v>0</v>
      </c>
      <c r="G328" s="915"/>
      <c r="H328" s="595">
        <f>'Sumář  výdaje kapitol'!CN62</f>
        <v>0</v>
      </c>
      <c r="I328" s="595">
        <f>H328-F328</f>
        <v>0</v>
      </c>
    </row>
    <row r="329" spans="1:9" s="216" customFormat="1" ht="13.5" thickBot="1" x14ac:dyDescent="0.25">
      <c r="A329" s="900"/>
      <c r="B329" s="901"/>
      <c r="C329" s="901"/>
      <c r="D329" s="901"/>
      <c r="E329" s="901"/>
      <c r="F329" s="902"/>
      <c r="G329" s="913"/>
    </row>
    <row r="330" spans="1:9" s="92" customFormat="1" ht="15" customHeight="1" outlineLevel="1" x14ac:dyDescent="0.2">
      <c r="A330" s="1978" t="s">
        <v>270</v>
      </c>
      <c r="B330" s="104"/>
      <c r="C330" s="671" t="s">
        <v>1136</v>
      </c>
      <c r="D330" s="278">
        <v>0</v>
      </c>
      <c r="E330" s="278">
        <v>200000</v>
      </c>
      <c r="F330" s="369">
        <f t="shared" ref="F330:F340" si="10">E330-D330</f>
        <v>200000</v>
      </c>
      <c r="G330" s="917"/>
    </row>
    <row r="331" spans="1:9" s="92" customFormat="1" ht="15" customHeight="1" outlineLevel="1" x14ac:dyDescent="0.2">
      <c r="A331" s="1979"/>
      <c r="B331" s="107"/>
      <c r="C331" s="462" t="s">
        <v>331</v>
      </c>
      <c r="D331" s="278">
        <v>0</v>
      </c>
      <c r="E331" s="278">
        <v>0</v>
      </c>
      <c r="F331" s="369">
        <f t="shared" si="10"/>
        <v>0</v>
      </c>
      <c r="G331" s="917"/>
    </row>
    <row r="332" spans="1:9" s="92" customFormat="1" ht="15" customHeight="1" outlineLevel="1" x14ac:dyDescent="0.2">
      <c r="A332" s="1979"/>
      <c r="B332" s="107"/>
      <c r="C332" s="462" t="s">
        <v>332</v>
      </c>
      <c r="D332" s="278">
        <v>0</v>
      </c>
      <c r="E332" s="278">
        <v>0</v>
      </c>
      <c r="F332" s="369">
        <f t="shared" si="10"/>
        <v>0</v>
      </c>
      <c r="G332" s="917"/>
    </row>
    <row r="333" spans="1:9" s="92" customFormat="1" ht="15" customHeight="1" outlineLevel="1" x14ac:dyDescent="0.2">
      <c r="A333" s="1979"/>
      <c r="B333" s="107"/>
      <c r="C333" s="462" t="s">
        <v>397</v>
      </c>
      <c r="D333" s="278">
        <v>0</v>
      </c>
      <c r="E333" s="278">
        <v>0</v>
      </c>
      <c r="F333" s="369">
        <f t="shared" si="10"/>
        <v>0</v>
      </c>
      <c r="G333" s="917"/>
    </row>
    <row r="334" spans="1:9" s="216" customFormat="1" ht="13.5" thickBot="1" x14ac:dyDescent="0.25">
      <c r="A334" s="1979"/>
      <c r="B334" s="303" t="s">
        <v>248</v>
      </c>
      <c r="C334" s="661" t="s">
        <v>415</v>
      </c>
      <c r="D334" s="307">
        <v>0</v>
      </c>
      <c r="E334" s="307">
        <f>SUM(E330:E333)</f>
        <v>200000</v>
      </c>
      <c r="F334" s="582">
        <f t="shared" si="10"/>
        <v>200000</v>
      </c>
      <c r="G334" s="915"/>
      <c r="H334" s="595">
        <f>+F334+F339</f>
        <v>50000</v>
      </c>
      <c r="I334" s="595">
        <f>'Sumář  výdaje kapitol'!CX62-H334</f>
        <v>22000</v>
      </c>
    </row>
    <row r="335" spans="1:9" s="92" customFormat="1" ht="15" customHeight="1" outlineLevel="1" x14ac:dyDescent="0.2">
      <c r="A335" s="1979"/>
      <c r="B335" s="107"/>
      <c r="C335" s="462" t="s">
        <v>1135</v>
      </c>
      <c r="D335" s="278">
        <v>500000</v>
      </c>
      <c r="E335" s="278">
        <v>350000</v>
      </c>
      <c r="F335" s="369">
        <f t="shared" si="10"/>
        <v>-150000</v>
      </c>
      <c r="G335" s="917"/>
    </row>
    <row r="336" spans="1:9" s="92" customFormat="1" ht="15" customHeight="1" outlineLevel="1" x14ac:dyDescent="0.2">
      <c r="A336" s="1979"/>
      <c r="B336" s="107"/>
      <c r="C336" s="462" t="s">
        <v>331</v>
      </c>
      <c r="D336" s="278">
        <v>0</v>
      </c>
      <c r="E336" s="278">
        <v>0</v>
      </c>
      <c r="F336" s="369">
        <f t="shared" si="10"/>
        <v>0</v>
      </c>
      <c r="G336" s="917"/>
    </row>
    <row r="337" spans="1:7" s="92" customFormat="1" ht="15" customHeight="1" outlineLevel="1" x14ac:dyDescent="0.2">
      <c r="A337" s="1979"/>
      <c r="B337" s="107"/>
      <c r="C337" s="462" t="s">
        <v>332</v>
      </c>
      <c r="D337" s="278">
        <v>0</v>
      </c>
      <c r="E337" s="278">
        <v>0</v>
      </c>
      <c r="F337" s="369">
        <f t="shared" si="10"/>
        <v>0</v>
      </c>
      <c r="G337" s="917"/>
    </row>
    <row r="338" spans="1:7" s="92" customFormat="1" ht="15" customHeight="1" outlineLevel="1" x14ac:dyDescent="0.2">
      <c r="A338" s="1979"/>
      <c r="B338" s="107"/>
      <c r="C338" s="462" t="s">
        <v>397</v>
      </c>
      <c r="D338" s="278">
        <v>0</v>
      </c>
      <c r="E338" s="278">
        <v>0</v>
      </c>
      <c r="F338" s="369">
        <f t="shared" si="10"/>
        <v>0</v>
      </c>
      <c r="G338" s="917"/>
    </row>
    <row r="339" spans="1:7" s="216" customFormat="1" ht="13.5" thickBot="1" x14ac:dyDescent="0.25">
      <c r="A339" s="1980"/>
      <c r="B339" s="303" t="s">
        <v>248</v>
      </c>
      <c r="C339" s="661" t="s">
        <v>862</v>
      </c>
      <c r="D339" s="307">
        <v>500000</v>
      </c>
      <c r="E339" s="307">
        <f>SUM(E335:E338)</f>
        <v>350000</v>
      </c>
      <c r="F339" s="582">
        <f t="shared" si="10"/>
        <v>-150000</v>
      </c>
      <c r="G339" s="915"/>
    </row>
    <row r="340" spans="1:7" s="95" customFormat="1" ht="20.100000000000001" customHeight="1" thickBot="1" x14ac:dyDescent="0.3">
      <c r="A340" s="110"/>
      <c r="B340" s="111"/>
      <c r="C340" s="112" t="s">
        <v>2</v>
      </c>
      <c r="D340" s="97">
        <v>16895310</v>
      </c>
      <c r="E340" s="97" t="e">
        <f>+E10+E19+E27+E35+E43+E51+E59+E63+E70+E77+E81+E86+E90+E94+E98+E107+E116+E123+E131+E140+E148+E156+E166+E186+E192+E196+E203+E208+E214+E219+E224+E229+E234+E239+E244+E249+E259+E264+E269+E274+E279+E284+E290+E296+E301+E306+E312+E316+E334+E339+E322+E328+E254+E103+E180+E173</f>
        <v>#REF!</v>
      </c>
      <c r="F340" s="584" t="e">
        <f t="shared" si="10"/>
        <v>#REF!</v>
      </c>
      <c r="G340" s="920"/>
    </row>
    <row r="341" spans="1:7" x14ac:dyDescent="0.2">
      <c r="D341" s="84">
        <f>'Sumář  výdaje kapitol'!D62</f>
        <v>16895310</v>
      </c>
      <c r="E341" s="84">
        <f>'Sumář  výdaje kapitol'!I62</f>
        <v>93030616.960000008</v>
      </c>
    </row>
    <row r="342" spans="1:7" x14ac:dyDescent="0.2">
      <c r="D342" s="84">
        <f>D341-D340</f>
        <v>0</v>
      </c>
      <c r="E342" s="84" t="e">
        <f>E341-E340</f>
        <v>#REF!</v>
      </c>
    </row>
    <row r="343" spans="1:7" x14ac:dyDescent="0.2">
      <c r="A343" s="497" t="s">
        <v>1028</v>
      </c>
      <c r="D343" s="461"/>
    </row>
  </sheetData>
  <mergeCells count="22">
    <mergeCell ref="A324:A327"/>
    <mergeCell ref="A105:A106"/>
    <mergeCell ref="A96:A97"/>
    <mergeCell ref="A292:A306"/>
    <mergeCell ref="A330:A339"/>
    <mergeCell ref="A308:A311"/>
    <mergeCell ref="A314:A315"/>
    <mergeCell ref="A286:A289"/>
    <mergeCell ref="A101:A102"/>
    <mergeCell ref="A8:A9"/>
    <mergeCell ref="A318:A321"/>
    <mergeCell ref="A92:A93"/>
    <mergeCell ref="A142:A147"/>
    <mergeCell ref="A158:A165"/>
    <mergeCell ref="A150:A155"/>
    <mergeCell ref="A12:A59"/>
    <mergeCell ref="A167:A284"/>
    <mergeCell ref="A88:A89"/>
    <mergeCell ref="A109:A123"/>
    <mergeCell ref="A61:A86"/>
    <mergeCell ref="A133:A139"/>
    <mergeCell ref="A125:A130"/>
  </mergeCells>
  <phoneticPr fontId="5" type="noConversion"/>
  <pageMargins left="0.31496062992125984" right="0.31496062992125984" top="0.19685039370078741" bottom="0.19685039370078741" header="0.31496062992125984" footer="0.31496062992125984"/>
  <pageSetup paperSize="9" scale="61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6"/>
  <sheetViews>
    <sheetView workbookViewId="0"/>
  </sheetViews>
  <sheetFormatPr defaultRowHeight="12.75" outlineLevelRow="1" x14ac:dyDescent="0.2"/>
  <cols>
    <col min="1" max="2" width="9.7109375" style="82" customWidth="1"/>
    <col min="3" max="3" width="67.85546875" style="82" bestFit="1" customWidth="1"/>
    <col min="4" max="4" width="17" style="82" customWidth="1"/>
    <col min="5" max="5" width="14.85546875" style="82" customWidth="1"/>
    <col min="6" max="6" width="11.85546875" style="585" customWidth="1"/>
    <col min="7" max="7" width="50" style="585" customWidth="1"/>
    <col min="8" max="8" width="9.85546875" style="82" bestFit="1" customWidth="1"/>
    <col min="9" max="16384" width="9.140625" style="82"/>
  </cols>
  <sheetData>
    <row r="2" spans="1:8" ht="20.25" customHeight="1" x14ac:dyDescent="0.35">
      <c r="A2" s="3" t="s">
        <v>816</v>
      </c>
      <c r="B2" s="208"/>
      <c r="C2" s="178"/>
    </row>
    <row r="4" spans="1:8" ht="20.100000000000001" customHeight="1" x14ac:dyDescent="0.3">
      <c r="A4" s="83" t="s">
        <v>1039</v>
      </c>
      <c r="B4" s="83"/>
    </row>
    <row r="5" spans="1:8" ht="15" customHeight="1" thickBot="1" x14ac:dyDescent="0.35">
      <c r="A5" s="83"/>
      <c r="B5" s="83"/>
    </row>
    <row r="6" spans="1:8" s="85" customFormat="1" ht="35.25" customHeight="1" thickBot="1" x14ac:dyDescent="0.2">
      <c r="A6" s="99" t="s">
        <v>190</v>
      </c>
      <c r="B6" s="100" t="s">
        <v>838</v>
      </c>
      <c r="C6" s="99" t="s">
        <v>4</v>
      </c>
      <c r="D6" s="101" t="s">
        <v>817</v>
      </c>
      <c r="E6" s="101" t="s">
        <v>1076</v>
      </c>
      <c r="F6" s="577" t="s">
        <v>7</v>
      </c>
      <c r="G6" s="926"/>
    </row>
    <row r="7" spans="1:8" s="88" customFormat="1" ht="16.5" thickBot="1" x14ac:dyDescent="0.3">
      <c r="A7" s="430"/>
      <c r="B7" s="431" t="s">
        <v>3</v>
      </c>
      <c r="C7" s="430"/>
      <c r="D7" s="658"/>
      <c r="E7" s="658"/>
      <c r="F7" s="573"/>
      <c r="G7" s="927"/>
    </row>
    <row r="8" spans="1:8" s="92" customFormat="1" outlineLevel="1" x14ac:dyDescent="0.2">
      <c r="A8" s="1974"/>
      <c r="B8" s="107"/>
      <c r="C8" s="222" t="s">
        <v>865</v>
      </c>
      <c r="D8" s="209">
        <v>1000000</v>
      </c>
      <c r="E8" s="209">
        <v>150000</v>
      </c>
      <c r="F8" s="579">
        <f t="shared" ref="F8:F35" si="0">D8-E8</f>
        <v>850000</v>
      </c>
      <c r="G8" s="928"/>
    </row>
    <row r="9" spans="1:8" s="92" customFormat="1" outlineLevel="1" x14ac:dyDescent="0.2">
      <c r="A9" s="1975"/>
      <c r="B9" s="107"/>
      <c r="C9" s="659"/>
      <c r="D9" s="209">
        <v>0</v>
      </c>
      <c r="E9" s="209">
        <v>0</v>
      </c>
      <c r="F9" s="579">
        <f t="shared" si="0"/>
        <v>0</v>
      </c>
      <c r="G9" s="928"/>
    </row>
    <row r="10" spans="1:8" s="216" customFormat="1" ht="13.5" thickBot="1" x14ac:dyDescent="0.25">
      <c r="A10" s="345">
        <v>3314</v>
      </c>
      <c r="B10" s="346" t="s">
        <v>294</v>
      </c>
      <c r="C10" s="303"/>
      <c r="D10" s="307">
        <v>1000000</v>
      </c>
      <c r="E10" s="307">
        <f>SUM(E8:E9)</f>
        <v>150000</v>
      </c>
      <c r="F10" s="582">
        <f t="shared" si="0"/>
        <v>850000</v>
      </c>
      <c r="G10" s="929">
        <f>'Sumář  výdaje kapitol'!V63</f>
        <v>0</v>
      </c>
      <c r="H10" s="595">
        <f>G10-F10</f>
        <v>-850000</v>
      </c>
    </row>
    <row r="11" spans="1:8" s="92" customFormat="1" ht="13.5" thickBot="1" x14ac:dyDescent="0.25">
      <c r="A11" s="909"/>
      <c r="B11" s="910"/>
      <c r="C11" s="910"/>
      <c r="D11" s="910"/>
      <c r="E11" s="910"/>
      <c r="F11" s="911"/>
      <c r="G11" s="928"/>
    </row>
    <row r="12" spans="1:8" s="92" customFormat="1" outlineLevel="1" x14ac:dyDescent="0.2">
      <c r="A12" s="1978"/>
      <c r="B12" s="104"/>
      <c r="C12" s="671" t="s">
        <v>865</v>
      </c>
      <c r="D12" s="278">
        <v>0</v>
      </c>
      <c r="E12" s="278">
        <v>0</v>
      </c>
      <c r="F12" s="369">
        <f t="shared" si="0"/>
        <v>0</v>
      </c>
      <c r="G12" s="928"/>
    </row>
    <row r="13" spans="1:8" s="92" customFormat="1" outlineLevel="1" x14ac:dyDescent="0.2">
      <c r="A13" s="1979"/>
      <c r="B13" s="107"/>
      <c r="C13" s="659"/>
      <c r="D13" s="211">
        <v>0</v>
      </c>
      <c r="E13" s="211">
        <v>0</v>
      </c>
      <c r="F13" s="370">
        <f t="shared" si="0"/>
        <v>0</v>
      </c>
      <c r="G13" s="928"/>
    </row>
    <row r="14" spans="1:8" s="216" customFormat="1" ht="13.5" thickBot="1" x14ac:dyDescent="0.25">
      <c r="A14" s="1979"/>
      <c r="B14" s="660" t="s">
        <v>216</v>
      </c>
      <c r="C14" s="661" t="s">
        <v>826</v>
      </c>
      <c r="D14" s="307">
        <v>0</v>
      </c>
      <c r="E14" s="307">
        <f>SUM(E12:E13)</f>
        <v>0</v>
      </c>
      <c r="F14" s="582">
        <f t="shared" si="0"/>
        <v>0</v>
      </c>
      <c r="G14" s="929">
        <f>+D14+D17+D20+D23+D26+D29</f>
        <v>0</v>
      </c>
      <c r="H14" s="595">
        <f>G14-'Sumář  výdaje kapitol'!Y63</f>
        <v>-150000</v>
      </c>
    </row>
    <row r="15" spans="1:8" s="92" customFormat="1" outlineLevel="1" x14ac:dyDescent="0.2">
      <c r="A15" s="1979"/>
      <c r="B15" s="107"/>
      <c r="C15" s="462" t="s">
        <v>865</v>
      </c>
      <c r="D15" s="278">
        <v>0</v>
      </c>
      <c r="E15" s="278">
        <v>0</v>
      </c>
      <c r="F15" s="369">
        <f t="shared" si="0"/>
        <v>0</v>
      </c>
      <c r="G15" s="928"/>
    </row>
    <row r="16" spans="1:8" s="92" customFormat="1" outlineLevel="1" x14ac:dyDescent="0.2">
      <c r="A16" s="1979"/>
      <c r="B16" s="107"/>
      <c r="C16" s="462"/>
      <c r="D16" s="278">
        <v>0</v>
      </c>
      <c r="E16" s="278">
        <v>0</v>
      </c>
      <c r="F16" s="369">
        <f t="shared" si="0"/>
        <v>0</v>
      </c>
      <c r="G16" s="928"/>
    </row>
    <row r="17" spans="1:7" s="216" customFormat="1" ht="13.5" thickBot="1" x14ac:dyDescent="0.25">
      <c r="A17" s="1979"/>
      <c r="B17" s="660" t="s">
        <v>216</v>
      </c>
      <c r="C17" s="661" t="s">
        <v>828</v>
      </c>
      <c r="D17" s="307">
        <v>0</v>
      </c>
      <c r="E17" s="307">
        <f>SUM(E15:E16)</f>
        <v>0</v>
      </c>
      <c r="F17" s="582">
        <f t="shared" si="0"/>
        <v>0</v>
      </c>
      <c r="G17" s="930"/>
    </row>
    <row r="18" spans="1:7" s="92" customFormat="1" outlineLevel="1" x14ac:dyDescent="0.2">
      <c r="A18" s="1979"/>
      <c r="B18" s="107"/>
      <c r="C18" s="462" t="s">
        <v>865</v>
      </c>
      <c r="D18" s="278">
        <v>0</v>
      </c>
      <c r="E18" s="278">
        <v>0</v>
      </c>
      <c r="F18" s="369">
        <f t="shared" si="0"/>
        <v>0</v>
      </c>
      <c r="G18" s="928"/>
    </row>
    <row r="19" spans="1:7" s="92" customFormat="1" outlineLevel="1" x14ac:dyDescent="0.2">
      <c r="A19" s="1979"/>
      <c r="B19" s="107"/>
      <c r="C19" s="462"/>
      <c r="D19" s="278">
        <v>0</v>
      </c>
      <c r="E19" s="278">
        <v>0</v>
      </c>
      <c r="F19" s="369">
        <f t="shared" si="0"/>
        <v>0</v>
      </c>
      <c r="G19" s="928"/>
    </row>
    <row r="20" spans="1:7" s="216" customFormat="1" ht="13.5" thickBot="1" x14ac:dyDescent="0.25">
      <c r="A20" s="1979"/>
      <c r="B20" s="660" t="s">
        <v>216</v>
      </c>
      <c r="C20" s="661" t="s">
        <v>829</v>
      </c>
      <c r="D20" s="307">
        <v>0</v>
      </c>
      <c r="E20" s="307">
        <f>SUM(E18:E19)</f>
        <v>0</v>
      </c>
      <c r="F20" s="582">
        <f t="shared" si="0"/>
        <v>0</v>
      </c>
      <c r="G20" s="930"/>
    </row>
    <row r="21" spans="1:7" s="92" customFormat="1" outlineLevel="1" x14ac:dyDescent="0.2">
      <c r="A21" s="1979"/>
      <c r="B21" s="107"/>
      <c r="C21" s="462" t="s">
        <v>865</v>
      </c>
      <c r="D21" s="278">
        <v>0</v>
      </c>
      <c r="E21" s="278">
        <v>0</v>
      </c>
      <c r="F21" s="369">
        <f t="shared" si="0"/>
        <v>0</v>
      </c>
      <c r="G21" s="928"/>
    </row>
    <row r="22" spans="1:7" s="92" customFormat="1" outlineLevel="1" x14ac:dyDescent="0.2">
      <c r="A22" s="1979"/>
      <c r="B22" s="107"/>
      <c r="C22" s="462"/>
      <c r="D22" s="278">
        <v>0</v>
      </c>
      <c r="E22" s="278">
        <v>0</v>
      </c>
      <c r="F22" s="369">
        <f t="shared" si="0"/>
        <v>0</v>
      </c>
      <c r="G22" s="928"/>
    </row>
    <row r="23" spans="1:7" s="216" customFormat="1" ht="13.5" thickBot="1" x14ac:dyDescent="0.25">
      <c r="A23" s="1979"/>
      <c r="B23" s="660" t="s">
        <v>216</v>
      </c>
      <c r="C23" s="661" t="s">
        <v>830</v>
      </c>
      <c r="D23" s="307">
        <v>0</v>
      </c>
      <c r="E23" s="307">
        <f>SUM(E21:E22)</f>
        <v>0</v>
      </c>
      <c r="F23" s="582">
        <f t="shared" si="0"/>
        <v>0</v>
      </c>
      <c r="G23" s="930"/>
    </row>
    <row r="24" spans="1:7" s="92" customFormat="1" outlineLevel="1" x14ac:dyDescent="0.2">
      <c r="A24" s="1979"/>
      <c r="B24" s="107"/>
      <c r="C24" s="462" t="s">
        <v>865</v>
      </c>
      <c r="D24" s="278">
        <v>0</v>
      </c>
      <c r="E24" s="278">
        <v>0</v>
      </c>
      <c r="F24" s="369">
        <f t="shared" si="0"/>
        <v>0</v>
      </c>
      <c r="G24" s="928"/>
    </row>
    <row r="25" spans="1:7" s="92" customFormat="1" outlineLevel="1" x14ac:dyDescent="0.2">
      <c r="A25" s="1979"/>
      <c r="B25" s="107"/>
      <c r="C25" s="462"/>
      <c r="D25" s="278">
        <v>0</v>
      </c>
      <c r="E25" s="278">
        <v>0</v>
      </c>
      <c r="F25" s="369">
        <f t="shared" si="0"/>
        <v>0</v>
      </c>
      <c r="G25" s="928"/>
    </row>
    <row r="26" spans="1:7" s="216" customFormat="1" ht="13.5" thickBot="1" x14ac:dyDescent="0.25">
      <c r="A26" s="1979"/>
      <c r="B26" s="660" t="s">
        <v>216</v>
      </c>
      <c r="C26" s="661" t="s">
        <v>831</v>
      </c>
      <c r="D26" s="307">
        <v>0</v>
      </c>
      <c r="E26" s="307">
        <f>SUM(E24:E25)</f>
        <v>0</v>
      </c>
      <c r="F26" s="582">
        <f t="shared" si="0"/>
        <v>0</v>
      </c>
      <c r="G26" s="930"/>
    </row>
    <row r="27" spans="1:7" s="92" customFormat="1" outlineLevel="1" x14ac:dyDescent="0.2">
      <c r="A27" s="1979"/>
      <c r="B27" s="464"/>
      <c r="C27" s="462" t="s">
        <v>865</v>
      </c>
      <c r="D27" s="278">
        <v>0</v>
      </c>
      <c r="E27" s="278">
        <v>0</v>
      </c>
      <c r="F27" s="369">
        <f t="shared" si="0"/>
        <v>0</v>
      </c>
      <c r="G27" s="928"/>
    </row>
    <row r="28" spans="1:7" s="92" customFormat="1" outlineLevel="1" x14ac:dyDescent="0.2">
      <c r="A28" s="1979"/>
      <c r="B28" s="107"/>
      <c r="C28" s="462"/>
      <c r="D28" s="278">
        <v>0</v>
      </c>
      <c r="E28" s="278">
        <v>0</v>
      </c>
      <c r="F28" s="369">
        <f t="shared" si="0"/>
        <v>0</v>
      </c>
      <c r="G28" s="928"/>
    </row>
    <row r="29" spans="1:7" s="216" customFormat="1" ht="13.5" thickBot="1" x14ac:dyDescent="0.25">
      <c r="A29" s="1980"/>
      <c r="B29" s="660" t="s">
        <v>216</v>
      </c>
      <c r="C29" s="661" t="s">
        <v>832</v>
      </c>
      <c r="D29" s="307">
        <v>0</v>
      </c>
      <c r="E29" s="307">
        <f>SUM(E27:E28)</f>
        <v>0</v>
      </c>
      <c r="F29" s="582">
        <f t="shared" si="0"/>
        <v>0</v>
      </c>
      <c r="G29" s="930"/>
    </row>
    <row r="30" spans="1:7" s="92" customFormat="1" ht="13.5" thickBot="1" x14ac:dyDescent="0.25">
      <c r="A30" s="900"/>
      <c r="B30" s="901"/>
      <c r="C30" s="901"/>
      <c r="D30" s="901"/>
      <c r="E30" s="901"/>
      <c r="F30" s="902"/>
      <c r="G30" s="928"/>
    </row>
    <row r="31" spans="1:7" s="92" customFormat="1" outlineLevel="1" x14ac:dyDescent="0.2">
      <c r="A31" s="1981">
        <v>3613</v>
      </c>
      <c r="B31" s="672"/>
      <c r="C31" s="671" t="s">
        <v>453</v>
      </c>
      <c r="D31" s="278">
        <v>0</v>
      </c>
      <c r="E31" s="278">
        <v>0</v>
      </c>
      <c r="F31" s="369">
        <f t="shared" si="0"/>
        <v>0</v>
      </c>
      <c r="G31" s="928"/>
    </row>
    <row r="32" spans="1:7" s="92" customFormat="1" outlineLevel="1" x14ac:dyDescent="0.2">
      <c r="A32" s="1982"/>
      <c r="B32" s="464"/>
      <c r="C32" s="462"/>
      <c r="D32" s="278">
        <v>0</v>
      </c>
      <c r="E32" s="278">
        <v>0</v>
      </c>
      <c r="F32" s="369">
        <f t="shared" si="0"/>
        <v>0</v>
      </c>
      <c r="G32" s="928"/>
    </row>
    <row r="33" spans="1:8" s="216" customFormat="1" ht="13.5" thickBot="1" x14ac:dyDescent="0.25">
      <c r="A33" s="1982"/>
      <c r="B33" s="660" t="s">
        <v>218</v>
      </c>
      <c r="C33" s="661" t="s">
        <v>330</v>
      </c>
      <c r="D33" s="307">
        <v>0</v>
      </c>
      <c r="E33" s="307">
        <f>SUM(E31:E32)</f>
        <v>0</v>
      </c>
      <c r="F33" s="582">
        <f t="shared" si="0"/>
        <v>0</v>
      </c>
      <c r="G33" s="929">
        <f>+E33+E36+E39+E42+E45</f>
        <v>263000</v>
      </c>
      <c r="H33" s="595">
        <f>G33-'Sumář  výdaje kapitol'!AE63</f>
        <v>216000</v>
      </c>
    </row>
    <row r="34" spans="1:8" s="92" customFormat="1" ht="15" customHeight="1" outlineLevel="1" x14ac:dyDescent="0.2">
      <c r="A34" s="1982"/>
      <c r="B34" s="464"/>
      <c r="C34" s="462" t="s">
        <v>453</v>
      </c>
      <c r="D34" s="278">
        <v>0</v>
      </c>
      <c r="E34" s="278">
        <v>0</v>
      </c>
      <c r="F34" s="369">
        <f t="shared" si="0"/>
        <v>0</v>
      </c>
      <c r="G34" s="928"/>
    </row>
    <row r="35" spans="1:8" s="92" customFormat="1" ht="15" customHeight="1" outlineLevel="1" x14ac:dyDescent="0.2">
      <c r="A35" s="1982"/>
      <c r="B35" s="464"/>
      <c r="C35" s="659"/>
      <c r="D35" s="211">
        <v>0</v>
      </c>
      <c r="E35" s="211">
        <v>0</v>
      </c>
      <c r="F35" s="370">
        <f t="shared" si="0"/>
        <v>0</v>
      </c>
      <c r="G35" s="928"/>
    </row>
    <row r="36" spans="1:8" s="216" customFormat="1" ht="15" customHeight="1" thickBot="1" x14ac:dyDescent="0.25">
      <c r="A36" s="1982"/>
      <c r="B36" s="668" t="s">
        <v>218</v>
      </c>
      <c r="C36" s="673" t="s">
        <v>454</v>
      </c>
      <c r="D36" s="307">
        <v>0</v>
      </c>
      <c r="E36" s="307">
        <f>SUM(E34:E35)</f>
        <v>0</v>
      </c>
      <c r="F36" s="582">
        <f t="shared" ref="F36:F75" si="1">D36-E36</f>
        <v>0</v>
      </c>
      <c r="G36" s="930"/>
    </row>
    <row r="37" spans="1:8" s="92" customFormat="1" ht="15" customHeight="1" outlineLevel="1" x14ac:dyDescent="0.2">
      <c r="A37" s="1982"/>
      <c r="B37" s="464"/>
      <c r="C37" s="462" t="s">
        <v>423</v>
      </c>
      <c r="D37" s="278">
        <v>0</v>
      </c>
      <c r="E37" s="278">
        <v>30000</v>
      </c>
      <c r="F37" s="369">
        <f t="shared" si="1"/>
        <v>-30000</v>
      </c>
      <c r="G37" s="928"/>
    </row>
    <row r="38" spans="1:8" s="92" customFormat="1" ht="15" customHeight="1" outlineLevel="1" x14ac:dyDescent="0.2">
      <c r="A38" s="1982"/>
      <c r="B38" s="464"/>
      <c r="C38" s="659" t="s">
        <v>866</v>
      </c>
      <c r="D38" s="278">
        <v>0</v>
      </c>
      <c r="E38" s="278">
        <v>33000</v>
      </c>
      <c r="F38" s="369">
        <f t="shared" si="1"/>
        <v>-33000</v>
      </c>
      <c r="G38" s="928"/>
    </row>
    <row r="39" spans="1:8" s="216" customFormat="1" ht="15" customHeight="1" thickBot="1" x14ac:dyDescent="0.25">
      <c r="A39" s="1982"/>
      <c r="B39" s="668" t="s">
        <v>218</v>
      </c>
      <c r="C39" s="673" t="s">
        <v>414</v>
      </c>
      <c r="D39" s="307">
        <v>0</v>
      </c>
      <c r="E39" s="307">
        <f>SUM(E37:E38)</f>
        <v>63000</v>
      </c>
      <c r="F39" s="582">
        <f t="shared" si="1"/>
        <v>-63000</v>
      </c>
      <c r="G39" s="930"/>
    </row>
    <row r="40" spans="1:8" s="92" customFormat="1" ht="15" customHeight="1" outlineLevel="1" x14ac:dyDescent="0.2">
      <c r="A40" s="1982"/>
      <c r="B40" s="464"/>
      <c r="C40" s="462"/>
      <c r="D40" s="278">
        <v>0</v>
      </c>
      <c r="E40" s="278">
        <v>0</v>
      </c>
      <c r="F40" s="369">
        <f t="shared" si="1"/>
        <v>0</v>
      </c>
      <c r="G40" s="928"/>
    </row>
    <row r="41" spans="1:8" s="92" customFormat="1" ht="15" customHeight="1" outlineLevel="1" x14ac:dyDescent="0.2">
      <c r="A41" s="1982"/>
      <c r="B41" s="464"/>
      <c r="C41" s="659"/>
      <c r="D41" s="211">
        <v>0</v>
      </c>
      <c r="E41" s="211">
        <v>0</v>
      </c>
      <c r="F41" s="370">
        <f t="shared" si="1"/>
        <v>0</v>
      </c>
      <c r="G41" s="928"/>
    </row>
    <row r="42" spans="1:8" s="216" customFormat="1" ht="15" customHeight="1" thickBot="1" x14ac:dyDescent="0.25">
      <c r="A42" s="1982"/>
      <c r="B42" s="668" t="s">
        <v>218</v>
      </c>
      <c r="C42" s="673" t="s">
        <v>834</v>
      </c>
      <c r="D42" s="307">
        <v>0</v>
      </c>
      <c r="E42" s="307">
        <f>SUM(E40:E41)</f>
        <v>0</v>
      </c>
      <c r="F42" s="582">
        <f t="shared" si="1"/>
        <v>0</v>
      </c>
      <c r="G42" s="930"/>
    </row>
    <row r="43" spans="1:8" s="92" customFormat="1" ht="15" customHeight="1" outlineLevel="1" x14ac:dyDescent="0.2">
      <c r="A43" s="1982"/>
      <c r="B43" s="464"/>
      <c r="C43" s="659" t="s">
        <v>340</v>
      </c>
      <c r="D43" s="278">
        <v>200000</v>
      </c>
      <c r="E43" s="278">
        <v>200000</v>
      </c>
      <c r="F43" s="369">
        <f t="shared" si="1"/>
        <v>0</v>
      </c>
      <c r="G43" s="928"/>
    </row>
    <row r="44" spans="1:8" s="92" customFormat="1" ht="15" customHeight="1" outlineLevel="1" x14ac:dyDescent="0.2">
      <c r="A44" s="1982"/>
      <c r="B44" s="464"/>
      <c r="C44" s="659"/>
      <c r="D44" s="211">
        <v>0</v>
      </c>
      <c r="E44" s="211">
        <v>0</v>
      </c>
      <c r="F44" s="370">
        <f t="shared" si="1"/>
        <v>0</v>
      </c>
      <c r="G44" s="928"/>
    </row>
    <row r="45" spans="1:8" s="216" customFormat="1" ht="13.5" thickBot="1" x14ac:dyDescent="0.25">
      <c r="A45" s="1983"/>
      <c r="B45" s="660" t="s">
        <v>218</v>
      </c>
      <c r="C45" s="661" t="s">
        <v>292</v>
      </c>
      <c r="D45" s="307">
        <v>200000</v>
      </c>
      <c r="E45" s="307">
        <f>SUM(E43:E44)</f>
        <v>200000</v>
      </c>
      <c r="F45" s="582">
        <f t="shared" si="1"/>
        <v>0</v>
      </c>
      <c r="G45" s="930"/>
    </row>
    <row r="46" spans="1:8" s="216" customFormat="1" ht="13.5" thickBot="1" x14ac:dyDescent="0.25">
      <c r="A46" s="904"/>
      <c r="B46" s="904"/>
      <c r="C46" s="904"/>
      <c r="D46" s="904"/>
      <c r="E46" s="904"/>
      <c r="F46" s="905"/>
      <c r="G46" s="930"/>
    </row>
    <row r="47" spans="1:8" s="92" customFormat="1" ht="15" customHeight="1" outlineLevel="1" x14ac:dyDescent="0.2">
      <c r="A47" s="1976"/>
      <c r="B47" s="235"/>
      <c r="C47" s="462" t="s">
        <v>340</v>
      </c>
      <c r="D47" s="278"/>
      <c r="E47" s="278"/>
      <c r="F47" s="369">
        <f t="shared" si="1"/>
        <v>0</v>
      </c>
      <c r="G47" s="928"/>
    </row>
    <row r="48" spans="1:8" s="92" customFormat="1" ht="15" customHeight="1" outlineLevel="1" x14ac:dyDescent="0.2">
      <c r="A48" s="1975"/>
      <c r="B48" s="235"/>
      <c r="C48" s="277"/>
      <c r="D48" s="211">
        <v>0</v>
      </c>
      <c r="E48" s="211">
        <v>0</v>
      </c>
      <c r="F48" s="370">
        <f t="shared" si="1"/>
        <v>0</v>
      </c>
      <c r="G48" s="928"/>
    </row>
    <row r="49" spans="1:8" s="216" customFormat="1" ht="13.5" thickBot="1" x14ac:dyDescent="0.25">
      <c r="A49" s="345" t="s">
        <v>254</v>
      </c>
      <c r="B49" s="303" t="s">
        <v>217</v>
      </c>
      <c r="C49" s="303"/>
      <c r="D49" s="307">
        <v>0</v>
      </c>
      <c r="E49" s="307">
        <f>SUM(E47:E48)</f>
        <v>0</v>
      </c>
      <c r="F49" s="582">
        <f t="shared" si="1"/>
        <v>0</v>
      </c>
      <c r="G49" s="930"/>
      <c r="H49" s="595"/>
    </row>
    <row r="50" spans="1:8" s="216" customFormat="1" ht="13.5" thickBot="1" x14ac:dyDescent="0.25">
      <c r="A50" s="900"/>
      <c r="B50" s="901"/>
      <c r="C50" s="901"/>
      <c r="D50" s="901"/>
      <c r="E50" s="901"/>
      <c r="F50" s="902"/>
      <c r="G50" s="930"/>
    </row>
    <row r="51" spans="1:8" s="92" customFormat="1" ht="15" customHeight="1" outlineLevel="1" x14ac:dyDescent="0.2">
      <c r="A51" s="1976"/>
      <c r="B51" s="235"/>
      <c r="C51" s="277" t="s">
        <v>340</v>
      </c>
      <c r="D51" s="278"/>
      <c r="E51" s="278"/>
      <c r="F51" s="369">
        <f t="shared" si="1"/>
        <v>0</v>
      </c>
      <c r="G51" s="928"/>
    </row>
    <row r="52" spans="1:8" s="92" customFormat="1" ht="15" customHeight="1" outlineLevel="1" x14ac:dyDescent="0.2">
      <c r="A52" s="1975"/>
      <c r="B52" s="235"/>
      <c r="C52" s="222"/>
      <c r="D52" s="211"/>
      <c r="E52" s="211"/>
      <c r="F52" s="370">
        <f t="shared" si="1"/>
        <v>0</v>
      </c>
      <c r="G52" s="928"/>
    </row>
    <row r="53" spans="1:8" s="216" customFormat="1" ht="13.5" thickBot="1" x14ac:dyDescent="0.25">
      <c r="A53" s="345">
        <v>5512</v>
      </c>
      <c r="B53" s="303" t="s">
        <v>219</v>
      </c>
      <c r="C53" s="303"/>
      <c r="D53" s="307">
        <v>0</v>
      </c>
      <c r="E53" s="307">
        <f>SUM(E51:E52)</f>
        <v>0</v>
      </c>
      <c r="F53" s="582">
        <f t="shared" si="1"/>
        <v>0</v>
      </c>
      <c r="G53" s="930"/>
      <c r="H53" s="595"/>
    </row>
    <row r="54" spans="1:8" s="216" customFormat="1" ht="13.5" thickBot="1" x14ac:dyDescent="0.25">
      <c r="A54" s="900"/>
      <c r="B54" s="901"/>
      <c r="C54" s="901"/>
      <c r="D54" s="901"/>
      <c r="E54" s="901"/>
      <c r="F54" s="902"/>
      <c r="G54" s="930"/>
    </row>
    <row r="55" spans="1:8" s="92" customFormat="1" ht="15" customHeight="1" outlineLevel="1" x14ac:dyDescent="0.2">
      <c r="A55" s="1976"/>
      <c r="B55" s="235"/>
      <c r="C55" s="277" t="s">
        <v>340</v>
      </c>
      <c r="D55" s="278"/>
      <c r="E55" s="278"/>
      <c r="F55" s="369">
        <f t="shared" si="1"/>
        <v>0</v>
      </c>
      <c r="G55" s="928"/>
    </row>
    <row r="56" spans="1:8" s="92" customFormat="1" ht="15" customHeight="1" outlineLevel="1" x14ac:dyDescent="0.2">
      <c r="A56" s="1975"/>
      <c r="B56" s="107"/>
      <c r="C56" s="222"/>
      <c r="D56" s="211"/>
      <c r="E56" s="211"/>
      <c r="F56" s="370">
        <f t="shared" si="1"/>
        <v>0</v>
      </c>
      <c r="G56" s="928"/>
    </row>
    <row r="57" spans="1:8" s="216" customFormat="1" ht="13.5" thickBot="1" x14ac:dyDescent="0.25">
      <c r="A57" s="345">
        <v>3632</v>
      </c>
      <c r="B57" s="303" t="s">
        <v>222</v>
      </c>
      <c r="C57" s="303"/>
      <c r="D57" s="307">
        <v>0</v>
      </c>
      <c r="E57" s="307">
        <f>SUM(E55:E56)</f>
        <v>0</v>
      </c>
      <c r="F57" s="582">
        <f t="shared" si="1"/>
        <v>0</v>
      </c>
      <c r="G57" s="930"/>
      <c r="H57" s="595"/>
    </row>
    <row r="58" spans="1:8" s="216" customFormat="1" ht="13.5" thickBot="1" x14ac:dyDescent="0.25">
      <c r="A58" s="900"/>
      <c r="B58" s="901"/>
      <c r="C58" s="901"/>
      <c r="D58" s="901"/>
      <c r="E58" s="901"/>
      <c r="F58" s="902"/>
      <c r="G58" s="930"/>
    </row>
    <row r="59" spans="1:8" s="92" customFormat="1" ht="15" customHeight="1" outlineLevel="1" x14ac:dyDescent="0.2">
      <c r="A59" s="1976"/>
      <c r="B59" s="235"/>
      <c r="C59" s="277" t="s">
        <v>867</v>
      </c>
      <c r="D59" s="278">
        <v>500000</v>
      </c>
      <c r="E59" s="278">
        <v>500000</v>
      </c>
      <c r="F59" s="369">
        <f t="shared" si="1"/>
        <v>0</v>
      </c>
      <c r="G59" s="928"/>
    </row>
    <row r="60" spans="1:8" s="92" customFormat="1" ht="15" customHeight="1" outlineLevel="1" x14ac:dyDescent="0.2">
      <c r="A60" s="1975"/>
      <c r="B60" s="107"/>
      <c r="C60" s="222"/>
      <c r="D60" s="211"/>
      <c r="E60" s="211"/>
      <c r="F60" s="370">
        <f t="shared" si="1"/>
        <v>0</v>
      </c>
      <c r="G60" s="928"/>
    </row>
    <row r="61" spans="1:8" s="216" customFormat="1" ht="13.5" thickBot="1" x14ac:dyDescent="0.25">
      <c r="A61" s="345">
        <v>3412</v>
      </c>
      <c r="B61" s="303" t="s">
        <v>498</v>
      </c>
      <c r="C61" s="303"/>
      <c r="D61" s="307">
        <v>500000</v>
      </c>
      <c r="E61" s="307">
        <f>SUM(E59:E60)</f>
        <v>500000</v>
      </c>
      <c r="F61" s="582">
        <f t="shared" si="1"/>
        <v>0</v>
      </c>
      <c r="G61" s="930"/>
      <c r="H61" s="595"/>
    </row>
    <row r="62" spans="1:8" s="216" customFormat="1" ht="13.5" thickBot="1" x14ac:dyDescent="0.25">
      <c r="A62" s="900"/>
      <c r="B62" s="901"/>
      <c r="C62" s="901"/>
      <c r="D62" s="901"/>
      <c r="E62" s="901"/>
      <c r="F62" s="902"/>
      <c r="G62" s="930"/>
    </row>
    <row r="63" spans="1:8" s="92" customFormat="1" ht="15" customHeight="1" outlineLevel="1" x14ac:dyDescent="0.2">
      <c r="A63" s="1984">
        <v>3113</v>
      </c>
      <c r="B63" s="235"/>
      <c r="C63" s="277" t="s">
        <v>867</v>
      </c>
      <c r="D63" s="278">
        <v>0</v>
      </c>
      <c r="E63" s="278">
        <v>398360</v>
      </c>
      <c r="F63" s="369">
        <f t="shared" si="1"/>
        <v>-398360</v>
      </c>
      <c r="G63" s="928" t="s">
        <v>1140</v>
      </c>
    </row>
    <row r="64" spans="1:8" s="92" customFormat="1" ht="15" customHeight="1" outlineLevel="1" x14ac:dyDescent="0.2">
      <c r="A64" s="1985"/>
      <c r="B64" s="107"/>
      <c r="C64" s="222"/>
      <c r="D64" s="211"/>
      <c r="E64" s="211"/>
      <c r="F64" s="370">
        <f t="shared" si="1"/>
        <v>0</v>
      </c>
      <c r="G64" s="928"/>
    </row>
    <row r="65" spans="1:8" s="216" customFormat="1" ht="13.5" thickBot="1" x14ac:dyDescent="0.25">
      <c r="A65" s="1985"/>
      <c r="B65" s="346" t="s">
        <v>224</v>
      </c>
      <c r="C65" s="303" t="s">
        <v>491</v>
      </c>
      <c r="D65" s="307">
        <v>0</v>
      </c>
      <c r="E65" s="307">
        <f>SUM(E63:E64)</f>
        <v>398360</v>
      </c>
      <c r="F65" s="582">
        <f t="shared" si="1"/>
        <v>-398360</v>
      </c>
      <c r="G65" s="929">
        <f>+E65+E68</f>
        <v>1252942</v>
      </c>
      <c r="H65" s="595">
        <f>G65-'Sumář  výdaje kapitol'!AQ63</f>
        <v>519132</v>
      </c>
    </row>
    <row r="66" spans="1:8" s="92" customFormat="1" ht="15" customHeight="1" outlineLevel="1" x14ac:dyDescent="0.2">
      <c r="A66" s="1985"/>
      <c r="B66" s="107"/>
      <c r="C66" s="277" t="s">
        <v>836</v>
      </c>
      <c r="D66" s="278">
        <v>720000</v>
      </c>
      <c r="E66" s="278">
        <v>774582</v>
      </c>
      <c r="F66" s="369">
        <f t="shared" si="1"/>
        <v>-54582</v>
      </c>
      <c r="G66" s="928" t="s">
        <v>1145</v>
      </c>
    </row>
    <row r="67" spans="1:8" s="92" customFormat="1" ht="15" customHeight="1" outlineLevel="1" x14ac:dyDescent="0.2">
      <c r="A67" s="1985"/>
      <c r="B67" s="107"/>
      <c r="C67" s="222" t="s">
        <v>868</v>
      </c>
      <c r="D67" s="211">
        <v>80000</v>
      </c>
      <c r="E67" s="211">
        <v>80000</v>
      </c>
      <c r="F67" s="370">
        <f t="shared" si="1"/>
        <v>0</v>
      </c>
      <c r="G67" s="928"/>
    </row>
    <row r="68" spans="1:8" s="216" customFormat="1" ht="13.5" thickBot="1" x14ac:dyDescent="0.25">
      <c r="A68" s="1986"/>
      <c r="B68" s="346" t="s">
        <v>224</v>
      </c>
      <c r="C68" s="303" t="s">
        <v>836</v>
      </c>
      <c r="D68" s="307">
        <v>800000</v>
      </c>
      <c r="E68" s="307">
        <f>SUM(E66:E67)</f>
        <v>854582</v>
      </c>
      <c r="F68" s="582">
        <f t="shared" si="1"/>
        <v>-54582</v>
      </c>
      <c r="G68" s="930"/>
    </row>
    <row r="69" spans="1:8" s="216" customFormat="1" ht="13.5" thickBot="1" x14ac:dyDescent="0.25">
      <c r="A69" s="906"/>
      <c r="B69" s="907"/>
      <c r="C69" s="907"/>
      <c r="D69" s="907"/>
      <c r="E69" s="907"/>
      <c r="F69" s="908"/>
      <c r="G69" s="930"/>
    </row>
    <row r="70" spans="1:8" s="92" customFormat="1" ht="15" customHeight="1" outlineLevel="1" x14ac:dyDescent="0.2">
      <c r="A70" s="1976"/>
      <c r="B70" s="235"/>
      <c r="C70" s="277" t="s">
        <v>867</v>
      </c>
      <c r="D70" s="278">
        <v>0</v>
      </c>
      <c r="E70" s="278">
        <v>0</v>
      </c>
      <c r="F70" s="369">
        <f>D70-E70</f>
        <v>0</v>
      </c>
      <c r="G70" s="928"/>
    </row>
    <row r="71" spans="1:8" s="92" customFormat="1" ht="15" customHeight="1" outlineLevel="1" x14ac:dyDescent="0.2">
      <c r="A71" s="1974"/>
      <c r="B71" s="107"/>
      <c r="C71" s="222"/>
      <c r="D71" s="211"/>
      <c r="E71" s="211"/>
      <c r="F71" s="370">
        <f>D71-E71</f>
        <v>0</v>
      </c>
      <c r="G71" s="928"/>
    </row>
    <row r="72" spans="1:8" s="216" customFormat="1" ht="13.5" thickBot="1" x14ac:dyDescent="0.25">
      <c r="A72" s="345">
        <v>3114</v>
      </c>
      <c r="B72" s="303" t="s">
        <v>839</v>
      </c>
      <c r="C72" s="303"/>
      <c r="D72" s="307">
        <v>0</v>
      </c>
      <c r="E72" s="307">
        <f>SUM(E70:E71)</f>
        <v>0</v>
      </c>
      <c r="F72" s="582">
        <f>D72-E72</f>
        <v>0</v>
      </c>
      <c r="G72" s="930"/>
    </row>
    <row r="73" spans="1:8" s="216" customFormat="1" ht="13.5" thickBot="1" x14ac:dyDescent="0.25">
      <c r="A73" s="900"/>
      <c r="B73" s="901"/>
      <c r="C73" s="901"/>
      <c r="D73" s="901"/>
      <c r="E73" s="901"/>
      <c r="F73" s="902"/>
      <c r="G73" s="930"/>
    </row>
    <row r="74" spans="1:8" s="92" customFormat="1" ht="15" customHeight="1" outlineLevel="1" x14ac:dyDescent="0.2">
      <c r="A74" s="1976"/>
      <c r="B74" s="235"/>
      <c r="C74" s="277" t="s">
        <v>869</v>
      </c>
      <c r="D74" s="278">
        <v>100000</v>
      </c>
      <c r="E74" s="278">
        <v>100000</v>
      </c>
      <c r="F74" s="369">
        <f t="shared" si="1"/>
        <v>0</v>
      </c>
      <c r="G74" s="928"/>
    </row>
    <row r="75" spans="1:8" s="92" customFormat="1" ht="15" customHeight="1" outlineLevel="1" x14ac:dyDescent="0.2">
      <c r="A75" s="1974"/>
      <c r="B75" s="107"/>
      <c r="C75" s="222" t="s">
        <v>437</v>
      </c>
      <c r="D75" s="211">
        <v>0</v>
      </c>
      <c r="E75" s="211">
        <v>0</v>
      </c>
      <c r="F75" s="370">
        <f t="shared" si="1"/>
        <v>0</v>
      </c>
      <c r="G75" s="928"/>
    </row>
    <row r="76" spans="1:8" s="216" customFormat="1" ht="13.5" thickBot="1" x14ac:dyDescent="0.25">
      <c r="A76" s="345" t="s">
        <v>297</v>
      </c>
      <c r="B76" s="303" t="s">
        <v>840</v>
      </c>
      <c r="C76" s="303"/>
      <c r="D76" s="307">
        <v>100000</v>
      </c>
      <c r="E76" s="307">
        <f>SUM(E74:E75)</f>
        <v>100000</v>
      </c>
      <c r="F76" s="582">
        <f>D76-E76</f>
        <v>0</v>
      </c>
      <c r="G76" s="929">
        <f>'Sumář  výdaje kapitol'!BC63</f>
        <v>0</v>
      </c>
      <c r="H76" s="595">
        <f>G76-F76</f>
        <v>0</v>
      </c>
    </row>
    <row r="77" spans="1:8" s="216" customFormat="1" ht="13.5" thickBot="1" x14ac:dyDescent="0.25">
      <c r="A77" s="900"/>
      <c r="B77" s="901"/>
      <c r="C77" s="901"/>
      <c r="D77" s="901"/>
      <c r="E77" s="901"/>
      <c r="F77" s="902"/>
      <c r="G77" s="930"/>
    </row>
    <row r="78" spans="1:8" s="92" customFormat="1" ht="15" customHeight="1" outlineLevel="1" x14ac:dyDescent="0.2">
      <c r="A78" s="1976"/>
      <c r="B78" s="235"/>
      <c r="C78" s="277" t="s">
        <v>869</v>
      </c>
      <c r="D78" s="278">
        <v>119200</v>
      </c>
      <c r="E78" s="278">
        <v>80000</v>
      </c>
      <c r="F78" s="369">
        <f t="shared" ref="F78:F84" si="2">D78-E78</f>
        <v>39200</v>
      </c>
      <c r="G78" s="928" t="s">
        <v>1146</v>
      </c>
    </row>
    <row r="79" spans="1:8" s="92" customFormat="1" ht="15" customHeight="1" outlineLevel="1" x14ac:dyDescent="0.2">
      <c r="A79" s="1974"/>
      <c r="B79" s="107"/>
      <c r="C79" s="222"/>
      <c r="D79" s="211"/>
      <c r="E79" s="211"/>
      <c r="F79" s="370">
        <f t="shared" si="2"/>
        <v>0</v>
      </c>
      <c r="G79" s="928"/>
    </row>
    <row r="80" spans="1:8" s="216" customFormat="1" ht="13.5" thickBot="1" x14ac:dyDescent="0.25">
      <c r="A80" s="345" t="s">
        <v>299</v>
      </c>
      <c r="B80" s="346" t="s">
        <v>452</v>
      </c>
      <c r="C80" s="303"/>
      <c r="D80" s="307">
        <v>119200</v>
      </c>
      <c r="E80" s="307">
        <f>SUM(E78:E79)</f>
        <v>80000</v>
      </c>
      <c r="F80" s="582">
        <f t="shared" si="2"/>
        <v>39200</v>
      </c>
      <c r="G80" s="930"/>
    </row>
    <row r="81" spans="1:8" s="216" customFormat="1" ht="13.5" thickBot="1" x14ac:dyDescent="0.25">
      <c r="A81" s="900"/>
      <c r="B81" s="901"/>
      <c r="C81" s="901"/>
      <c r="D81" s="901"/>
      <c r="E81" s="901"/>
      <c r="F81" s="902"/>
      <c r="G81" s="930"/>
    </row>
    <row r="82" spans="1:8" s="92" customFormat="1" ht="15" customHeight="1" outlineLevel="1" x14ac:dyDescent="0.2">
      <c r="A82" s="1976"/>
      <c r="B82" s="235"/>
      <c r="C82" s="277" t="s">
        <v>340</v>
      </c>
      <c r="D82" s="278">
        <v>1100000</v>
      </c>
      <c r="E82" s="278">
        <v>605000</v>
      </c>
      <c r="F82" s="369">
        <f t="shared" si="2"/>
        <v>495000</v>
      </c>
      <c r="G82" s="928"/>
    </row>
    <row r="83" spans="1:8" s="92" customFormat="1" ht="15" customHeight="1" outlineLevel="1" x14ac:dyDescent="0.2">
      <c r="A83" s="1974"/>
      <c r="B83" s="107"/>
      <c r="C83" s="222"/>
      <c r="D83" s="211"/>
      <c r="E83" s="211"/>
      <c r="F83" s="370">
        <f t="shared" si="2"/>
        <v>0</v>
      </c>
      <c r="G83" s="928"/>
    </row>
    <row r="84" spans="1:8" s="216" customFormat="1" ht="13.5" thickBot="1" x14ac:dyDescent="0.25">
      <c r="A84" s="345" t="s">
        <v>801</v>
      </c>
      <c r="B84" s="346" t="s">
        <v>842</v>
      </c>
      <c r="C84" s="303"/>
      <c r="D84" s="307">
        <v>1100000</v>
      </c>
      <c r="E84" s="307">
        <f>SUM(E82:E83)</f>
        <v>605000</v>
      </c>
      <c r="F84" s="582">
        <f t="shared" si="2"/>
        <v>495000</v>
      </c>
      <c r="G84" s="930"/>
    </row>
    <row r="85" spans="1:8" s="216" customFormat="1" ht="13.5" thickBot="1" x14ac:dyDescent="0.25">
      <c r="A85" s="900"/>
      <c r="B85" s="901"/>
      <c r="C85" s="901"/>
      <c r="D85" s="901"/>
      <c r="E85" s="901"/>
      <c r="F85" s="902"/>
      <c r="G85" s="930"/>
    </row>
    <row r="86" spans="1:8" s="92" customFormat="1" ht="15" customHeight="1" outlineLevel="1" x14ac:dyDescent="0.2">
      <c r="A86" s="1976"/>
      <c r="B86" s="235"/>
      <c r="C86" s="277" t="s">
        <v>340</v>
      </c>
      <c r="D86" s="278">
        <v>670000</v>
      </c>
      <c r="E86" s="278">
        <v>810700</v>
      </c>
      <c r="F86" s="369">
        <f>D86-E86</f>
        <v>-140700</v>
      </c>
      <c r="G86" s="928"/>
    </row>
    <row r="87" spans="1:8" s="92" customFormat="1" ht="15" customHeight="1" outlineLevel="1" x14ac:dyDescent="0.2">
      <c r="A87" s="1974"/>
      <c r="B87" s="107"/>
      <c r="C87" s="277"/>
      <c r="D87" s="278"/>
      <c r="E87" s="278"/>
      <c r="F87" s="369">
        <f>D87-E87</f>
        <v>0</v>
      </c>
      <c r="G87" s="928"/>
    </row>
    <row r="88" spans="1:8" s="216" customFormat="1" ht="13.5" thickBot="1" x14ac:dyDescent="0.25">
      <c r="A88" s="345">
        <v>3635</v>
      </c>
      <c r="B88" s="346" t="s">
        <v>231</v>
      </c>
      <c r="C88" s="303"/>
      <c r="D88" s="307">
        <v>670000</v>
      </c>
      <c r="E88" s="307">
        <f>SUM(E86:E87)</f>
        <v>810700</v>
      </c>
      <c r="F88" s="582">
        <f>D88-E88</f>
        <v>-140700</v>
      </c>
      <c r="G88" s="930"/>
      <c r="H88" s="595">
        <f>D88-'Sumář  výdaje kapitol'!BM63</f>
        <v>415900</v>
      </c>
    </row>
    <row r="89" spans="1:8" s="216" customFormat="1" ht="13.5" thickBot="1" x14ac:dyDescent="0.25">
      <c r="A89" s="900"/>
      <c r="B89" s="901"/>
      <c r="C89" s="901"/>
      <c r="D89" s="901"/>
      <c r="E89" s="901"/>
      <c r="F89" s="902"/>
      <c r="G89" s="930"/>
    </row>
    <row r="90" spans="1:8" s="92" customFormat="1" ht="15" customHeight="1" outlineLevel="1" x14ac:dyDescent="0.2">
      <c r="A90" s="1976"/>
      <c r="B90" s="235"/>
      <c r="C90" s="277"/>
      <c r="D90" s="278"/>
      <c r="E90" s="278"/>
      <c r="F90" s="369">
        <f>D90-E90</f>
        <v>0</v>
      </c>
      <c r="G90" s="928"/>
    </row>
    <row r="91" spans="1:8" s="92" customFormat="1" ht="15" customHeight="1" outlineLevel="1" x14ac:dyDescent="0.2">
      <c r="A91" s="1974"/>
      <c r="B91" s="107"/>
      <c r="C91" s="277"/>
      <c r="D91" s="278"/>
      <c r="E91" s="278"/>
      <c r="F91" s="369">
        <f>D91-E91</f>
        <v>0</v>
      </c>
      <c r="G91" s="928"/>
    </row>
    <row r="92" spans="1:8" s="216" customFormat="1" ht="13.5" thickBot="1" x14ac:dyDescent="0.25">
      <c r="A92" s="345">
        <v>3631</v>
      </c>
      <c r="B92" s="346" t="s">
        <v>232</v>
      </c>
      <c r="C92" s="303"/>
      <c r="D92" s="307">
        <v>0</v>
      </c>
      <c r="E92" s="307">
        <f>SUM(E90:E91)</f>
        <v>0</v>
      </c>
      <c r="F92" s="582">
        <f>D92-E92</f>
        <v>0</v>
      </c>
      <c r="G92" s="930"/>
    </row>
    <row r="93" spans="1:8" s="216" customFormat="1" ht="13.5" thickBot="1" x14ac:dyDescent="0.25">
      <c r="A93" s="921"/>
      <c r="B93" s="922"/>
      <c r="C93" s="922"/>
      <c r="D93" s="922"/>
      <c r="E93" s="922"/>
      <c r="F93" s="923"/>
      <c r="G93" s="930"/>
    </row>
    <row r="94" spans="1:8" s="92" customFormat="1" ht="15" customHeight="1" outlineLevel="1" x14ac:dyDescent="0.2">
      <c r="A94" s="1978">
        <v>2212</v>
      </c>
      <c r="B94" s="107"/>
      <c r="C94" s="222" t="s">
        <v>340</v>
      </c>
      <c r="D94" s="211">
        <v>1493315</v>
      </c>
      <c r="E94" s="210">
        <v>1493315</v>
      </c>
      <c r="F94" s="370">
        <f>D94-E94</f>
        <v>0</v>
      </c>
      <c r="G94" s="928"/>
    </row>
    <row r="95" spans="1:8" s="92" customFormat="1" ht="15" customHeight="1" outlineLevel="1" x14ac:dyDescent="0.2">
      <c r="A95" s="1979"/>
      <c r="B95" s="107"/>
      <c r="C95" s="222"/>
      <c r="D95" s="211"/>
      <c r="E95" s="210">
        <v>100000</v>
      </c>
      <c r="F95" s="370">
        <f>D95-E95</f>
        <v>-100000</v>
      </c>
      <c r="G95" s="928" t="s">
        <v>1137</v>
      </c>
    </row>
    <row r="96" spans="1:8" s="92" customFormat="1" ht="15" customHeight="1" thickBot="1" x14ac:dyDescent="0.3">
      <c r="A96" s="1979"/>
      <c r="B96" s="663" t="s">
        <v>233</v>
      </c>
      <c r="C96" s="306" t="s">
        <v>680</v>
      </c>
      <c r="D96" s="307">
        <v>1493315</v>
      </c>
      <c r="E96" s="307">
        <f>SUM(E94:E95)</f>
        <v>1593315</v>
      </c>
      <c r="F96" s="582">
        <f>D96-E96</f>
        <v>-100000</v>
      </c>
      <c r="G96" s="931">
        <f>+E96+E99+E102+E105+E108+E111+E114+E117+E120+E123+E126+E129+E132+E135+E137+E140+E143+E146+E149+E158+E164+E152+E155+E161</f>
        <v>6074561</v>
      </c>
      <c r="H96" s="276">
        <f>G96-'Sumář  výdaje kapitol'!BQ63</f>
        <v>1834636</v>
      </c>
    </row>
    <row r="97" spans="1:7" s="92" customFormat="1" ht="15" customHeight="1" outlineLevel="1" x14ac:dyDescent="0.2">
      <c r="A97" s="1979"/>
      <c r="B97" s="107"/>
      <c r="C97" s="222" t="s">
        <v>870</v>
      </c>
      <c r="D97" s="211"/>
      <c r="E97" s="211">
        <v>0</v>
      </c>
      <c r="F97" s="370">
        <f t="shared" ref="F97:F132" si="3">D97-E97</f>
        <v>0</v>
      </c>
      <c r="G97" s="928"/>
    </row>
    <row r="98" spans="1:7" s="92" customFormat="1" ht="15" customHeight="1" outlineLevel="1" x14ac:dyDescent="0.2">
      <c r="A98" s="1979"/>
      <c r="B98" s="107"/>
      <c r="C98" s="222"/>
      <c r="D98" s="211"/>
      <c r="E98" s="211"/>
      <c r="F98" s="370">
        <f t="shared" si="3"/>
        <v>0</v>
      </c>
      <c r="G98" s="928"/>
    </row>
    <row r="99" spans="1:7" s="92" customFormat="1" ht="15" customHeight="1" thickBot="1" x14ac:dyDescent="0.3">
      <c r="A99" s="1979"/>
      <c r="B99" s="663" t="s">
        <v>233</v>
      </c>
      <c r="C99" s="306" t="s">
        <v>845</v>
      </c>
      <c r="D99" s="307">
        <v>0</v>
      </c>
      <c r="E99" s="307">
        <f>SUM(E97:E98)</f>
        <v>0</v>
      </c>
      <c r="F99" s="582">
        <f t="shared" si="3"/>
        <v>0</v>
      </c>
      <c r="G99" s="928"/>
    </row>
    <row r="100" spans="1:7" s="92" customFormat="1" ht="15" customHeight="1" outlineLevel="1" x14ac:dyDescent="0.2">
      <c r="A100" s="1979"/>
      <c r="B100" s="235"/>
      <c r="C100" s="277" t="s">
        <v>340</v>
      </c>
      <c r="D100" s="278">
        <v>700000</v>
      </c>
      <c r="E100" s="937">
        <v>700000</v>
      </c>
      <c r="F100" s="369">
        <f t="shared" si="3"/>
        <v>0</v>
      </c>
      <c r="G100" s="928"/>
    </row>
    <row r="101" spans="1:7" s="92" customFormat="1" ht="15" customHeight="1" outlineLevel="1" x14ac:dyDescent="0.2">
      <c r="A101" s="1979"/>
      <c r="B101" s="107"/>
      <c r="C101" s="222"/>
      <c r="D101" s="211"/>
      <c r="E101" s="211"/>
      <c r="F101" s="370">
        <f t="shared" si="3"/>
        <v>0</v>
      </c>
      <c r="G101" s="928"/>
    </row>
    <row r="102" spans="1:7" s="92" customFormat="1" ht="15" customHeight="1" thickBot="1" x14ac:dyDescent="0.3">
      <c r="A102" s="1979"/>
      <c r="B102" s="663" t="s">
        <v>233</v>
      </c>
      <c r="C102" s="291" t="s">
        <v>1047</v>
      </c>
      <c r="D102" s="292">
        <v>700000</v>
      </c>
      <c r="E102" s="292">
        <f>SUM(E100:E101)</f>
        <v>700000</v>
      </c>
      <c r="F102" s="583">
        <f t="shared" si="3"/>
        <v>0</v>
      </c>
      <c r="G102" s="928"/>
    </row>
    <row r="103" spans="1:7" s="92" customFormat="1" ht="15" customHeight="1" outlineLevel="1" x14ac:dyDescent="0.2">
      <c r="A103" s="1979"/>
      <c r="B103" s="107"/>
      <c r="C103" s="277" t="s">
        <v>340</v>
      </c>
      <c r="D103" s="278">
        <v>400000</v>
      </c>
      <c r="E103" s="937">
        <v>400000</v>
      </c>
      <c r="F103" s="369">
        <f t="shared" si="3"/>
        <v>0</v>
      </c>
      <c r="G103" s="928"/>
    </row>
    <row r="104" spans="1:7" s="92" customFormat="1" ht="15" customHeight="1" outlineLevel="1" x14ac:dyDescent="0.2">
      <c r="A104" s="1979"/>
      <c r="B104" s="107"/>
      <c r="C104" s="222"/>
      <c r="D104" s="211"/>
      <c r="E104" s="211"/>
      <c r="F104" s="370">
        <f t="shared" si="3"/>
        <v>0</v>
      </c>
      <c r="G104" s="928"/>
    </row>
    <row r="105" spans="1:7" s="92" customFormat="1" ht="15" customHeight="1" thickBot="1" x14ac:dyDescent="0.3">
      <c r="A105" s="1979"/>
      <c r="B105" s="663" t="s">
        <v>233</v>
      </c>
      <c r="C105" s="291" t="s">
        <v>848</v>
      </c>
      <c r="D105" s="292">
        <v>400000</v>
      </c>
      <c r="E105" s="292">
        <f>SUM(E103:E104)</f>
        <v>400000</v>
      </c>
      <c r="F105" s="583">
        <f t="shared" si="3"/>
        <v>0</v>
      </c>
      <c r="G105" s="928"/>
    </row>
    <row r="106" spans="1:7" s="92" customFormat="1" ht="15" customHeight="1" outlineLevel="1" x14ac:dyDescent="0.2">
      <c r="A106" s="1979"/>
      <c r="B106" s="107"/>
      <c r="C106" s="277" t="s">
        <v>340</v>
      </c>
      <c r="D106" s="278">
        <v>500000</v>
      </c>
      <c r="E106" s="279">
        <v>60000</v>
      </c>
      <c r="F106" s="369">
        <f t="shared" si="3"/>
        <v>440000</v>
      </c>
      <c r="G106" s="932" t="s">
        <v>1139</v>
      </c>
    </row>
    <row r="107" spans="1:7" s="92" customFormat="1" ht="15" customHeight="1" outlineLevel="1" x14ac:dyDescent="0.2">
      <c r="A107" s="1979"/>
      <c r="B107" s="107"/>
      <c r="C107" s="222" t="s">
        <v>1138</v>
      </c>
      <c r="D107" s="211"/>
      <c r="E107" s="210">
        <v>0</v>
      </c>
      <c r="F107" s="370">
        <f t="shared" si="3"/>
        <v>0</v>
      </c>
      <c r="G107" s="932" t="s">
        <v>1140</v>
      </c>
    </row>
    <row r="108" spans="1:7" s="92" customFormat="1" ht="15" customHeight="1" thickBot="1" x14ac:dyDescent="0.3">
      <c r="A108" s="1979"/>
      <c r="B108" s="663" t="s">
        <v>233</v>
      </c>
      <c r="C108" s="291" t="s">
        <v>400</v>
      </c>
      <c r="D108" s="292">
        <v>500000</v>
      </c>
      <c r="E108" s="292">
        <f>SUM(E106:E107)</f>
        <v>60000</v>
      </c>
      <c r="F108" s="583">
        <f t="shared" si="3"/>
        <v>440000</v>
      </c>
      <c r="G108" s="928"/>
    </row>
    <row r="109" spans="1:7" s="92" customFormat="1" ht="15" customHeight="1" outlineLevel="1" x14ac:dyDescent="0.2">
      <c r="A109" s="1979"/>
      <c r="B109" s="107"/>
      <c r="C109" s="277" t="s">
        <v>340</v>
      </c>
      <c r="D109" s="278">
        <v>550000</v>
      </c>
      <c r="E109" s="937">
        <v>550000</v>
      </c>
      <c r="F109" s="369">
        <f t="shared" si="3"/>
        <v>0</v>
      </c>
      <c r="G109" s="928"/>
    </row>
    <row r="110" spans="1:7" s="92" customFormat="1" ht="15" customHeight="1" outlineLevel="1" x14ac:dyDescent="0.2">
      <c r="A110" s="1979"/>
      <c r="B110" s="107"/>
      <c r="C110" s="222"/>
      <c r="D110" s="211"/>
      <c r="E110" s="211"/>
      <c r="F110" s="370">
        <f t="shared" si="3"/>
        <v>0</v>
      </c>
      <c r="G110" s="928"/>
    </row>
    <row r="111" spans="1:7" s="92" customFormat="1" ht="15" customHeight="1" thickBot="1" x14ac:dyDescent="0.3">
      <c r="A111" s="1979"/>
      <c r="B111" s="663" t="s">
        <v>233</v>
      </c>
      <c r="C111" s="291" t="s">
        <v>438</v>
      </c>
      <c r="D111" s="292">
        <v>550000</v>
      </c>
      <c r="E111" s="292">
        <f>SUM(E109:E110)</f>
        <v>550000</v>
      </c>
      <c r="F111" s="583">
        <f t="shared" si="3"/>
        <v>0</v>
      </c>
      <c r="G111" s="928"/>
    </row>
    <row r="112" spans="1:7" s="92" customFormat="1" ht="15" customHeight="1" outlineLevel="1" x14ac:dyDescent="0.2">
      <c r="A112" s="1979"/>
      <c r="B112" s="107"/>
      <c r="C112" s="277" t="s">
        <v>1046</v>
      </c>
      <c r="D112" s="278">
        <v>500000</v>
      </c>
      <c r="E112" s="937">
        <v>500000</v>
      </c>
      <c r="F112" s="369">
        <f t="shared" si="3"/>
        <v>0</v>
      </c>
      <c r="G112" s="928"/>
    </row>
    <row r="113" spans="1:7" s="92" customFormat="1" ht="15" customHeight="1" outlineLevel="1" x14ac:dyDescent="0.2">
      <c r="A113" s="1979"/>
      <c r="B113" s="107"/>
      <c r="C113" s="222"/>
      <c r="D113" s="211"/>
      <c r="E113" s="211"/>
      <c r="F113" s="370">
        <f t="shared" si="3"/>
        <v>0</v>
      </c>
      <c r="G113" s="928"/>
    </row>
    <row r="114" spans="1:7" s="92" customFormat="1" ht="15" customHeight="1" thickBot="1" x14ac:dyDescent="0.3">
      <c r="A114" s="1979"/>
      <c r="B114" s="663" t="s">
        <v>233</v>
      </c>
      <c r="C114" s="291" t="s">
        <v>439</v>
      </c>
      <c r="D114" s="292">
        <v>500000</v>
      </c>
      <c r="E114" s="292">
        <f>SUM(E112:E113)</f>
        <v>500000</v>
      </c>
      <c r="F114" s="583">
        <f t="shared" si="3"/>
        <v>0</v>
      </c>
      <c r="G114" s="928"/>
    </row>
    <row r="115" spans="1:7" s="92" customFormat="1" ht="15" customHeight="1" outlineLevel="1" x14ac:dyDescent="0.2">
      <c r="A115" s="1979"/>
      <c r="B115" s="107"/>
      <c r="C115" s="277" t="s">
        <v>340</v>
      </c>
      <c r="D115" s="278"/>
      <c r="E115" s="278">
        <v>0</v>
      </c>
      <c r="F115" s="369">
        <f t="shared" si="3"/>
        <v>0</v>
      </c>
      <c r="G115" s="928"/>
    </row>
    <row r="116" spans="1:7" s="92" customFormat="1" ht="15" customHeight="1" outlineLevel="1" x14ac:dyDescent="0.2">
      <c r="A116" s="1979"/>
      <c r="B116" s="107"/>
      <c r="C116" s="277"/>
      <c r="D116" s="278"/>
      <c r="E116" s="278">
        <v>0</v>
      </c>
      <c r="F116" s="369"/>
      <c r="G116" s="928"/>
    </row>
    <row r="117" spans="1:7" s="92" customFormat="1" ht="15" customHeight="1" thickBot="1" x14ac:dyDescent="0.3">
      <c r="A117" s="1979"/>
      <c r="B117" s="663" t="s">
        <v>233</v>
      </c>
      <c r="C117" s="291" t="s">
        <v>440</v>
      </c>
      <c r="D117" s="292">
        <v>0</v>
      </c>
      <c r="E117" s="292">
        <f>SUM(E115:E116)</f>
        <v>0</v>
      </c>
      <c r="F117" s="583">
        <f t="shared" si="3"/>
        <v>0</v>
      </c>
      <c r="G117" s="928"/>
    </row>
    <row r="118" spans="1:7" s="92" customFormat="1" ht="15" customHeight="1" outlineLevel="1" x14ac:dyDescent="0.2">
      <c r="A118" s="1979"/>
      <c r="B118" s="107"/>
      <c r="C118" s="277" t="s">
        <v>340</v>
      </c>
      <c r="D118" s="369">
        <v>0</v>
      </c>
      <c r="E118" s="934">
        <v>184396</v>
      </c>
      <c r="F118" s="369">
        <f t="shared" si="3"/>
        <v>-184396</v>
      </c>
      <c r="G118" s="928" t="s">
        <v>1140</v>
      </c>
    </row>
    <row r="119" spans="1:7" s="92" customFormat="1" ht="15" customHeight="1" outlineLevel="1" x14ac:dyDescent="0.2">
      <c r="A119" s="1979"/>
      <c r="B119" s="107"/>
      <c r="C119" s="222" t="s">
        <v>1138</v>
      </c>
      <c r="D119" s="370">
        <v>0</v>
      </c>
      <c r="E119" s="935">
        <v>50000</v>
      </c>
      <c r="F119" s="370">
        <f t="shared" si="3"/>
        <v>-50000</v>
      </c>
      <c r="G119" s="928" t="s">
        <v>1141</v>
      </c>
    </row>
    <row r="120" spans="1:7" s="92" customFormat="1" ht="15" customHeight="1" thickBot="1" x14ac:dyDescent="0.3">
      <c r="A120" s="1979"/>
      <c r="B120" s="663" t="s">
        <v>233</v>
      </c>
      <c r="C120" s="291" t="s">
        <v>441</v>
      </c>
      <c r="D120" s="292">
        <v>0</v>
      </c>
      <c r="E120" s="292">
        <f>SUM(E118:E119)</f>
        <v>234396</v>
      </c>
      <c r="F120" s="583">
        <f t="shared" si="3"/>
        <v>-234396</v>
      </c>
      <c r="G120" s="928"/>
    </row>
    <row r="121" spans="1:7" s="92" customFormat="1" ht="15" customHeight="1" outlineLevel="1" x14ac:dyDescent="0.2">
      <c r="A121" s="1979"/>
      <c r="B121" s="107"/>
      <c r="C121" s="277" t="s">
        <v>340</v>
      </c>
      <c r="D121" s="278">
        <v>0</v>
      </c>
      <c r="E121" s="279">
        <v>95000</v>
      </c>
      <c r="F121" s="369">
        <f t="shared" si="3"/>
        <v>-95000</v>
      </c>
      <c r="G121" s="928" t="s">
        <v>1140</v>
      </c>
    </row>
    <row r="122" spans="1:7" s="92" customFormat="1" ht="15" customHeight="1" outlineLevel="1" x14ac:dyDescent="0.2">
      <c r="A122" s="1979"/>
      <c r="B122" s="107"/>
      <c r="C122" s="222"/>
      <c r="D122" s="211"/>
      <c r="E122" s="211"/>
      <c r="F122" s="370">
        <f t="shared" si="3"/>
        <v>0</v>
      </c>
      <c r="G122" s="928"/>
    </row>
    <row r="123" spans="1:7" s="92" customFormat="1" ht="15" customHeight="1" thickBot="1" x14ac:dyDescent="0.3">
      <c r="A123" s="1979"/>
      <c r="B123" s="663" t="s">
        <v>233</v>
      </c>
      <c r="C123" s="291" t="s">
        <v>442</v>
      </c>
      <c r="D123" s="292">
        <v>0</v>
      </c>
      <c r="E123" s="292">
        <f>SUM(E121:E122)</f>
        <v>95000</v>
      </c>
      <c r="F123" s="583">
        <f t="shared" si="3"/>
        <v>-95000</v>
      </c>
      <c r="G123" s="928"/>
    </row>
    <row r="124" spans="1:7" s="92" customFormat="1" ht="15" customHeight="1" outlineLevel="1" x14ac:dyDescent="0.2">
      <c r="A124" s="1979"/>
      <c r="B124" s="107"/>
      <c r="C124" s="277" t="s">
        <v>340</v>
      </c>
      <c r="D124" s="278">
        <v>0</v>
      </c>
      <c r="E124" s="278">
        <v>0</v>
      </c>
      <c r="F124" s="369">
        <f t="shared" si="3"/>
        <v>0</v>
      </c>
      <c r="G124" s="928"/>
    </row>
    <row r="125" spans="1:7" s="92" customFormat="1" ht="15" customHeight="1" outlineLevel="1" x14ac:dyDescent="0.2">
      <c r="A125" s="1979"/>
      <c r="B125" s="107"/>
      <c r="C125" s="222"/>
      <c r="D125" s="211"/>
      <c r="E125" s="211"/>
      <c r="F125" s="370">
        <f t="shared" si="3"/>
        <v>0</v>
      </c>
      <c r="G125" s="928"/>
    </row>
    <row r="126" spans="1:7" s="92" customFormat="1" ht="15" customHeight="1" thickBot="1" x14ac:dyDescent="0.3">
      <c r="A126" s="1979"/>
      <c r="B126" s="663" t="s">
        <v>233</v>
      </c>
      <c r="C126" s="291" t="s">
        <v>849</v>
      </c>
      <c r="D126" s="292">
        <v>0</v>
      </c>
      <c r="E126" s="292">
        <f>SUM(E124:E125)</f>
        <v>0</v>
      </c>
      <c r="F126" s="583">
        <f t="shared" si="3"/>
        <v>0</v>
      </c>
      <c r="G126" s="928"/>
    </row>
    <row r="127" spans="1:7" s="92" customFormat="1" ht="15" customHeight="1" outlineLevel="1" x14ac:dyDescent="0.2">
      <c r="A127" s="1979"/>
      <c r="B127" s="107"/>
      <c r="C127" s="277" t="s">
        <v>340</v>
      </c>
      <c r="D127" s="278">
        <v>0</v>
      </c>
      <c r="E127" s="278">
        <v>0</v>
      </c>
      <c r="F127" s="369">
        <f t="shared" si="3"/>
        <v>0</v>
      </c>
      <c r="G127" s="928"/>
    </row>
    <row r="128" spans="1:7" s="92" customFormat="1" ht="15" customHeight="1" outlineLevel="1" x14ac:dyDescent="0.25">
      <c r="A128" s="1979"/>
      <c r="B128" s="107"/>
      <c r="C128" s="222" t="s">
        <v>332</v>
      </c>
      <c r="D128" s="211"/>
      <c r="E128" s="210">
        <v>0</v>
      </c>
      <c r="F128" s="370">
        <f t="shared" si="3"/>
        <v>0</v>
      </c>
      <c r="G128" s="924" t="s">
        <v>1140</v>
      </c>
    </row>
    <row r="129" spans="1:7" s="92" customFormat="1" ht="15" customHeight="1" thickBot="1" x14ac:dyDescent="0.3">
      <c r="A129" s="1979"/>
      <c r="B129" s="663" t="s">
        <v>233</v>
      </c>
      <c r="C129" s="291" t="s">
        <v>850</v>
      </c>
      <c r="D129" s="292">
        <v>0</v>
      </c>
      <c r="E129" s="292">
        <f>SUM(E127:E128)</f>
        <v>0</v>
      </c>
      <c r="F129" s="583">
        <f t="shared" si="3"/>
        <v>0</v>
      </c>
      <c r="G129" s="928"/>
    </row>
    <row r="130" spans="1:7" s="92" customFormat="1" ht="15" customHeight="1" outlineLevel="1" x14ac:dyDescent="0.25">
      <c r="A130" s="1979"/>
      <c r="B130" s="107"/>
      <c r="C130" s="277" t="s">
        <v>340</v>
      </c>
      <c r="D130" s="278">
        <v>0</v>
      </c>
      <c r="E130" s="279">
        <v>217516</v>
      </c>
      <c r="F130" s="369">
        <f t="shared" si="3"/>
        <v>-217516</v>
      </c>
      <c r="G130" s="924" t="s">
        <v>1140</v>
      </c>
    </row>
    <row r="131" spans="1:7" s="92" customFormat="1" ht="15" customHeight="1" outlineLevel="1" x14ac:dyDescent="0.2">
      <c r="A131" s="1979"/>
      <c r="B131" s="107"/>
      <c r="C131" s="222"/>
      <c r="D131" s="211"/>
      <c r="E131" s="211"/>
      <c r="F131" s="370">
        <f t="shared" si="3"/>
        <v>0</v>
      </c>
      <c r="G131" s="928"/>
    </row>
    <row r="132" spans="1:7" s="92" customFormat="1" ht="15" customHeight="1" thickBot="1" x14ac:dyDescent="0.3">
      <c r="A132" s="1979"/>
      <c r="B132" s="663" t="s">
        <v>233</v>
      </c>
      <c r="C132" s="306" t="s">
        <v>445</v>
      </c>
      <c r="D132" s="307">
        <v>0</v>
      </c>
      <c r="E132" s="307">
        <f>SUM(E130:E131)</f>
        <v>217516</v>
      </c>
      <c r="F132" s="582">
        <f t="shared" si="3"/>
        <v>-217516</v>
      </c>
      <c r="G132" s="928"/>
    </row>
    <row r="133" spans="1:7" s="92" customFormat="1" ht="15" customHeight="1" outlineLevel="1" x14ac:dyDescent="0.2">
      <c r="A133" s="1979"/>
      <c r="B133" s="107"/>
      <c r="C133" s="277" t="s">
        <v>340</v>
      </c>
      <c r="D133" s="278">
        <v>200000</v>
      </c>
      <c r="E133" s="279">
        <v>200000</v>
      </c>
      <c r="F133" s="369">
        <f t="shared" ref="F133:F182" si="4">D133-E133</f>
        <v>0</v>
      </c>
      <c r="G133" s="928"/>
    </row>
    <row r="134" spans="1:7" s="92" customFormat="1" ht="15" customHeight="1" outlineLevel="1" x14ac:dyDescent="0.2">
      <c r="A134" s="1979"/>
      <c r="B134" s="107"/>
      <c r="C134" s="222" t="s">
        <v>642</v>
      </c>
      <c r="D134" s="211">
        <v>0</v>
      </c>
      <c r="E134" s="211">
        <v>0</v>
      </c>
      <c r="F134" s="370">
        <f t="shared" si="4"/>
        <v>0</v>
      </c>
      <c r="G134" s="928"/>
    </row>
    <row r="135" spans="1:7" s="92" customFormat="1" ht="15" customHeight="1" thickBot="1" x14ac:dyDescent="0.3">
      <c r="A135" s="1979"/>
      <c r="B135" s="663" t="s">
        <v>233</v>
      </c>
      <c r="C135" s="291" t="s">
        <v>871</v>
      </c>
      <c r="D135" s="292">
        <v>200000</v>
      </c>
      <c r="E135" s="292">
        <f>SUM(E133:E134)</f>
        <v>200000</v>
      </c>
      <c r="F135" s="583">
        <f>D135-E135</f>
        <v>0</v>
      </c>
      <c r="G135" s="928"/>
    </row>
    <row r="136" spans="1:7" s="92" customFormat="1" ht="15" customHeight="1" outlineLevel="1" x14ac:dyDescent="0.2">
      <c r="A136" s="1979"/>
      <c r="B136" s="107"/>
      <c r="C136" s="277" t="s">
        <v>340</v>
      </c>
      <c r="D136" s="211">
        <v>0</v>
      </c>
      <c r="E136" s="211">
        <v>0</v>
      </c>
      <c r="F136" s="370">
        <f t="shared" si="4"/>
        <v>0</v>
      </c>
      <c r="G136" s="928"/>
    </row>
    <row r="137" spans="1:7" s="92" customFormat="1" ht="15" customHeight="1" thickBot="1" x14ac:dyDescent="0.3">
      <c r="A137" s="1979"/>
      <c r="B137" s="663" t="s">
        <v>233</v>
      </c>
      <c r="C137" s="291" t="s">
        <v>851</v>
      </c>
      <c r="D137" s="292">
        <v>0</v>
      </c>
      <c r="E137" s="292">
        <f>SUM(E136)</f>
        <v>0</v>
      </c>
      <c r="F137" s="583">
        <f t="shared" si="4"/>
        <v>0</v>
      </c>
      <c r="G137" s="928"/>
    </row>
    <row r="138" spans="1:7" s="92" customFormat="1" ht="15" customHeight="1" outlineLevel="1" x14ac:dyDescent="0.2">
      <c r="A138" s="1979"/>
      <c r="B138" s="107"/>
      <c r="C138" s="277" t="s">
        <v>340</v>
      </c>
      <c r="D138" s="278">
        <v>0</v>
      </c>
      <c r="E138" s="278">
        <v>0</v>
      </c>
      <c r="F138" s="369">
        <f t="shared" si="4"/>
        <v>0</v>
      </c>
      <c r="G138" s="928"/>
    </row>
    <row r="139" spans="1:7" s="92" customFormat="1" ht="15" customHeight="1" outlineLevel="1" x14ac:dyDescent="0.2">
      <c r="A139" s="1979"/>
      <c r="B139" s="107"/>
      <c r="C139" s="222"/>
      <c r="D139" s="211"/>
      <c r="E139" s="211"/>
      <c r="F139" s="370">
        <f t="shared" si="4"/>
        <v>0</v>
      </c>
      <c r="G139" s="928"/>
    </row>
    <row r="140" spans="1:7" s="92" customFormat="1" ht="15" customHeight="1" thickBot="1" x14ac:dyDescent="0.3">
      <c r="A140" s="1979"/>
      <c r="B140" s="663" t="s">
        <v>233</v>
      </c>
      <c r="C140" s="291" t="s">
        <v>852</v>
      </c>
      <c r="D140" s="292">
        <v>0</v>
      </c>
      <c r="E140" s="292">
        <f>SUM(E138:E139)</f>
        <v>0</v>
      </c>
      <c r="F140" s="583">
        <f t="shared" si="4"/>
        <v>0</v>
      </c>
      <c r="G140" s="928"/>
    </row>
    <row r="141" spans="1:7" s="92" customFormat="1" ht="15" customHeight="1" outlineLevel="1" x14ac:dyDescent="0.2">
      <c r="A141" s="1979"/>
      <c r="B141" s="107"/>
      <c r="C141" s="277" t="s">
        <v>340</v>
      </c>
      <c r="D141" s="278">
        <v>200000</v>
      </c>
      <c r="E141" s="937">
        <v>0</v>
      </c>
      <c r="F141" s="369">
        <f t="shared" si="4"/>
        <v>200000</v>
      </c>
      <c r="G141" s="928"/>
    </row>
    <row r="142" spans="1:7" s="92" customFormat="1" ht="15" customHeight="1" outlineLevel="1" x14ac:dyDescent="0.2">
      <c r="A142" s="1979"/>
      <c r="B142" s="107"/>
      <c r="C142" s="222"/>
      <c r="D142" s="211"/>
      <c r="E142" s="211"/>
      <c r="F142" s="370">
        <f t="shared" si="4"/>
        <v>0</v>
      </c>
      <c r="G142" s="928"/>
    </row>
    <row r="143" spans="1:7" s="92" customFormat="1" ht="15" customHeight="1" thickBot="1" x14ac:dyDescent="0.3">
      <c r="A143" s="1979"/>
      <c r="B143" s="663" t="s">
        <v>233</v>
      </c>
      <c r="C143" s="291" t="s">
        <v>853</v>
      </c>
      <c r="D143" s="292">
        <v>200000</v>
      </c>
      <c r="E143" s="292">
        <f>SUM(E141:E142)</f>
        <v>0</v>
      </c>
      <c r="F143" s="583">
        <f t="shared" si="4"/>
        <v>200000</v>
      </c>
      <c r="G143" s="928"/>
    </row>
    <row r="144" spans="1:7" s="92" customFormat="1" ht="15" customHeight="1" outlineLevel="1" x14ac:dyDescent="0.2">
      <c r="A144" s="1979"/>
      <c r="B144" s="107"/>
      <c r="C144" s="277" t="s">
        <v>340</v>
      </c>
      <c r="D144" s="278">
        <v>190000</v>
      </c>
      <c r="E144" s="937">
        <v>190000</v>
      </c>
      <c r="F144" s="369">
        <f t="shared" si="4"/>
        <v>0</v>
      </c>
      <c r="G144" s="928"/>
    </row>
    <row r="145" spans="1:7" s="92" customFormat="1" ht="15" customHeight="1" outlineLevel="1" x14ac:dyDescent="0.2">
      <c r="A145" s="1979"/>
      <c r="B145" s="107"/>
      <c r="C145" s="222"/>
      <c r="D145" s="211"/>
      <c r="E145" s="211"/>
      <c r="F145" s="370">
        <f t="shared" si="4"/>
        <v>0</v>
      </c>
      <c r="G145" s="928"/>
    </row>
    <row r="146" spans="1:7" s="92" customFormat="1" ht="15" customHeight="1" thickBot="1" x14ac:dyDescent="0.3">
      <c r="A146" s="1979"/>
      <c r="B146" s="663" t="s">
        <v>233</v>
      </c>
      <c r="C146" s="291" t="s">
        <v>854</v>
      </c>
      <c r="D146" s="292">
        <v>190000</v>
      </c>
      <c r="E146" s="292">
        <f>SUM(E144:E145)</f>
        <v>190000</v>
      </c>
      <c r="F146" s="583">
        <f t="shared" si="4"/>
        <v>0</v>
      </c>
      <c r="G146" s="928"/>
    </row>
    <row r="147" spans="1:7" s="92" customFormat="1" ht="15" customHeight="1" outlineLevel="1" x14ac:dyDescent="0.2">
      <c r="A147" s="1979"/>
      <c r="B147" s="107"/>
      <c r="C147" s="277" t="s">
        <v>340</v>
      </c>
      <c r="D147" s="278">
        <v>300000</v>
      </c>
      <c r="E147" s="937">
        <v>300000</v>
      </c>
      <c r="F147" s="369">
        <f t="shared" si="4"/>
        <v>0</v>
      </c>
      <c r="G147" s="928"/>
    </row>
    <row r="148" spans="1:7" s="92" customFormat="1" ht="15" customHeight="1" outlineLevel="1" x14ac:dyDescent="0.2">
      <c r="A148" s="1979"/>
      <c r="B148" s="107"/>
      <c r="C148" s="222"/>
      <c r="D148" s="211"/>
      <c r="E148" s="211"/>
      <c r="F148" s="370">
        <f t="shared" si="4"/>
        <v>0</v>
      </c>
      <c r="G148" s="928"/>
    </row>
    <row r="149" spans="1:7" s="92" customFormat="1" ht="15" customHeight="1" thickBot="1" x14ac:dyDescent="0.3">
      <c r="A149" s="1979"/>
      <c r="B149" s="663" t="s">
        <v>233</v>
      </c>
      <c r="C149" s="291" t="s">
        <v>883</v>
      </c>
      <c r="D149" s="292">
        <v>300000</v>
      </c>
      <c r="E149" s="292">
        <f>SUM(E147:E148)</f>
        <v>300000</v>
      </c>
      <c r="F149" s="583">
        <f t="shared" si="4"/>
        <v>0</v>
      </c>
      <c r="G149" s="928"/>
    </row>
    <row r="150" spans="1:7" s="92" customFormat="1" ht="15" customHeight="1" outlineLevel="1" x14ac:dyDescent="0.2">
      <c r="A150" s="1979"/>
      <c r="B150" s="107"/>
      <c r="C150" s="277" t="s">
        <v>340</v>
      </c>
      <c r="D150" s="278">
        <v>0</v>
      </c>
      <c r="E150" s="278">
        <v>0</v>
      </c>
      <c r="F150" s="369">
        <f t="shared" ref="F150:F155" si="5">D150-E150</f>
        <v>0</v>
      </c>
      <c r="G150" s="928"/>
    </row>
    <row r="151" spans="1:7" s="92" customFormat="1" ht="15" customHeight="1" outlineLevel="1" x14ac:dyDescent="0.2">
      <c r="A151" s="1979"/>
      <c r="B151" s="107"/>
      <c r="C151" s="222"/>
      <c r="D151" s="211"/>
      <c r="E151" s="211"/>
      <c r="F151" s="370">
        <f t="shared" si="5"/>
        <v>0</v>
      </c>
      <c r="G151" s="928"/>
    </row>
    <row r="152" spans="1:7" s="92" customFormat="1" ht="15" customHeight="1" thickBot="1" x14ac:dyDescent="0.3">
      <c r="A152" s="1979"/>
      <c r="B152" s="663" t="s">
        <v>233</v>
      </c>
      <c r="C152" s="291" t="s">
        <v>855</v>
      </c>
      <c r="D152" s="292">
        <v>0</v>
      </c>
      <c r="E152" s="292">
        <f>SUM(E150:E151)</f>
        <v>0</v>
      </c>
      <c r="F152" s="583">
        <f t="shared" si="5"/>
        <v>0</v>
      </c>
      <c r="G152" s="928"/>
    </row>
    <row r="153" spans="1:7" s="92" customFormat="1" ht="15" customHeight="1" outlineLevel="1" x14ac:dyDescent="0.2">
      <c r="A153" s="1979"/>
      <c r="B153" s="107"/>
      <c r="C153" s="277" t="s">
        <v>340</v>
      </c>
      <c r="D153" s="278">
        <v>0</v>
      </c>
      <c r="E153" s="279">
        <v>574334</v>
      </c>
      <c r="F153" s="369">
        <f t="shared" si="5"/>
        <v>-574334</v>
      </c>
      <c r="G153" s="932" t="s">
        <v>1143</v>
      </c>
    </row>
    <row r="154" spans="1:7" s="92" customFormat="1" ht="15" customHeight="1" outlineLevel="1" x14ac:dyDescent="0.2">
      <c r="A154" s="1979"/>
      <c r="B154" s="107"/>
      <c r="C154" s="222"/>
      <c r="D154" s="211"/>
      <c r="E154" s="211"/>
      <c r="F154" s="370">
        <f t="shared" si="5"/>
        <v>0</v>
      </c>
      <c r="G154" s="928"/>
    </row>
    <row r="155" spans="1:7" s="92" customFormat="1" ht="15" customHeight="1" thickBot="1" x14ac:dyDescent="0.3">
      <c r="A155" s="1979"/>
      <c r="B155" s="663" t="s">
        <v>233</v>
      </c>
      <c r="C155" s="291" t="s">
        <v>884</v>
      </c>
      <c r="D155" s="292">
        <v>0</v>
      </c>
      <c r="E155" s="292">
        <f>SUM(E153:E154)</f>
        <v>574334</v>
      </c>
      <c r="F155" s="583">
        <f t="shared" si="5"/>
        <v>-574334</v>
      </c>
      <c r="G155" s="928"/>
    </row>
    <row r="156" spans="1:7" s="92" customFormat="1" ht="15" customHeight="1" outlineLevel="1" x14ac:dyDescent="0.2">
      <c r="A156" s="1979"/>
      <c r="B156" s="107"/>
      <c r="C156" s="277" t="s">
        <v>340</v>
      </c>
      <c r="D156" s="278">
        <v>0</v>
      </c>
      <c r="E156" s="278">
        <v>0</v>
      </c>
      <c r="F156" s="369">
        <f t="shared" si="4"/>
        <v>0</v>
      </c>
      <c r="G156" s="928"/>
    </row>
    <row r="157" spans="1:7" s="92" customFormat="1" ht="15" customHeight="1" outlineLevel="1" x14ac:dyDescent="0.2">
      <c r="A157" s="1979"/>
      <c r="B157" s="107"/>
      <c r="C157" s="222"/>
      <c r="D157" s="211"/>
      <c r="E157" s="211"/>
      <c r="F157" s="370">
        <f t="shared" si="4"/>
        <v>0</v>
      </c>
      <c r="G157" s="928"/>
    </row>
    <row r="158" spans="1:7" s="92" customFormat="1" ht="15" customHeight="1" thickBot="1" x14ac:dyDescent="0.3">
      <c r="A158" s="1979"/>
      <c r="B158" s="663" t="s">
        <v>233</v>
      </c>
      <c r="C158" s="291" t="s">
        <v>856</v>
      </c>
      <c r="D158" s="292">
        <v>0</v>
      </c>
      <c r="E158" s="292">
        <f>SUM(E156:E157)</f>
        <v>0</v>
      </c>
      <c r="F158" s="583">
        <f t="shared" si="4"/>
        <v>0</v>
      </c>
      <c r="G158" s="928"/>
    </row>
    <row r="159" spans="1:7" s="92" customFormat="1" ht="15" customHeight="1" outlineLevel="1" x14ac:dyDescent="0.2">
      <c r="A159" s="1979"/>
      <c r="B159" s="107"/>
      <c r="C159" s="277" t="s">
        <v>340</v>
      </c>
      <c r="D159" s="278">
        <v>0</v>
      </c>
      <c r="E159" s="279">
        <v>60000</v>
      </c>
      <c r="F159" s="369">
        <f>D159-E159</f>
        <v>-60000</v>
      </c>
      <c r="G159" s="928" t="s">
        <v>1142</v>
      </c>
    </row>
    <row r="160" spans="1:7" s="92" customFormat="1" ht="15" customHeight="1" outlineLevel="1" x14ac:dyDescent="0.2">
      <c r="A160" s="1979"/>
      <c r="B160" s="107"/>
      <c r="C160" s="222"/>
      <c r="D160" s="211"/>
      <c r="E160" s="211"/>
      <c r="F160" s="370">
        <f>D160-E160</f>
        <v>0</v>
      </c>
      <c r="G160" s="928"/>
    </row>
    <row r="161" spans="1:8" s="92" customFormat="1" ht="15" customHeight="1" thickBot="1" x14ac:dyDescent="0.3">
      <c r="A161" s="1979"/>
      <c r="B161" s="663" t="s">
        <v>233</v>
      </c>
      <c r="C161" s="662" t="s">
        <v>1144</v>
      </c>
      <c r="D161" s="292">
        <v>0</v>
      </c>
      <c r="E161" s="292">
        <f>SUM(E159:E160)</f>
        <v>60000</v>
      </c>
      <c r="F161" s="583">
        <f>D161-E161</f>
        <v>-60000</v>
      </c>
      <c r="G161" s="932" t="s">
        <v>1140</v>
      </c>
    </row>
    <row r="162" spans="1:8" s="92" customFormat="1" ht="15" customHeight="1" outlineLevel="1" x14ac:dyDescent="0.2">
      <c r="A162" s="1979"/>
      <c r="B162" s="107"/>
      <c r="C162" s="277" t="s">
        <v>340</v>
      </c>
      <c r="D162" s="278">
        <v>0</v>
      </c>
      <c r="E162" s="279">
        <v>400000</v>
      </c>
      <c r="F162" s="369">
        <f t="shared" si="4"/>
        <v>-400000</v>
      </c>
      <c r="G162" s="928" t="s">
        <v>1142</v>
      </c>
    </row>
    <row r="163" spans="1:8" s="92" customFormat="1" ht="15" customHeight="1" outlineLevel="1" x14ac:dyDescent="0.2">
      <c r="A163" s="1979"/>
      <c r="B163" s="107"/>
      <c r="C163" s="222"/>
      <c r="D163" s="211"/>
      <c r="E163" s="211"/>
      <c r="F163" s="370">
        <f t="shared" si="4"/>
        <v>0</v>
      </c>
      <c r="G163" s="928"/>
    </row>
    <row r="164" spans="1:8" s="92" customFormat="1" ht="15" customHeight="1" thickBot="1" x14ac:dyDescent="0.3">
      <c r="A164" s="1980"/>
      <c r="B164" s="663" t="s">
        <v>233</v>
      </c>
      <c r="C164" s="662" t="s">
        <v>857</v>
      </c>
      <c r="D164" s="292">
        <v>0</v>
      </c>
      <c r="E164" s="292">
        <f>SUM(E162:E163)</f>
        <v>400000</v>
      </c>
      <c r="F164" s="583">
        <f t="shared" si="4"/>
        <v>-400000</v>
      </c>
      <c r="G164" s="928"/>
    </row>
    <row r="165" spans="1:8" s="92" customFormat="1" ht="15" customHeight="1" thickBot="1" x14ac:dyDescent="0.25">
      <c r="A165" s="903"/>
      <c r="B165" s="904"/>
      <c r="C165" s="904"/>
      <c r="D165" s="904"/>
      <c r="E165" s="904"/>
      <c r="F165" s="905"/>
      <c r="G165" s="928"/>
    </row>
    <row r="166" spans="1:8" s="92" customFormat="1" ht="15" customHeight="1" outlineLevel="1" x14ac:dyDescent="0.2">
      <c r="A166" s="1976"/>
      <c r="B166" s="235"/>
      <c r="C166" s="277" t="s">
        <v>340</v>
      </c>
      <c r="D166" s="278">
        <v>0</v>
      </c>
      <c r="E166" s="278">
        <v>0</v>
      </c>
      <c r="F166" s="369">
        <f>D166-E166</f>
        <v>0</v>
      </c>
      <c r="G166" s="928"/>
    </row>
    <row r="167" spans="1:8" s="92" customFormat="1" ht="15" customHeight="1" outlineLevel="1" x14ac:dyDescent="0.2">
      <c r="A167" s="1974"/>
      <c r="B167" s="107"/>
      <c r="C167" s="222"/>
      <c r="D167" s="211">
        <v>0</v>
      </c>
      <c r="E167" s="211">
        <v>0</v>
      </c>
      <c r="F167" s="370">
        <f>D167-E167</f>
        <v>0</v>
      </c>
      <c r="G167" s="928"/>
    </row>
    <row r="168" spans="1:8" s="216" customFormat="1" ht="13.5" thickBot="1" x14ac:dyDescent="0.25">
      <c r="A168" s="345">
        <v>3633</v>
      </c>
      <c r="B168" s="346" t="s">
        <v>239</v>
      </c>
      <c r="C168" s="303"/>
      <c r="D168" s="307">
        <v>0</v>
      </c>
      <c r="E168" s="307">
        <f>SUM(E166:E167)</f>
        <v>0</v>
      </c>
      <c r="F168" s="582">
        <f>D168-E168</f>
        <v>0</v>
      </c>
      <c r="G168" s="930"/>
    </row>
    <row r="169" spans="1:8" s="216" customFormat="1" ht="13.5" thickBot="1" x14ac:dyDescent="0.25">
      <c r="A169" s="900"/>
      <c r="B169" s="901"/>
      <c r="C169" s="901"/>
      <c r="D169" s="901"/>
      <c r="E169" s="901"/>
      <c r="F169" s="902"/>
      <c r="G169" s="930"/>
    </row>
    <row r="170" spans="1:8" s="92" customFormat="1" ht="15" customHeight="1" outlineLevel="1" x14ac:dyDescent="0.2">
      <c r="A170" s="1978" t="s">
        <v>265</v>
      </c>
      <c r="B170" s="235"/>
      <c r="C170" s="277" t="s">
        <v>340</v>
      </c>
      <c r="D170" s="278">
        <v>0</v>
      </c>
      <c r="E170" s="278">
        <v>98247</v>
      </c>
      <c r="F170" s="369">
        <f t="shared" ref="F170:F178" si="6">D170-E170</f>
        <v>-98247</v>
      </c>
      <c r="G170" s="928" t="s">
        <v>1140</v>
      </c>
    </row>
    <row r="171" spans="1:8" s="92" customFormat="1" ht="15" customHeight="1" outlineLevel="1" x14ac:dyDescent="0.2">
      <c r="A171" s="1979"/>
      <c r="B171" s="107"/>
      <c r="C171" s="222"/>
      <c r="D171" s="211"/>
      <c r="E171" s="211"/>
      <c r="F171" s="370">
        <f t="shared" si="6"/>
        <v>0</v>
      </c>
      <c r="G171" s="928"/>
    </row>
    <row r="172" spans="1:8" s="216" customFormat="1" ht="13.5" thickBot="1" x14ac:dyDescent="0.25">
      <c r="A172" s="1979"/>
      <c r="B172" s="346" t="s">
        <v>237</v>
      </c>
      <c r="C172" s="303" t="s">
        <v>858</v>
      </c>
      <c r="D172" s="307">
        <v>0</v>
      </c>
      <c r="E172" s="307">
        <f>SUM(E170:E171)</f>
        <v>98247</v>
      </c>
      <c r="F172" s="582">
        <f t="shared" si="6"/>
        <v>-98247</v>
      </c>
      <c r="G172" s="929">
        <f>+E172+E175+E178</f>
        <v>2182827</v>
      </c>
      <c r="H172" s="595">
        <f>G172-'Sumář  výdaje kapitol'!BY63</f>
        <v>1872827</v>
      </c>
    </row>
    <row r="173" spans="1:8" s="92" customFormat="1" ht="15" customHeight="1" outlineLevel="1" x14ac:dyDescent="0.2">
      <c r="A173" s="1979"/>
      <c r="B173" s="235"/>
      <c r="C173" s="277" t="s">
        <v>340</v>
      </c>
      <c r="D173" s="278">
        <v>500000</v>
      </c>
      <c r="E173" s="278">
        <v>500000</v>
      </c>
      <c r="F173" s="369">
        <f t="shared" si="6"/>
        <v>0</v>
      </c>
      <c r="G173" s="928"/>
    </row>
    <row r="174" spans="1:8" s="92" customFormat="1" ht="15" customHeight="1" outlineLevel="1" x14ac:dyDescent="0.2">
      <c r="A174" s="1979"/>
      <c r="B174" s="107"/>
      <c r="C174" s="222" t="s">
        <v>409</v>
      </c>
      <c r="D174" s="211">
        <v>984580</v>
      </c>
      <c r="E174" s="211">
        <v>984580</v>
      </c>
      <c r="F174" s="370">
        <f t="shared" si="6"/>
        <v>0</v>
      </c>
      <c r="G174" s="928"/>
    </row>
    <row r="175" spans="1:8" s="216" customFormat="1" ht="13.5" thickBot="1" x14ac:dyDescent="0.25">
      <c r="A175" s="1979"/>
      <c r="B175" s="346" t="s">
        <v>237</v>
      </c>
      <c r="C175" s="303" t="s">
        <v>861</v>
      </c>
      <c r="D175" s="307">
        <v>1484580</v>
      </c>
      <c r="E175" s="307">
        <f>SUM(E173:E174)</f>
        <v>1484580</v>
      </c>
      <c r="F175" s="582">
        <f t="shared" si="6"/>
        <v>0</v>
      </c>
      <c r="G175" s="930"/>
    </row>
    <row r="176" spans="1:8" s="92" customFormat="1" ht="15" customHeight="1" outlineLevel="1" x14ac:dyDescent="0.2">
      <c r="A176" s="1979"/>
      <c r="B176" s="235"/>
      <c r="C176" s="277" t="s">
        <v>340</v>
      </c>
      <c r="D176" s="278">
        <v>600000</v>
      </c>
      <c r="E176" s="278">
        <v>600000</v>
      </c>
      <c r="F176" s="369">
        <f t="shared" si="6"/>
        <v>0</v>
      </c>
      <c r="G176" s="928"/>
    </row>
    <row r="177" spans="1:8" s="92" customFormat="1" ht="15" customHeight="1" outlineLevel="1" x14ac:dyDescent="0.2">
      <c r="A177" s="1979"/>
      <c r="B177" s="107"/>
      <c r="C177" s="222"/>
      <c r="D177" s="211"/>
      <c r="E177" s="211"/>
      <c r="F177" s="370">
        <f t="shared" si="6"/>
        <v>0</v>
      </c>
      <c r="G177" s="928"/>
    </row>
    <row r="178" spans="1:8" s="216" customFormat="1" ht="13.5" thickBot="1" x14ac:dyDescent="0.25">
      <c r="A178" s="1980"/>
      <c r="B178" s="346" t="s">
        <v>237</v>
      </c>
      <c r="C178" s="303" t="s">
        <v>860</v>
      </c>
      <c r="D178" s="307">
        <v>600000</v>
      </c>
      <c r="E178" s="307">
        <f>SUM(E176:E177)</f>
        <v>600000</v>
      </c>
      <c r="F178" s="582">
        <f t="shared" si="6"/>
        <v>0</v>
      </c>
      <c r="G178" s="930"/>
    </row>
    <row r="179" spans="1:8" s="216" customFormat="1" ht="13.5" thickBot="1" x14ac:dyDescent="0.25">
      <c r="A179" s="900"/>
      <c r="B179" s="901"/>
      <c r="C179" s="901"/>
      <c r="D179" s="901"/>
      <c r="E179" s="901"/>
      <c r="F179" s="902"/>
      <c r="G179" s="930"/>
    </row>
    <row r="180" spans="1:8" s="92" customFormat="1" ht="15" customHeight="1" outlineLevel="1" x14ac:dyDescent="0.2">
      <c r="A180" s="1976"/>
      <c r="B180" s="235"/>
      <c r="C180" s="277" t="s">
        <v>340</v>
      </c>
      <c r="D180" s="278">
        <v>0</v>
      </c>
      <c r="E180" s="278">
        <v>0</v>
      </c>
      <c r="F180" s="369">
        <f t="shared" si="4"/>
        <v>0</v>
      </c>
      <c r="G180" s="928"/>
    </row>
    <row r="181" spans="1:8" s="92" customFormat="1" ht="15" customHeight="1" outlineLevel="1" x14ac:dyDescent="0.2">
      <c r="A181" s="1974"/>
      <c r="B181" s="107"/>
      <c r="C181" s="222"/>
      <c r="D181" s="211"/>
      <c r="E181" s="211"/>
      <c r="F181" s="370">
        <f t="shared" si="4"/>
        <v>0</v>
      </c>
      <c r="G181" s="928"/>
    </row>
    <row r="182" spans="1:8" s="216" customFormat="1" ht="13.5" thickBot="1" x14ac:dyDescent="0.25">
      <c r="A182" s="345">
        <v>2310</v>
      </c>
      <c r="B182" s="303" t="s">
        <v>235</v>
      </c>
      <c r="C182" s="303"/>
      <c r="D182" s="307">
        <v>0</v>
      </c>
      <c r="E182" s="307">
        <f>SUM(E180:E181)</f>
        <v>0</v>
      </c>
      <c r="F182" s="582">
        <f t="shared" si="4"/>
        <v>0</v>
      </c>
      <c r="G182" s="930"/>
    </row>
    <row r="183" spans="1:8" s="216" customFormat="1" ht="13.5" thickBot="1" x14ac:dyDescent="0.25">
      <c r="A183" s="900"/>
      <c r="B183" s="901"/>
      <c r="C183" s="901"/>
      <c r="D183" s="901"/>
      <c r="E183" s="901"/>
      <c r="F183" s="902"/>
      <c r="G183" s="930"/>
    </row>
    <row r="184" spans="1:8" s="92" customFormat="1" ht="15" customHeight="1" outlineLevel="1" x14ac:dyDescent="0.2">
      <c r="A184" s="1976"/>
      <c r="B184" s="235"/>
      <c r="C184" s="277" t="s">
        <v>340</v>
      </c>
      <c r="D184" s="278">
        <v>0</v>
      </c>
      <c r="E184" s="278">
        <v>0</v>
      </c>
      <c r="F184" s="369">
        <f>D184-E184</f>
        <v>0</v>
      </c>
      <c r="G184" s="928"/>
    </row>
    <row r="185" spans="1:8" s="92" customFormat="1" outlineLevel="1" x14ac:dyDescent="0.2">
      <c r="A185" s="1975"/>
      <c r="B185" s="107"/>
      <c r="C185" s="222"/>
      <c r="D185" s="211"/>
      <c r="E185" s="211"/>
      <c r="F185" s="370">
        <f>D185-E185</f>
        <v>0</v>
      </c>
      <c r="G185" s="928"/>
    </row>
    <row r="186" spans="1:8" s="216" customFormat="1" ht="13.5" thickBot="1" x14ac:dyDescent="0.25">
      <c r="A186" s="345">
        <v>3329</v>
      </c>
      <c r="B186" s="303" t="s">
        <v>247</v>
      </c>
      <c r="C186" s="303" t="s">
        <v>247</v>
      </c>
      <c r="D186" s="307">
        <v>0</v>
      </c>
      <c r="E186" s="307">
        <f>SUM(E184:E185)</f>
        <v>0</v>
      </c>
      <c r="F186" s="582">
        <f>D186-E186</f>
        <v>0</v>
      </c>
      <c r="G186" s="930"/>
    </row>
    <row r="187" spans="1:8" s="216" customFormat="1" ht="13.5" thickBot="1" x14ac:dyDescent="0.25">
      <c r="A187" s="664"/>
      <c r="B187" s="665"/>
      <c r="C187" s="665"/>
      <c r="D187" s="666"/>
      <c r="E187" s="666"/>
      <c r="F187" s="667"/>
      <c r="G187" s="930"/>
    </row>
    <row r="188" spans="1:8" s="92" customFormat="1" ht="15" customHeight="1" outlineLevel="1" x14ac:dyDescent="0.2">
      <c r="A188" s="1976"/>
      <c r="B188" s="235"/>
      <c r="C188" s="277" t="s">
        <v>806</v>
      </c>
      <c r="D188" s="278">
        <v>36000</v>
      </c>
      <c r="E188" s="278">
        <v>36000</v>
      </c>
      <c r="F188" s="369">
        <f>D188-E188</f>
        <v>0</v>
      </c>
      <c r="G188" s="928"/>
    </row>
    <row r="189" spans="1:8" s="92" customFormat="1" ht="15" customHeight="1" outlineLevel="1" x14ac:dyDescent="0.2">
      <c r="A189" s="1974"/>
      <c r="B189" s="107"/>
      <c r="C189" s="222" t="s">
        <v>174</v>
      </c>
      <c r="D189" s="211">
        <v>400000</v>
      </c>
      <c r="E189" s="211">
        <v>400000</v>
      </c>
      <c r="F189" s="370">
        <f>D189-E189</f>
        <v>0</v>
      </c>
      <c r="G189" s="928"/>
    </row>
    <row r="190" spans="1:8" s="216" customFormat="1" ht="13.5" thickBot="1" x14ac:dyDescent="0.25">
      <c r="A190" s="345">
        <v>3749</v>
      </c>
      <c r="B190" s="303" t="s">
        <v>245</v>
      </c>
      <c r="C190" s="303"/>
      <c r="D190" s="307">
        <v>436000</v>
      </c>
      <c r="E190" s="307">
        <f>SUM(E188:E189)</f>
        <v>436000</v>
      </c>
      <c r="F190" s="582">
        <f>D190-E190</f>
        <v>0</v>
      </c>
      <c r="G190" s="930"/>
      <c r="H190" s="595">
        <f>D190-'Sumář  výdaje kapitol'!CO63</f>
        <v>214000</v>
      </c>
    </row>
    <row r="191" spans="1:8" s="216" customFormat="1" ht="13.5" thickBot="1" x14ac:dyDescent="0.25">
      <c r="A191" s="664"/>
      <c r="B191" s="665"/>
      <c r="C191" s="665"/>
      <c r="D191" s="666"/>
      <c r="E191" s="666"/>
      <c r="F191" s="667"/>
      <c r="G191" s="930"/>
    </row>
    <row r="192" spans="1:8" s="92" customFormat="1" ht="15" customHeight="1" outlineLevel="1" x14ac:dyDescent="0.2">
      <c r="A192" s="1976"/>
      <c r="B192" s="235"/>
      <c r="C192" s="277" t="s">
        <v>340</v>
      </c>
      <c r="D192" s="278"/>
      <c r="E192" s="278"/>
      <c r="F192" s="369">
        <f>D192-E192</f>
        <v>0</v>
      </c>
      <c r="G192" s="928"/>
    </row>
    <row r="193" spans="1:8" s="92" customFormat="1" ht="15" customHeight="1" outlineLevel="1" x14ac:dyDescent="0.2">
      <c r="A193" s="1974"/>
      <c r="B193" s="107"/>
      <c r="C193" s="222"/>
      <c r="D193" s="211"/>
      <c r="E193" s="211"/>
      <c r="F193" s="370">
        <f>D193-E193</f>
        <v>0</v>
      </c>
      <c r="G193" s="928"/>
    </row>
    <row r="194" spans="1:8" s="216" customFormat="1" ht="13.5" thickBot="1" x14ac:dyDescent="0.25">
      <c r="A194" s="345">
        <v>3744</v>
      </c>
      <c r="B194" s="303" t="s">
        <v>244</v>
      </c>
      <c r="C194" s="303"/>
      <c r="D194" s="307">
        <v>0</v>
      </c>
      <c r="E194" s="307">
        <f>SUM(E192:E193)</f>
        <v>0</v>
      </c>
      <c r="F194" s="582">
        <f>D194-E194</f>
        <v>0</v>
      </c>
      <c r="G194" s="930"/>
    </row>
    <row r="195" spans="1:8" s="216" customFormat="1" ht="13.5" thickBot="1" x14ac:dyDescent="0.25">
      <c r="A195" s="900"/>
      <c r="B195" s="901"/>
      <c r="C195" s="901"/>
      <c r="D195" s="901"/>
      <c r="E195" s="901"/>
      <c r="F195" s="902"/>
      <c r="G195" s="930"/>
    </row>
    <row r="196" spans="1:8" s="92" customFormat="1" ht="15" customHeight="1" outlineLevel="1" x14ac:dyDescent="0.2">
      <c r="A196" s="1978" t="s">
        <v>270</v>
      </c>
      <c r="B196" s="235"/>
      <c r="C196" s="277" t="s">
        <v>340</v>
      </c>
      <c r="D196" s="278">
        <v>170000</v>
      </c>
      <c r="E196" s="278">
        <v>170000</v>
      </c>
      <c r="F196" s="369">
        <f t="shared" ref="F196:F201" si="7">D196-E196</f>
        <v>0</v>
      </c>
      <c r="G196" s="928"/>
    </row>
    <row r="197" spans="1:8" s="92" customFormat="1" ht="15" customHeight="1" outlineLevel="1" x14ac:dyDescent="0.2">
      <c r="A197" s="1979"/>
      <c r="B197" s="107"/>
      <c r="C197" s="222"/>
      <c r="D197" s="278"/>
      <c r="E197" s="278"/>
      <c r="F197" s="369"/>
      <c r="G197" s="928"/>
    </row>
    <row r="198" spans="1:8" s="216" customFormat="1" ht="19.5" customHeight="1" thickBot="1" x14ac:dyDescent="0.25">
      <c r="A198" s="1979"/>
      <c r="B198" s="303" t="s">
        <v>248</v>
      </c>
      <c r="C198" s="303" t="s">
        <v>415</v>
      </c>
      <c r="D198" s="307">
        <v>170000</v>
      </c>
      <c r="E198" s="307">
        <f>SUM(E196:E197)</f>
        <v>170000</v>
      </c>
      <c r="F198" s="582">
        <f t="shared" si="7"/>
        <v>0</v>
      </c>
      <c r="G198" s="929">
        <f>+D198+D201</f>
        <v>170000</v>
      </c>
      <c r="H198" s="595">
        <f>G198-'Sumář  výdaje kapitol'!CX63</f>
        <v>0</v>
      </c>
    </row>
    <row r="199" spans="1:8" s="92" customFormat="1" ht="15" customHeight="1" outlineLevel="1" x14ac:dyDescent="0.2">
      <c r="A199" s="1979"/>
      <c r="B199" s="107"/>
      <c r="C199" s="277" t="s">
        <v>340</v>
      </c>
      <c r="D199" s="278"/>
      <c r="E199" s="278"/>
      <c r="F199" s="369">
        <f t="shared" si="7"/>
        <v>0</v>
      </c>
      <c r="G199" s="928"/>
    </row>
    <row r="200" spans="1:8" s="92" customFormat="1" ht="15" customHeight="1" outlineLevel="1" x14ac:dyDescent="0.2">
      <c r="A200" s="1979"/>
      <c r="B200" s="107"/>
      <c r="C200" s="222"/>
      <c r="D200" s="278"/>
      <c r="E200" s="278"/>
      <c r="F200" s="369">
        <f t="shared" si="7"/>
        <v>0</v>
      </c>
      <c r="G200" s="928"/>
    </row>
    <row r="201" spans="1:8" s="216" customFormat="1" ht="12.75" customHeight="1" thickBot="1" x14ac:dyDescent="0.25">
      <c r="A201" s="1980"/>
      <c r="B201" s="303" t="s">
        <v>248</v>
      </c>
      <c r="C201" s="303" t="s">
        <v>862</v>
      </c>
      <c r="D201" s="307">
        <v>0</v>
      </c>
      <c r="E201" s="307">
        <f>SUM(E199:E200)</f>
        <v>0</v>
      </c>
      <c r="F201" s="582">
        <f t="shared" si="7"/>
        <v>0</v>
      </c>
      <c r="G201" s="930"/>
    </row>
    <row r="202" spans="1:8" s="95" customFormat="1" ht="20.100000000000001" customHeight="1" thickBot="1" x14ac:dyDescent="0.3">
      <c r="A202" s="110"/>
      <c r="B202" s="111"/>
      <c r="C202" s="112" t="s">
        <v>2</v>
      </c>
      <c r="D202" s="97">
        <v>12614452</v>
      </c>
      <c r="E202" s="97">
        <f>+E20+E23+E26+E29+E33+E36+E39+E42+E45+E49+E53+E57+E61+E65+E68+E72+E76+E80+E84+E88+E92+E96+E99+E102++E105+E108+E114+E117+E120+E123+E126+E129+E132+E135+E140+E143+E146+E149+E152+E155+E164+E168+E172+E175+E178+E182+E186+E190+E194+E198+E201+E111+E17+E14+E10+E161+E158</f>
        <v>12625030</v>
      </c>
      <c r="F202" s="584">
        <f>+F20+F23+F26+F29+F33+F36+F39+F42+F45+F49+F53+F57+F61+F65+F68+F72+F76+F80+F84+F88+F92+F96+F99+F102++F105+F108+F114+F117+F120+F123+F126+F129+F132+F135+F140+F143+F146+F149+F152+F155+F164+F168+F172+F175+F178+F182+F186+F190+F194+F198+F201+F111+F17+F14+F10+F161+F158</f>
        <v>-411935</v>
      </c>
      <c r="G202" s="933"/>
    </row>
    <row r="203" spans="1:8" x14ac:dyDescent="0.2">
      <c r="D203" s="84">
        <f>'Sumář  výdaje kapitol'!D63</f>
        <v>12614452</v>
      </c>
      <c r="E203" s="84">
        <f>'Sumář  výdaje kapitol'!I63</f>
        <v>7322535</v>
      </c>
      <c r="F203" s="576"/>
    </row>
    <row r="204" spans="1:8" x14ac:dyDescent="0.2">
      <c r="D204" s="84">
        <f>D203-D202</f>
        <v>0</v>
      </c>
      <c r="E204" s="84">
        <f>E203-E202</f>
        <v>-5302495</v>
      </c>
      <c r="F204" s="576"/>
    </row>
    <row r="205" spans="1:8" x14ac:dyDescent="0.2">
      <c r="A205" s="497" t="s">
        <v>1028</v>
      </c>
      <c r="F205" s="925"/>
    </row>
    <row r="206" spans="1:8" x14ac:dyDescent="0.2">
      <c r="F206" s="576"/>
    </row>
  </sheetData>
  <mergeCells count="22">
    <mergeCell ref="A192:A193"/>
    <mergeCell ref="A196:A201"/>
    <mergeCell ref="A86:A87"/>
    <mergeCell ref="A170:A178"/>
    <mergeCell ref="A180:A181"/>
    <mergeCell ref="A184:A185"/>
    <mergeCell ref="A188:A189"/>
    <mergeCell ref="A90:A91"/>
    <mergeCell ref="A94:A164"/>
    <mergeCell ref="A166:A167"/>
    <mergeCell ref="A74:A75"/>
    <mergeCell ref="A78:A79"/>
    <mergeCell ref="A82:A83"/>
    <mergeCell ref="A59:A60"/>
    <mergeCell ref="A63:A68"/>
    <mergeCell ref="A70:A71"/>
    <mergeCell ref="A47:A48"/>
    <mergeCell ref="A51:A52"/>
    <mergeCell ref="A55:A56"/>
    <mergeCell ref="A8:A9"/>
    <mergeCell ref="A12:A29"/>
    <mergeCell ref="A31:A45"/>
  </mergeCells>
  <phoneticPr fontId="5" type="noConversion"/>
  <pageMargins left="0.51181102362204722" right="0.51181102362204722" top="0.19685039370078741" bottom="0.19685039370078741" header="0.31496062992125984" footer="0.31496062992125984"/>
  <pageSetup paperSize="9" scale="55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workbookViewId="0"/>
  </sheetViews>
  <sheetFormatPr defaultRowHeight="12.75" x14ac:dyDescent="0.2"/>
  <cols>
    <col min="1" max="2" width="9.7109375" style="82" customWidth="1"/>
    <col min="3" max="3" width="19.5703125" style="82" customWidth="1"/>
    <col min="4" max="4" width="16.7109375" style="84" customWidth="1"/>
    <col min="5" max="5" width="12.85546875" style="82" customWidth="1"/>
    <col min="6" max="6" width="12.28515625" style="82" customWidth="1"/>
    <col min="7" max="16384" width="9.140625" style="82"/>
  </cols>
  <sheetData>
    <row r="2" spans="1:13" ht="20.25" customHeight="1" x14ac:dyDescent="0.35">
      <c r="A2" s="3" t="s">
        <v>390</v>
      </c>
      <c r="B2" s="208"/>
      <c r="C2" s="178"/>
      <c r="D2" s="178"/>
    </row>
    <row r="4" spans="1:13" ht="20.100000000000001" customHeight="1" x14ac:dyDescent="0.3">
      <c r="A4" s="83" t="s">
        <v>14</v>
      </c>
      <c r="B4" s="83"/>
    </row>
    <row r="5" spans="1:13" ht="15" customHeight="1" thickBot="1" x14ac:dyDescent="0.35">
      <c r="A5" s="83"/>
      <c r="B5" s="83"/>
      <c r="D5" s="98" t="s">
        <v>272</v>
      </c>
    </row>
    <row r="6" spans="1:13" s="85" customFormat="1" ht="35.25" customHeight="1" thickBot="1" x14ac:dyDescent="0.2">
      <c r="A6" s="99" t="s">
        <v>190</v>
      </c>
      <c r="B6" s="100" t="s">
        <v>125</v>
      </c>
      <c r="C6" s="99" t="s">
        <v>4</v>
      </c>
      <c r="D6" s="101" t="s">
        <v>2</v>
      </c>
      <c r="E6" s="102" t="s">
        <v>5</v>
      </c>
      <c r="F6" s="101" t="s">
        <v>6</v>
      </c>
    </row>
    <row r="7" spans="1:13" s="88" customFormat="1" ht="20.100000000000001" customHeight="1" thickBot="1" x14ac:dyDescent="0.3">
      <c r="A7" s="86"/>
      <c r="B7" s="103" t="s">
        <v>3</v>
      </c>
      <c r="D7" s="87"/>
      <c r="E7" s="87"/>
      <c r="F7" s="87"/>
    </row>
    <row r="8" spans="1:13" s="92" customFormat="1" ht="15" customHeight="1" x14ac:dyDescent="0.2">
      <c r="A8" s="89">
        <v>3639</v>
      </c>
      <c r="B8" s="104"/>
      <c r="C8" s="105"/>
      <c r="D8" s="90">
        <f t="shared" ref="D8:D13" si="0">+E8+F8</f>
        <v>0</v>
      </c>
      <c r="E8" s="106">
        <f>E9</f>
        <v>0</v>
      </c>
      <c r="F8" s="90">
        <f>F9</f>
        <v>0</v>
      </c>
      <c r="G8" s="91"/>
      <c r="H8" s="91"/>
      <c r="I8" s="91"/>
      <c r="J8" s="91"/>
      <c r="K8" s="91"/>
      <c r="L8" s="91"/>
      <c r="M8" s="91"/>
    </row>
    <row r="9" spans="1:13" s="92" customFormat="1" ht="15" customHeight="1" x14ac:dyDescent="0.2">
      <c r="A9" s="93"/>
      <c r="B9" s="107"/>
      <c r="C9" s="222"/>
      <c r="D9" s="209">
        <f t="shared" si="0"/>
        <v>0</v>
      </c>
      <c r="E9" s="210"/>
      <c r="F9" s="209"/>
    </row>
    <row r="10" spans="1:13" s="92" customFormat="1" ht="15" customHeight="1" x14ac:dyDescent="0.2">
      <c r="A10" s="93">
        <v>6171</v>
      </c>
      <c r="B10" s="107"/>
      <c r="C10" s="108"/>
      <c r="D10" s="94">
        <f t="shared" si="0"/>
        <v>0</v>
      </c>
      <c r="E10" s="109">
        <v>0</v>
      </c>
      <c r="F10" s="94">
        <v>0</v>
      </c>
      <c r="G10" s="276">
        <f>'Sumář  výdaje kapitol'!N64</f>
        <v>0</v>
      </c>
    </row>
    <row r="11" spans="1:13" s="92" customFormat="1" ht="15" customHeight="1" x14ac:dyDescent="0.2">
      <c r="A11" s="93" t="s">
        <v>308</v>
      </c>
      <c r="B11" s="107"/>
      <c r="C11" s="108"/>
      <c r="D11" s="94">
        <f t="shared" si="0"/>
        <v>0</v>
      </c>
      <c r="E11" s="109">
        <v>0</v>
      </c>
      <c r="F11" s="94"/>
      <c r="G11" s="276">
        <f>'Sumář  výdaje kapitol'!T64</f>
        <v>85000</v>
      </c>
    </row>
    <row r="12" spans="1:13" s="92" customFormat="1" ht="15" customHeight="1" x14ac:dyDescent="0.2">
      <c r="A12" s="93"/>
      <c r="B12" s="107"/>
      <c r="C12" s="108"/>
      <c r="D12" s="94">
        <f t="shared" si="0"/>
        <v>0</v>
      </c>
      <c r="E12" s="109"/>
      <c r="F12" s="94"/>
    </row>
    <row r="13" spans="1:13" s="92" customFormat="1" ht="15" customHeight="1" thickBot="1" x14ac:dyDescent="0.25">
      <c r="A13" s="93"/>
      <c r="B13" s="107"/>
      <c r="C13" s="108"/>
      <c r="D13" s="96">
        <f t="shared" si="0"/>
        <v>0</v>
      </c>
      <c r="E13" s="109"/>
      <c r="F13" s="96"/>
    </row>
    <row r="14" spans="1:13" s="95" customFormat="1" ht="20.100000000000001" customHeight="1" thickBot="1" x14ac:dyDescent="0.3">
      <c r="A14" s="110"/>
      <c r="B14" s="111"/>
      <c r="C14" s="112" t="s">
        <v>2</v>
      </c>
      <c r="D14" s="97">
        <f>+D8+D10+D11</f>
        <v>0</v>
      </c>
      <c r="E14" s="113">
        <f>+E8+E10+E11</f>
        <v>0</v>
      </c>
      <c r="F14" s="97">
        <f>+F8+F10+F11</f>
        <v>0</v>
      </c>
    </row>
    <row r="15" spans="1:13" x14ac:dyDescent="0.2">
      <c r="D15" s="84">
        <f>'Sumář  výdaje kapitol'!C64</f>
        <v>0</v>
      </c>
    </row>
    <row r="16" spans="1:13" x14ac:dyDescent="0.2">
      <c r="D16" s="84">
        <f>D15-D14</f>
        <v>0</v>
      </c>
    </row>
  </sheetData>
  <phoneticPr fontId="5" type="noConversion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workbookViewId="0"/>
  </sheetViews>
  <sheetFormatPr defaultRowHeight="12.75" x14ac:dyDescent="0.2"/>
  <cols>
    <col min="1" max="2" width="9.7109375" style="82" customWidth="1"/>
    <col min="3" max="3" width="28" style="82" customWidth="1"/>
    <col min="4" max="4" width="16.7109375" style="84" hidden="1" customWidth="1"/>
    <col min="5" max="5" width="16.85546875" style="82" hidden="1" customWidth="1"/>
    <col min="6" max="7" width="14" style="82" hidden="1" customWidth="1"/>
    <col min="8" max="9" width="14" style="82" customWidth="1"/>
    <col min="10" max="10" width="9.140625" style="585"/>
    <col min="11" max="16384" width="9.140625" style="82"/>
  </cols>
  <sheetData>
    <row r="2" spans="1:14" ht="20.25" customHeight="1" x14ac:dyDescent="0.35">
      <c r="A2" s="3" t="s">
        <v>816</v>
      </c>
      <c r="B2" s="208"/>
      <c r="C2" s="178"/>
      <c r="D2" s="178"/>
    </row>
    <row r="4" spans="1:14" ht="20.100000000000001" customHeight="1" x14ac:dyDescent="0.3">
      <c r="A4" s="83" t="s">
        <v>1041</v>
      </c>
      <c r="B4" s="83"/>
    </row>
    <row r="5" spans="1:14" ht="15" customHeight="1" thickBot="1" x14ac:dyDescent="0.35">
      <c r="A5" s="83"/>
      <c r="B5" s="83"/>
      <c r="D5" s="98" t="s">
        <v>272</v>
      </c>
    </row>
    <row r="6" spans="1:14" s="85" customFormat="1" ht="35.25" customHeight="1" thickBot="1" x14ac:dyDescent="0.2">
      <c r="A6" s="99" t="s">
        <v>190</v>
      </c>
      <c r="B6" s="100" t="s">
        <v>125</v>
      </c>
      <c r="C6" s="99" t="s">
        <v>4</v>
      </c>
      <c r="D6" s="101" t="s">
        <v>2</v>
      </c>
      <c r="E6" s="102" t="s">
        <v>5</v>
      </c>
      <c r="F6" s="101" t="s">
        <v>6</v>
      </c>
      <c r="G6" s="101" t="s">
        <v>800</v>
      </c>
      <c r="H6" s="101" t="s">
        <v>817</v>
      </c>
      <c r="I6" s="101" t="s">
        <v>637</v>
      </c>
      <c r="J6" s="577" t="s">
        <v>7</v>
      </c>
    </row>
    <row r="7" spans="1:14" s="88" customFormat="1" ht="20.100000000000001" customHeight="1" thickBot="1" x14ac:dyDescent="0.3">
      <c r="A7" s="86"/>
      <c r="B7" s="103" t="s">
        <v>3</v>
      </c>
      <c r="D7" s="87"/>
      <c r="E7" s="87"/>
      <c r="F7" s="87"/>
      <c r="G7" s="87"/>
      <c r="H7" s="87"/>
      <c r="I7" s="87"/>
      <c r="J7" s="927"/>
    </row>
    <row r="8" spans="1:14" s="216" customFormat="1" ht="15" customHeight="1" x14ac:dyDescent="0.2">
      <c r="A8" s="212">
        <v>6171</v>
      </c>
      <c r="B8" s="213">
        <v>6123</v>
      </c>
      <c r="C8" s="214"/>
      <c r="D8" s="90">
        <f>+E8+F8</f>
        <v>350000</v>
      </c>
      <c r="E8" s="106">
        <f>E9</f>
        <v>0</v>
      </c>
      <c r="F8" s="90">
        <f>F9</f>
        <v>350000</v>
      </c>
      <c r="G8" s="90">
        <f>G9</f>
        <v>350000</v>
      </c>
      <c r="H8" s="90">
        <v>400000</v>
      </c>
      <c r="I8" s="90">
        <v>400000</v>
      </c>
      <c r="J8" s="587">
        <f t="shared" ref="J8:J13" si="0">I8-H8</f>
        <v>0</v>
      </c>
      <c r="K8" s="215"/>
      <c r="L8" s="215"/>
      <c r="M8" s="215"/>
      <c r="N8" s="215"/>
    </row>
    <row r="9" spans="1:14" s="92" customFormat="1" ht="15" customHeight="1" thickBot="1" x14ac:dyDescent="0.25">
      <c r="A9" s="282"/>
      <c r="B9" s="283"/>
      <c r="C9" s="284"/>
      <c r="D9" s="285">
        <f>+E9+F9</f>
        <v>350000</v>
      </c>
      <c r="E9" s="286"/>
      <c r="F9" s="285">
        <v>350000</v>
      </c>
      <c r="G9" s="285">
        <v>350000</v>
      </c>
      <c r="H9" s="285"/>
      <c r="I9" s="285"/>
      <c r="J9" s="589">
        <f t="shared" si="0"/>
        <v>0</v>
      </c>
    </row>
    <row r="10" spans="1:14" s="216" customFormat="1" ht="15" customHeight="1" x14ac:dyDescent="0.2">
      <c r="A10" s="220" t="s">
        <v>308</v>
      </c>
      <c r="B10" s="221"/>
      <c r="C10" s="219"/>
      <c r="D10" s="96">
        <f>+E10+F10</f>
        <v>250000</v>
      </c>
      <c r="E10" s="109">
        <f>+E11+E12</f>
        <v>0</v>
      </c>
      <c r="F10" s="96">
        <v>250000</v>
      </c>
      <c r="G10" s="96">
        <v>350000</v>
      </c>
      <c r="H10" s="96">
        <f>'Sumář  výdaje kapitol'!T65</f>
        <v>0</v>
      </c>
      <c r="I10" s="96">
        <f>'Sumář  výdaje kapitol'!T65</f>
        <v>0</v>
      </c>
      <c r="J10" s="936">
        <f t="shared" si="0"/>
        <v>0</v>
      </c>
    </row>
    <row r="11" spans="1:14" s="92" customFormat="1" ht="15" customHeight="1" x14ac:dyDescent="0.2">
      <c r="A11" s="93"/>
      <c r="B11" s="107"/>
      <c r="C11" s="108"/>
      <c r="D11" s="96">
        <f>+E11+F11</f>
        <v>0</v>
      </c>
      <c r="E11" s="109"/>
      <c r="F11" s="96"/>
      <c r="G11" s="96"/>
      <c r="H11" s="96"/>
      <c r="I11" s="96"/>
      <c r="J11" s="936">
        <f t="shared" si="0"/>
        <v>0</v>
      </c>
    </row>
    <row r="12" spans="1:14" s="92" customFormat="1" ht="15" customHeight="1" thickBot="1" x14ac:dyDescent="0.25">
      <c r="A12" s="93"/>
      <c r="B12" s="107"/>
      <c r="C12" s="108"/>
      <c r="D12" s="96">
        <f>+E12+F12</f>
        <v>0</v>
      </c>
      <c r="E12" s="109"/>
      <c r="F12" s="96"/>
      <c r="G12" s="96"/>
      <c r="H12" s="96"/>
      <c r="I12" s="96"/>
      <c r="J12" s="936">
        <f t="shared" si="0"/>
        <v>0</v>
      </c>
    </row>
    <row r="13" spans="1:14" s="95" customFormat="1" ht="20.100000000000001" customHeight="1" thickBot="1" x14ac:dyDescent="0.3">
      <c r="A13" s="110"/>
      <c r="B13" s="111"/>
      <c r="C13" s="112" t="s">
        <v>2</v>
      </c>
      <c r="D13" s="97" t="e">
        <f>+#REF!+D10</f>
        <v>#REF!</v>
      </c>
      <c r="E13" s="113" t="e">
        <f>+E8+#REF!+E10</f>
        <v>#REF!</v>
      </c>
      <c r="F13" s="97" t="e">
        <f>+#REF!+F10</f>
        <v>#REF!</v>
      </c>
      <c r="G13" s="97" t="e">
        <f>+#REF!+G10</f>
        <v>#REF!</v>
      </c>
      <c r="H13" s="97">
        <f>SUM(H8:H12)</f>
        <v>400000</v>
      </c>
      <c r="I13" s="97">
        <f>SUM(I8:I12)</f>
        <v>400000</v>
      </c>
      <c r="J13" s="584">
        <f t="shared" si="0"/>
        <v>0</v>
      </c>
    </row>
    <row r="14" spans="1:14" x14ac:dyDescent="0.2">
      <c r="D14" s="84">
        <f>'Sumář  výdaje kapitol'!C65</f>
        <v>679000</v>
      </c>
      <c r="G14" s="84" t="e">
        <f>'Sumář  výdaje kapitol'!#REF!</f>
        <v>#REF!</v>
      </c>
      <c r="H14" s="84">
        <f>'Sumář  výdaje kapitol'!I65</f>
        <v>0</v>
      </c>
      <c r="I14" s="84">
        <f>'Sumář  výdaje kapitol'!I65</f>
        <v>0</v>
      </c>
    </row>
    <row r="15" spans="1:14" x14ac:dyDescent="0.2">
      <c r="D15" s="84" t="e">
        <f>D14-D13</f>
        <v>#REF!</v>
      </c>
      <c r="G15" s="84" t="e">
        <f>G14-G13</f>
        <v>#REF!</v>
      </c>
      <c r="H15" s="84">
        <f>H14-H13</f>
        <v>-400000</v>
      </c>
      <c r="I15" s="84">
        <f>I14-I13</f>
        <v>-400000</v>
      </c>
    </row>
    <row r="16" spans="1:14" x14ac:dyDescent="0.2">
      <c r="A16" s="497" t="s">
        <v>1028</v>
      </c>
    </row>
  </sheetData>
  <phoneticPr fontId="5" type="noConversion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workbookViewId="0"/>
  </sheetViews>
  <sheetFormatPr defaultRowHeight="12.75" x14ac:dyDescent="0.2"/>
  <cols>
    <col min="1" max="2" width="9.7109375" style="82" customWidth="1"/>
    <col min="3" max="3" width="48.7109375" style="82" customWidth="1"/>
    <col min="4" max="4" width="16.7109375" style="84" customWidth="1"/>
    <col min="5" max="5" width="13.140625" style="82" customWidth="1"/>
    <col min="6" max="6" width="11.42578125" style="82" customWidth="1"/>
    <col min="7" max="16384" width="9.140625" style="82"/>
  </cols>
  <sheetData>
    <row r="2" spans="1:13" ht="20.25" customHeight="1" x14ac:dyDescent="0.35">
      <c r="A2" s="3" t="s">
        <v>390</v>
      </c>
      <c r="B2" s="208"/>
      <c r="C2" s="178"/>
      <c r="D2" s="178"/>
    </row>
    <row r="4" spans="1:13" ht="20.100000000000001" customHeight="1" x14ac:dyDescent="0.3">
      <c r="A4" s="83" t="s">
        <v>12</v>
      </c>
      <c r="B4" s="83"/>
    </row>
    <row r="5" spans="1:13" ht="15" customHeight="1" thickBot="1" x14ac:dyDescent="0.35">
      <c r="A5" s="83"/>
      <c r="B5" s="83"/>
      <c r="D5" s="98" t="s">
        <v>272</v>
      </c>
    </row>
    <row r="6" spans="1:13" s="85" customFormat="1" ht="35.25" customHeight="1" thickBot="1" x14ac:dyDescent="0.2">
      <c r="A6" s="99" t="s">
        <v>190</v>
      </c>
      <c r="B6" s="100" t="s">
        <v>125</v>
      </c>
      <c r="C6" s="99" t="s">
        <v>4</v>
      </c>
      <c r="D6" s="101" t="s">
        <v>2</v>
      </c>
      <c r="E6" s="102" t="s">
        <v>5</v>
      </c>
      <c r="F6" s="101" t="s">
        <v>6</v>
      </c>
    </row>
    <row r="7" spans="1:13" s="88" customFormat="1" ht="20.100000000000001" customHeight="1" thickBot="1" x14ac:dyDescent="0.3">
      <c r="A7" s="86"/>
      <c r="B7" s="103" t="s">
        <v>3</v>
      </c>
      <c r="D7" s="87"/>
      <c r="E7" s="87"/>
      <c r="F7" s="87"/>
    </row>
    <row r="8" spans="1:13" s="216" customFormat="1" ht="15" customHeight="1" x14ac:dyDescent="0.2">
      <c r="A8" s="212"/>
      <c r="B8" s="213">
        <v>6125</v>
      </c>
      <c r="C8" s="214"/>
      <c r="D8" s="90">
        <f>+E8+F8</f>
        <v>0</v>
      </c>
      <c r="E8" s="106">
        <f>+E9</f>
        <v>0</v>
      </c>
      <c r="F8" s="90">
        <f>+F9</f>
        <v>0</v>
      </c>
      <c r="G8" s="215"/>
      <c r="H8" s="215"/>
      <c r="I8" s="215"/>
      <c r="J8" s="215"/>
      <c r="K8" s="215"/>
      <c r="L8" s="215"/>
      <c r="M8" s="215"/>
    </row>
    <row r="9" spans="1:13" s="92" customFormat="1" ht="15" customHeight="1" x14ac:dyDescent="0.2">
      <c r="A9" s="93"/>
      <c r="B9" s="107"/>
      <c r="C9" s="222"/>
      <c r="D9" s="94">
        <f>+E9+F9</f>
        <v>0</v>
      </c>
      <c r="E9" s="109">
        <v>0</v>
      </c>
      <c r="F9" s="94">
        <v>0</v>
      </c>
    </row>
    <row r="10" spans="1:13" s="216" customFormat="1" ht="15" customHeight="1" x14ac:dyDescent="0.2">
      <c r="A10" s="220"/>
      <c r="B10" s="221"/>
      <c r="C10" s="219"/>
      <c r="D10" s="94">
        <f>+E10+F10</f>
        <v>0</v>
      </c>
      <c r="E10" s="109">
        <v>0</v>
      </c>
      <c r="F10" s="94">
        <v>0</v>
      </c>
    </row>
    <row r="11" spans="1:13" s="92" customFormat="1" ht="15" customHeight="1" x14ac:dyDescent="0.2">
      <c r="A11" s="93"/>
      <c r="B11" s="107"/>
      <c r="C11" s="108"/>
      <c r="D11" s="94">
        <f>+E11+F11</f>
        <v>0</v>
      </c>
      <c r="E11" s="109"/>
      <c r="F11" s="94"/>
    </row>
    <row r="12" spans="1:13" s="92" customFormat="1" ht="15" customHeight="1" thickBot="1" x14ac:dyDescent="0.25">
      <c r="A12" s="93"/>
      <c r="B12" s="107"/>
      <c r="C12" s="108"/>
      <c r="D12" s="96">
        <f>+E12+F12</f>
        <v>0</v>
      </c>
      <c r="E12" s="109"/>
      <c r="F12" s="96"/>
    </row>
    <row r="13" spans="1:13" s="95" customFormat="1" ht="20.100000000000001" customHeight="1" thickBot="1" x14ac:dyDescent="0.3">
      <c r="A13" s="110"/>
      <c r="B13" s="111"/>
      <c r="C13" s="112" t="s">
        <v>2</v>
      </c>
      <c r="D13" s="97">
        <f>+D8+D10</f>
        <v>0</v>
      </c>
      <c r="E13" s="113">
        <f>+E8+E10</f>
        <v>0</v>
      </c>
      <c r="F13" s="97">
        <f>+F8+F10</f>
        <v>0</v>
      </c>
    </row>
    <row r="14" spans="1:13" x14ac:dyDescent="0.2">
      <c r="D14" s="84">
        <f>'Sumář  výdaje kapitol'!C66</f>
        <v>0</v>
      </c>
    </row>
    <row r="15" spans="1:13" x14ac:dyDescent="0.2">
      <c r="D15" s="84">
        <f>D14-D13</f>
        <v>0</v>
      </c>
    </row>
  </sheetData>
  <phoneticPr fontId="5" type="noConversion"/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workbookViewId="0"/>
  </sheetViews>
  <sheetFormatPr defaultRowHeight="12.75" x14ac:dyDescent="0.2"/>
  <cols>
    <col min="1" max="1" width="9.7109375" style="82" customWidth="1"/>
    <col min="2" max="2" width="12.5703125" style="82" customWidth="1"/>
    <col min="3" max="3" width="49" style="82" bestFit="1" customWidth="1"/>
    <col min="4" max="4" width="10.140625" style="84" hidden="1" customWidth="1"/>
    <col min="5" max="5" width="7.85546875" style="82" hidden="1" customWidth="1"/>
    <col min="6" max="6" width="10.140625" style="82" hidden="1" customWidth="1"/>
    <col min="7" max="7" width="14.42578125" style="82" hidden="1" customWidth="1"/>
    <col min="8" max="8" width="14.42578125" style="82" customWidth="1"/>
    <col min="9" max="9" width="10.140625" style="82" bestFit="1" customWidth="1"/>
    <col min="10" max="10" width="10.28515625" style="585" customWidth="1"/>
    <col min="11" max="16384" width="9.140625" style="82"/>
  </cols>
  <sheetData>
    <row r="2" spans="1:14" ht="20.25" customHeight="1" x14ac:dyDescent="0.35">
      <c r="A2" s="3" t="s">
        <v>816</v>
      </c>
      <c r="B2" s="208"/>
      <c r="C2" s="178"/>
      <c r="D2" s="178"/>
    </row>
    <row r="4" spans="1:14" ht="20.100000000000001" customHeight="1" x14ac:dyDescent="0.3">
      <c r="A4" s="83" t="s">
        <v>1042</v>
      </c>
      <c r="B4" s="83"/>
    </row>
    <row r="5" spans="1:14" ht="15" customHeight="1" thickBot="1" x14ac:dyDescent="0.35">
      <c r="A5" s="83"/>
      <c r="B5" s="83"/>
      <c r="D5" s="98" t="s">
        <v>272</v>
      </c>
    </row>
    <row r="6" spans="1:14" s="85" customFormat="1" ht="35.25" customHeight="1" thickBot="1" x14ac:dyDescent="0.2">
      <c r="A6" s="99" t="s">
        <v>190</v>
      </c>
      <c r="B6" s="100" t="s">
        <v>125</v>
      </c>
      <c r="C6" s="99" t="s">
        <v>4</v>
      </c>
      <c r="D6" s="101" t="s">
        <v>2</v>
      </c>
      <c r="E6" s="102" t="s">
        <v>5</v>
      </c>
      <c r="F6" s="101" t="s">
        <v>6</v>
      </c>
      <c r="G6" s="101" t="s">
        <v>800</v>
      </c>
      <c r="H6" s="101" t="s">
        <v>817</v>
      </c>
      <c r="I6" s="101" t="s">
        <v>637</v>
      </c>
      <c r="J6" s="577" t="s">
        <v>7</v>
      </c>
    </row>
    <row r="7" spans="1:14" s="88" customFormat="1" ht="20.100000000000001" customHeight="1" thickBot="1" x14ac:dyDescent="0.3">
      <c r="A7" s="86"/>
      <c r="B7" s="103" t="s">
        <v>3</v>
      </c>
      <c r="D7" s="87"/>
      <c r="E7" s="87"/>
      <c r="F7" s="87"/>
      <c r="G7" s="87"/>
      <c r="H7" s="87"/>
      <c r="I7" s="87"/>
      <c r="J7" s="578"/>
    </row>
    <row r="8" spans="1:14" s="216" customFormat="1" ht="15" customHeight="1" x14ac:dyDescent="0.2">
      <c r="A8" s="212">
        <v>6409</v>
      </c>
      <c r="B8" s="104" t="s">
        <v>492</v>
      </c>
      <c r="C8" s="105"/>
      <c r="D8" s="856">
        <f>SUM(D9:D11)</f>
        <v>1200000</v>
      </c>
      <c r="E8" s="857">
        <f>SUM(E9:E11)</f>
        <v>0</v>
      </c>
      <c r="F8" s="856">
        <f>SUM(F9:F11)</f>
        <v>1200000</v>
      </c>
      <c r="G8" s="856">
        <f>SUM(G9:G11)</f>
        <v>1312030</v>
      </c>
      <c r="H8" s="856"/>
      <c r="I8" s="856">
        <f>SUM(I9:I11)</f>
        <v>0</v>
      </c>
      <c r="J8" s="587">
        <f>I8-H8</f>
        <v>0</v>
      </c>
      <c r="K8" s="215"/>
      <c r="L8" s="215"/>
      <c r="M8" s="215"/>
      <c r="N8" s="215"/>
    </row>
    <row r="9" spans="1:14" s="92" customFormat="1" ht="15" customHeight="1" x14ac:dyDescent="0.2">
      <c r="A9" s="309">
        <v>6409</v>
      </c>
      <c r="B9" s="310" t="s">
        <v>492</v>
      </c>
      <c r="C9" s="311"/>
      <c r="D9" s="209">
        <f>+E9+F9</f>
        <v>0</v>
      </c>
      <c r="E9" s="313"/>
      <c r="F9" s="352">
        <v>0</v>
      </c>
      <c r="G9" s="352">
        <v>112030</v>
      </c>
      <c r="H9" s="352"/>
      <c r="I9" s="352"/>
      <c r="J9" s="588">
        <f t="shared" ref="J9:J15" si="0">I9-H9</f>
        <v>0</v>
      </c>
    </row>
    <row r="10" spans="1:14" s="92" customFormat="1" ht="15" customHeight="1" x14ac:dyDescent="0.2">
      <c r="A10" s="309">
        <v>6409</v>
      </c>
      <c r="B10" s="310" t="s">
        <v>492</v>
      </c>
      <c r="C10" s="311"/>
      <c r="D10" s="209">
        <f>+E10+F10</f>
        <v>0</v>
      </c>
      <c r="E10" s="313"/>
      <c r="F10" s="352">
        <v>0</v>
      </c>
      <c r="G10" s="352">
        <v>0</v>
      </c>
      <c r="H10" s="352"/>
      <c r="I10" s="352"/>
      <c r="J10" s="588">
        <f t="shared" si="0"/>
        <v>0</v>
      </c>
    </row>
    <row r="11" spans="1:14" s="92" customFormat="1" ht="15" customHeight="1" thickBot="1" x14ac:dyDescent="0.25">
      <c r="A11" s="282"/>
      <c r="B11" s="283"/>
      <c r="C11" s="284"/>
      <c r="D11" s="302">
        <f>+E11+F11</f>
        <v>1200000</v>
      </c>
      <c r="E11" s="293"/>
      <c r="F11" s="285">
        <v>1200000</v>
      </c>
      <c r="G11" s="285">
        <v>1200000</v>
      </c>
      <c r="H11" s="285"/>
      <c r="I11" s="285"/>
      <c r="J11" s="589">
        <f t="shared" si="0"/>
        <v>0</v>
      </c>
    </row>
    <row r="12" spans="1:14" s="216" customFormat="1" ht="15" customHeight="1" x14ac:dyDescent="0.2">
      <c r="A12" s="699">
        <v>2212</v>
      </c>
      <c r="B12" s="235" t="s">
        <v>492</v>
      </c>
      <c r="C12" s="855" t="s">
        <v>1044</v>
      </c>
      <c r="D12" s="301">
        <f>SUM(D13:D14)</f>
        <v>1015000</v>
      </c>
      <c r="E12" s="281">
        <f>SUM(E13:E14)</f>
        <v>0</v>
      </c>
      <c r="F12" s="301">
        <f>SUM(F13:F14)</f>
        <v>1015000</v>
      </c>
      <c r="G12" s="301">
        <f>SUM(G13:G14)</f>
        <v>1665000</v>
      </c>
      <c r="H12" s="296">
        <v>15000</v>
      </c>
      <c r="I12" s="296">
        <v>15000</v>
      </c>
      <c r="J12" s="858">
        <f t="shared" si="0"/>
        <v>0</v>
      </c>
    </row>
    <row r="13" spans="1:14" s="216" customFormat="1" ht="15" customHeight="1" x14ac:dyDescent="0.2">
      <c r="A13" s="93">
        <v>2212</v>
      </c>
      <c r="B13" s="107" t="s">
        <v>492</v>
      </c>
      <c r="C13" s="353" t="s">
        <v>1045</v>
      </c>
      <c r="D13" s="209">
        <f>+E13+F13</f>
        <v>15000</v>
      </c>
      <c r="E13" s="210"/>
      <c r="F13" s="209">
        <v>15000</v>
      </c>
      <c r="G13" s="209">
        <v>15000</v>
      </c>
      <c r="H13" s="209">
        <v>1500000</v>
      </c>
      <c r="I13" s="209">
        <v>1500000</v>
      </c>
      <c r="J13" s="579">
        <f t="shared" si="0"/>
        <v>0</v>
      </c>
    </row>
    <row r="14" spans="1:14" s="216" customFormat="1" ht="15" customHeight="1" thickBot="1" x14ac:dyDescent="0.25">
      <c r="A14" s="220"/>
      <c r="B14" s="221"/>
      <c r="C14" s="311"/>
      <c r="D14" s="352">
        <f>+E14+F14</f>
        <v>1000000</v>
      </c>
      <c r="E14" s="313"/>
      <c r="F14" s="352">
        <v>1000000</v>
      </c>
      <c r="G14" s="352">
        <v>1650000</v>
      </c>
      <c r="H14" s="352"/>
      <c r="I14" s="352"/>
      <c r="J14" s="588">
        <f t="shared" si="0"/>
        <v>0</v>
      </c>
    </row>
    <row r="15" spans="1:14" s="95" customFormat="1" ht="20.100000000000001" customHeight="1" thickBot="1" x14ac:dyDescent="0.3">
      <c r="A15" s="110"/>
      <c r="B15" s="111"/>
      <c r="C15" s="112" t="s">
        <v>2</v>
      </c>
      <c r="D15" s="97">
        <f>+D8++D12</f>
        <v>2215000</v>
      </c>
      <c r="E15" s="113">
        <f>+E8++E12</f>
        <v>0</v>
      </c>
      <c r="F15" s="97">
        <f>+F8++F12</f>
        <v>2215000</v>
      </c>
      <c r="G15" s="97">
        <f>+G8++G12</f>
        <v>2977030</v>
      </c>
      <c r="H15" s="97">
        <v>0</v>
      </c>
      <c r="I15" s="97">
        <f>+I8++I12</f>
        <v>15000</v>
      </c>
      <c r="J15" s="584">
        <f t="shared" si="0"/>
        <v>15000</v>
      </c>
    </row>
    <row r="16" spans="1:14" x14ac:dyDescent="0.2">
      <c r="D16" s="84">
        <f>'Sumář  výdaje kapitol'!C68</f>
        <v>6679730</v>
      </c>
      <c r="G16" s="461" t="e">
        <f>'Sumář  výdaje kapitol'!#REF!</f>
        <v>#REF!</v>
      </c>
      <c r="H16" s="461">
        <f>'Sumář  výdaje kapitol'!D68</f>
        <v>1577700</v>
      </c>
      <c r="I16" s="461">
        <f>'Sumář  výdaje kapitol'!I68</f>
        <v>584500</v>
      </c>
      <c r="J16" s="572"/>
    </row>
    <row r="17" spans="1:10" x14ac:dyDescent="0.2">
      <c r="D17" s="84">
        <f>D16-D15</f>
        <v>4464730</v>
      </c>
      <c r="G17" s="84" t="e">
        <f>G16-G15</f>
        <v>#REF!</v>
      </c>
      <c r="H17" s="84">
        <v>0</v>
      </c>
      <c r="I17" s="84">
        <v>0</v>
      </c>
      <c r="J17" s="586"/>
    </row>
    <row r="18" spans="1:10" x14ac:dyDescent="0.2">
      <c r="A18" s="497" t="s">
        <v>1028</v>
      </c>
    </row>
  </sheetData>
  <phoneticPr fontId="5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workbookViewId="0"/>
  </sheetViews>
  <sheetFormatPr defaultColWidth="8.7109375" defaultRowHeight="15" customHeight="1" x14ac:dyDescent="0.2"/>
  <cols>
    <col min="1" max="1" width="45.5703125" style="1682" bestFit="1" customWidth="1"/>
    <col min="2" max="2" width="11.28515625" style="1693" customWidth="1"/>
    <col min="3" max="3" width="14.42578125" style="1693" customWidth="1"/>
    <col min="4" max="4" width="11.28515625" style="1693" bestFit="1" customWidth="1"/>
    <col min="5" max="7" width="10.85546875" style="1682" customWidth="1"/>
    <col min="8" max="8" width="12.28515625" style="1682" customWidth="1"/>
    <col min="9" max="17" width="10.85546875" style="1682" customWidth="1"/>
    <col min="18" max="18" width="11.28515625" style="1682" bestFit="1" customWidth="1"/>
    <col min="19" max="22" width="10.85546875" style="1682" bestFit="1" customWidth="1"/>
    <col min="23" max="23" width="8.85546875" style="1682" customWidth="1"/>
    <col min="24" max="16384" width="8.7109375" style="1682"/>
  </cols>
  <sheetData>
    <row r="1" spans="1:22" ht="12.75" x14ac:dyDescent="0.2"/>
    <row r="2" spans="1:22" s="1736" customFormat="1" x14ac:dyDescent="0.25">
      <c r="B2" s="1744" t="s">
        <v>1559</v>
      </c>
      <c r="C2" s="1738" t="s">
        <v>1558</v>
      </c>
      <c r="D2" s="1738"/>
      <c r="E2" s="1738"/>
    </row>
    <row r="3" spans="1:22" s="1736" customFormat="1" x14ac:dyDescent="0.25">
      <c r="A3" s="1736" t="s">
        <v>1324</v>
      </c>
      <c r="B3" s="1737">
        <v>110000000</v>
      </c>
      <c r="D3" s="1738"/>
      <c r="E3" s="1738"/>
    </row>
    <row r="4" spans="1:22" s="1741" customFormat="1" ht="12.75" x14ac:dyDescent="0.2">
      <c r="A4" s="1739" t="s">
        <v>1325</v>
      </c>
      <c r="B4" s="1740">
        <v>11000000</v>
      </c>
      <c r="C4" s="1902">
        <f>2200281.34+3388234.73+4005534.51+278603+592046.61+2274174.84</f>
        <v>12738875.029999999</v>
      </c>
      <c r="E4" s="1740" t="s">
        <v>1551</v>
      </c>
    </row>
    <row r="5" spans="1:22" s="1741" customFormat="1" ht="12.75" x14ac:dyDescent="0.2">
      <c r="A5" s="1739" t="s">
        <v>1556</v>
      </c>
      <c r="B5" s="1740">
        <v>8000000</v>
      </c>
      <c r="C5" s="1902">
        <f>291767.12+2731860.38+1007252.4+1679484.53+99683.43+277606+919622+1074469+108142+1350543+1831596.43+262449+1112462+1419173+1706885+280091+698218+183920+628800+277426.52</f>
        <v>17941450.809999999</v>
      </c>
      <c r="D5" s="1740"/>
      <c r="E5" s="1740"/>
    </row>
    <row r="6" spans="1:22" s="1741" customFormat="1" ht="12.75" x14ac:dyDescent="0.2">
      <c r="A6" s="1739" t="s">
        <v>224</v>
      </c>
      <c r="B6" s="1740">
        <v>12000000</v>
      </c>
      <c r="C6" s="1902">
        <f>1394772+2994315.67+4530195.23+158607+456345+2035204.27+456345</f>
        <v>12025784.17</v>
      </c>
      <c r="D6" s="1740"/>
      <c r="E6" s="1740"/>
    </row>
    <row r="7" spans="1:22" s="1741" customFormat="1" ht="12.75" x14ac:dyDescent="0.2">
      <c r="A7" s="1739" t="s">
        <v>232</v>
      </c>
      <c r="B7" s="1740"/>
      <c r="C7" s="1902">
        <v>845873</v>
      </c>
      <c r="D7" s="1740"/>
      <c r="E7" s="1740"/>
    </row>
    <row r="8" spans="1:22" s="1741" customFormat="1" ht="12.75" x14ac:dyDescent="0.2">
      <c r="A8" s="1739" t="s">
        <v>1557</v>
      </c>
      <c r="B8" s="1740"/>
      <c r="C8" s="1902">
        <v>1238089</v>
      </c>
      <c r="D8" s="1740"/>
      <c r="E8" s="1740"/>
    </row>
    <row r="9" spans="1:22" s="1741" customFormat="1" ht="12.75" x14ac:dyDescent="0.2">
      <c r="A9" s="1739" t="s">
        <v>1025</v>
      </c>
      <c r="B9" s="1740">
        <v>9000000</v>
      </c>
      <c r="C9" s="1902">
        <f>375250.04+291161.09+716173.74</f>
        <v>1382584.87</v>
      </c>
      <c r="D9" s="1740"/>
      <c r="E9" s="1740"/>
    </row>
    <row r="10" spans="1:22" s="1741" customFormat="1" ht="12.75" x14ac:dyDescent="0.2">
      <c r="A10" s="1739" t="s">
        <v>1326</v>
      </c>
      <c r="B10" s="1740">
        <v>9500000</v>
      </c>
      <c r="C10" s="1902">
        <f>22022+175450</f>
        <v>197472</v>
      </c>
      <c r="D10" s="1740"/>
      <c r="E10" s="1740"/>
    </row>
    <row r="11" spans="1:22" s="1741" customFormat="1" x14ac:dyDescent="0.25">
      <c r="A11" s="1739"/>
      <c r="B11" s="1737">
        <f>SUM(B4:B10)</f>
        <v>49500000</v>
      </c>
      <c r="C11" s="1738">
        <f>SUM(C4:C10)</f>
        <v>46370128.879999995</v>
      </c>
      <c r="D11" s="1740"/>
      <c r="E11" s="1740"/>
    </row>
    <row r="12" spans="1:22" s="1736" customFormat="1" x14ac:dyDescent="0.25">
      <c r="A12" s="1742" t="s">
        <v>1632</v>
      </c>
      <c r="B12" s="1738">
        <f>+B3-C11</f>
        <v>63629871.120000005</v>
      </c>
      <c r="E12" s="1737">
        <v>90000000</v>
      </c>
    </row>
    <row r="13" spans="1:22" s="1741" customFormat="1" x14ac:dyDescent="0.25">
      <c r="A13" s="1741" t="s">
        <v>1631</v>
      </c>
      <c r="C13" s="1740">
        <v>20000000</v>
      </c>
      <c r="D13" s="1737"/>
    </row>
    <row r="14" spans="1:22" s="1741" customFormat="1" ht="13.5" thickBot="1" x14ac:dyDescent="0.25">
      <c r="C14" s="1740"/>
      <c r="D14" s="1740"/>
      <c r="E14" s="1740"/>
    </row>
    <row r="15" spans="1:22" x14ac:dyDescent="0.25">
      <c r="A15" s="1213" t="s">
        <v>1327</v>
      </c>
      <c r="B15" s="1304">
        <v>2016</v>
      </c>
      <c r="C15" s="1214">
        <v>2017</v>
      </c>
      <c r="D15" s="1214">
        <v>2018</v>
      </c>
      <c r="E15" s="1884">
        <v>2019</v>
      </c>
      <c r="F15" s="1885">
        <v>2020</v>
      </c>
      <c r="G15" s="1883">
        <v>2021</v>
      </c>
      <c r="H15" s="1884">
        <v>2022</v>
      </c>
      <c r="I15" s="1896">
        <v>2023</v>
      </c>
      <c r="J15" s="1886">
        <v>2024</v>
      </c>
      <c r="K15" s="1886">
        <v>2025</v>
      </c>
      <c r="L15" s="1886">
        <v>2026</v>
      </c>
      <c r="M15" s="1215">
        <v>2027</v>
      </c>
      <c r="N15" s="1215">
        <v>2028</v>
      </c>
      <c r="O15" s="1215">
        <v>2029</v>
      </c>
      <c r="P15" s="1215">
        <v>2030</v>
      </c>
      <c r="Q15" s="1214">
        <v>2031</v>
      </c>
      <c r="R15" s="1214">
        <v>2032</v>
      </c>
      <c r="S15" s="1214">
        <v>2033</v>
      </c>
      <c r="T15" s="1214">
        <v>2034</v>
      </c>
      <c r="U15" s="1214">
        <v>2035</v>
      </c>
      <c r="V15" s="1216">
        <v>2036</v>
      </c>
    </row>
    <row r="16" spans="1:22" s="1693" customFormat="1" ht="12.75" x14ac:dyDescent="0.2">
      <c r="A16" s="1247" t="s">
        <v>1328</v>
      </c>
      <c r="B16" s="1297"/>
      <c r="C16" s="1248">
        <v>46524.695976266659</v>
      </c>
      <c r="D16" s="1248">
        <f>(0.0052+0.0021)*B12</f>
        <v>464498.05917600001</v>
      </c>
      <c r="E16" s="1249">
        <f>0.0056*90000000*0.5</f>
        <v>252000</v>
      </c>
      <c r="F16" s="1297"/>
      <c r="G16" s="1248"/>
      <c r="H16" s="1897"/>
      <c r="I16" s="1297"/>
      <c r="J16" s="1248"/>
      <c r="K16" s="1248"/>
      <c r="L16" s="1248"/>
      <c r="M16" s="1248"/>
      <c r="N16" s="1248"/>
      <c r="O16" s="1248"/>
      <c r="P16" s="1248"/>
      <c r="Q16" s="1248"/>
      <c r="R16" s="1248"/>
      <c r="S16" s="1248"/>
      <c r="T16" s="1248"/>
      <c r="U16" s="1248"/>
      <c r="V16" s="1249"/>
    </row>
    <row r="17" spans="1:22" s="1693" customFormat="1" ht="12.75" x14ac:dyDescent="0.2">
      <c r="A17" s="1247" t="s">
        <v>1329</v>
      </c>
      <c r="B17" s="1297"/>
      <c r="C17" s="1248">
        <v>1554732</v>
      </c>
      <c r="D17" s="1248">
        <v>454732</v>
      </c>
      <c r="E17" s="1249"/>
      <c r="F17" s="1297"/>
      <c r="G17" s="1248"/>
      <c r="H17" s="1897"/>
      <c r="I17" s="1297"/>
      <c r="J17" s="1248"/>
      <c r="K17" s="1248"/>
      <c r="L17" s="1248"/>
      <c r="M17" s="1248"/>
      <c r="N17" s="1248"/>
      <c r="O17" s="1248"/>
      <c r="P17" s="1248"/>
      <c r="Q17" s="1248"/>
      <c r="R17" s="1248"/>
      <c r="S17" s="1248"/>
      <c r="T17" s="1248"/>
      <c r="U17" s="1248"/>
      <c r="V17" s="1249"/>
    </row>
    <row r="18" spans="1:22" s="1700" customFormat="1" ht="12.75" x14ac:dyDescent="0.2">
      <c r="A18" s="1887" t="s">
        <v>1330</v>
      </c>
      <c r="B18" s="1888"/>
      <c r="C18" s="1889"/>
      <c r="D18" s="1889"/>
      <c r="E18" s="1890">
        <f>90000000*0.009</f>
        <v>809999.99999999988</v>
      </c>
      <c r="F18" s="1888">
        <f>0.009*E26</f>
        <v>786857.16599999997</v>
      </c>
      <c r="G18" s="1889">
        <f t="shared" ref="G18:T18" si="0">0.009*F26</f>
        <v>740571.49799999991</v>
      </c>
      <c r="H18" s="1898">
        <f t="shared" si="0"/>
        <v>694285.83</v>
      </c>
      <c r="I18" s="1888">
        <f t="shared" si="0"/>
        <v>648000.16199999989</v>
      </c>
      <c r="J18" s="1889">
        <f t="shared" si="0"/>
        <v>601714.49399999995</v>
      </c>
      <c r="K18" s="1889">
        <f t="shared" si="0"/>
        <v>555428.826</v>
      </c>
      <c r="L18" s="1889">
        <f t="shared" si="0"/>
        <v>509143.15799999994</v>
      </c>
      <c r="M18" s="1889">
        <f t="shared" si="0"/>
        <v>462857.49</v>
      </c>
      <c r="N18" s="1889">
        <f t="shared" si="0"/>
        <v>416571.82199999999</v>
      </c>
      <c r="O18" s="1889">
        <f t="shared" si="0"/>
        <v>370286.15399999998</v>
      </c>
      <c r="P18" s="1889">
        <f t="shared" si="0"/>
        <v>324000.48599999998</v>
      </c>
      <c r="Q18" s="1889">
        <f t="shared" si="0"/>
        <v>277714.81799999997</v>
      </c>
      <c r="R18" s="1889">
        <f t="shared" si="0"/>
        <v>231429.15</v>
      </c>
      <c r="S18" s="1889">
        <f t="shared" si="0"/>
        <v>185143.48199999999</v>
      </c>
      <c r="T18" s="1889">
        <f t="shared" si="0"/>
        <v>138857.81399999998</v>
      </c>
      <c r="U18" s="1889">
        <f>0.009*T26-2041</f>
        <v>90531.145999999993</v>
      </c>
      <c r="V18" s="1890"/>
    </row>
    <row r="19" spans="1:22" s="1700" customFormat="1" ht="12.75" x14ac:dyDescent="0.2">
      <c r="A19" s="1887" t="s">
        <v>1331</v>
      </c>
      <c r="B19" s="1888"/>
      <c r="C19" s="1889"/>
      <c r="D19" s="1889"/>
      <c r="E19" s="1890">
        <f>428571*6</f>
        <v>2571426</v>
      </c>
      <c r="F19" s="1888">
        <f>428571*12</f>
        <v>5142852</v>
      </c>
      <c r="G19" s="1889">
        <f t="shared" ref="G19:U19" si="1">428571*12</f>
        <v>5142852</v>
      </c>
      <c r="H19" s="1898">
        <f t="shared" si="1"/>
        <v>5142852</v>
      </c>
      <c r="I19" s="1888">
        <f t="shared" si="1"/>
        <v>5142852</v>
      </c>
      <c r="J19" s="1889">
        <f t="shared" si="1"/>
        <v>5142852</v>
      </c>
      <c r="K19" s="1889">
        <f t="shared" si="1"/>
        <v>5142852</v>
      </c>
      <c r="L19" s="1889">
        <f t="shared" si="1"/>
        <v>5142852</v>
      </c>
      <c r="M19" s="1889">
        <f t="shared" si="1"/>
        <v>5142852</v>
      </c>
      <c r="N19" s="1889">
        <f t="shared" si="1"/>
        <v>5142852</v>
      </c>
      <c r="O19" s="1889">
        <f t="shared" si="1"/>
        <v>5142852</v>
      </c>
      <c r="P19" s="1889">
        <f t="shared" si="1"/>
        <v>5142852</v>
      </c>
      <c r="Q19" s="1889">
        <f t="shared" si="1"/>
        <v>5142852</v>
      </c>
      <c r="R19" s="1889">
        <f t="shared" si="1"/>
        <v>5142852</v>
      </c>
      <c r="S19" s="1889">
        <f t="shared" si="1"/>
        <v>5142852</v>
      </c>
      <c r="T19" s="1889">
        <f t="shared" si="1"/>
        <v>5142852</v>
      </c>
      <c r="U19" s="1889">
        <f t="shared" si="1"/>
        <v>5142852</v>
      </c>
      <c r="V19" s="1890">
        <f>428571*12+90</f>
        <v>5142942</v>
      </c>
    </row>
    <row r="20" spans="1:22" s="1895" customFormat="1" ht="12.75" x14ac:dyDescent="0.2">
      <c r="A20" s="1891" t="s">
        <v>1332</v>
      </c>
      <c r="B20" s="1892"/>
      <c r="C20" s="1893">
        <v>1455000</v>
      </c>
      <c r="D20" s="1893">
        <f t="shared" ref="D20:H20" si="2">+D25*0.0122</f>
        <v>682648.30379999999</v>
      </c>
      <c r="E20" s="1894">
        <f t="shared" si="2"/>
        <v>543457.38140000007</v>
      </c>
      <c r="F20" s="1892">
        <f t="shared" si="2"/>
        <v>404266.45900000003</v>
      </c>
      <c r="G20" s="1893">
        <f t="shared" si="2"/>
        <v>265075.53659999999</v>
      </c>
      <c r="H20" s="1899">
        <f t="shared" si="2"/>
        <v>125884.61420000001</v>
      </c>
      <c r="I20" s="1892"/>
      <c r="J20" s="1893"/>
      <c r="K20" s="1893"/>
      <c r="L20" s="1893"/>
      <c r="M20" s="1893"/>
      <c r="N20" s="1893"/>
      <c r="O20" s="1893"/>
      <c r="P20" s="1893"/>
      <c r="Q20" s="1893"/>
      <c r="R20" s="1893"/>
      <c r="S20" s="1893"/>
      <c r="T20" s="1893"/>
      <c r="U20" s="1893"/>
      <c r="V20" s="1894"/>
    </row>
    <row r="21" spans="1:22" s="1895" customFormat="1" ht="12.75" x14ac:dyDescent="0.2">
      <c r="A21" s="1891" t="s">
        <v>1333</v>
      </c>
      <c r="B21" s="1892"/>
      <c r="C21" s="1893">
        <v>11409092</v>
      </c>
      <c r="D21" s="1893">
        <v>11409092</v>
      </c>
      <c r="E21" s="1894">
        <v>11409092</v>
      </c>
      <c r="F21" s="1892">
        <v>11409092</v>
      </c>
      <c r="G21" s="1893">
        <v>11409092</v>
      </c>
      <c r="H21" s="1899">
        <v>11409092</v>
      </c>
      <c r="I21" s="1892"/>
      <c r="J21" s="1893"/>
      <c r="K21" s="1893"/>
      <c r="L21" s="1893"/>
      <c r="M21" s="1893"/>
      <c r="N21" s="1893"/>
      <c r="O21" s="1893"/>
      <c r="P21" s="1893"/>
      <c r="Q21" s="1893"/>
      <c r="R21" s="1893"/>
      <c r="S21" s="1893"/>
      <c r="T21" s="1893"/>
      <c r="U21" s="1893"/>
      <c r="V21" s="1894"/>
    </row>
    <row r="22" spans="1:22" s="1693" customFormat="1" ht="12.75" hidden="1" x14ac:dyDescent="0.2">
      <c r="A22" s="1247" t="s">
        <v>1334</v>
      </c>
      <c r="B22" s="1297"/>
      <c r="C22" s="1248">
        <v>3600000</v>
      </c>
      <c r="D22" s="1248">
        <f>TSÚ!E8</f>
        <v>3640000</v>
      </c>
      <c r="E22" s="1249">
        <v>1500000</v>
      </c>
      <c r="F22" s="1297">
        <v>1500000</v>
      </c>
      <c r="G22" s="1248"/>
      <c r="H22" s="1249"/>
      <c r="I22" s="1297"/>
      <c r="J22" s="1248"/>
      <c r="K22" s="1248"/>
      <c r="L22" s="1248"/>
      <c r="M22" s="1248"/>
      <c r="N22" s="1248"/>
      <c r="O22" s="1248"/>
      <c r="P22" s="1248"/>
      <c r="Q22" s="1248"/>
      <c r="R22" s="1248"/>
      <c r="S22" s="1248"/>
      <c r="T22" s="1248"/>
      <c r="U22" s="1248"/>
      <c r="V22" s="1249"/>
    </row>
    <row r="23" spans="1:22" s="1735" customFormat="1" ht="15.75" thickBot="1" x14ac:dyDescent="0.3">
      <c r="A23" s="1217" t="s">
        <v>1306</v>
      </c>
      <c r="B23" s="1298"/>
      <c r="C23" s="1218">
        <f>SUM(C16:C21)</f>
        <v>14465348.695976267</v>
      </c>
      <c r="D23" s="1218">
        <f t="shared" ref="D23:V23" si="3">SUM(D16:D21)</f>
        <v>13010970.362976</v>
      </c>
      <c r="E23" s="1219">
        <f t="shared" si="3"/>
        <v>15585975.3814</v>
      </c>
      <c r="F23" s="1298">
        <f t="shared" si="3"/>
        <v>17743067.625</v>
      </c>
      <c r="G23" s="1218">
        <f t="shared" si="3"/>
        <v>17557591.034600001</v>
      </c>
      <c r="H23" s="1219">
        <f t="shared" si="3"/>
        <v>17372114.444200002</v>
      </c>
      <c r="I23" s="1298">
        <f t="shared" si="3"/>
        <v>5790852.1619999995</v>
      </c>
      <c r="J23" s="1218">
        <f t="shared" si="3"/>
        <v>5744566.4939999999</v>
      </c>
      <c r="K23" s="1218">
        <f t="shared" si="3"/>
        <v>5698280.8260000004</v>
      </c>
      <c r="L23" s="1218">
        <f t="shared" si="3"/>
        <v>5651995.1579999998</v>
      </c>
      <c r="M23" s="1218">
        <f t="shared" si="3"/>
        <v>5605709.4900000002</v>
      </c>
      <c r="N23" s="1218">
        <f t="shared" si="3"/>
        <v>5559423.8219999997</v>
      </c>
      <c r="O23" s="1218">
        <f t="shared" si="3"/>
        <v>5513138.1540000001</v>
      </c>
      <c r="P23" s="1218">
        <f t="shared" si="3"/>
        <v>5466852.4859999996</v>
      </c>
      <c r="Q23" s="1218">
        <f t="shared" si="3"/>
        <v>5420566.818</v>
      </c>
      <c r="R23" s="1218">
        <f t="shared" si="3"/>
        <v>5374281.1500000004</v>
      </c>
      <c r="S23" s="1218">
        <f t="shared" si="3"/>
        <v>5327995.4819999998</v>
      </c>
      <c r="T23" s="1218">
        <f t="shared" si="3"/>
        <v>5281709.8140000002</v>
      </c>
      <c r="U23" s="1218">
        <f t="shared" si="3"/>
        <v>5233383.1459999997</v>
      </c>
      <c r="V23" s="1219">
        <f t="shared" si="3"/>
        <v>5142942</v>
      </c>
    </row>
    <row r="24" spans="1:22" s="1693" customFormat="1" ht="13.5" thickBot="1" x14ac:dyDescent="0.25">
      <c r="A24" s="1251"/>
      <c r="B24" s="1252"/>
      <c r="C24" s="1252"/>
      <c r="D24" s="1252"/>
      <c r="E24" s="1880"/>
      <c r="F24" s="1252"/>
      <c r="G24" s="1252"/>
      <c r="H24" s="1880"/>
      <c r="I24" s="1252"/>
      <c r="J24" s="1252"/>
      <c r="K24" s="1252"/>
      <c r="L24" s="1252"/>
      <c r="M24" s="1252"/>
      <c r="N24" s="1252"/>
      <c r="O24" s="1252"/>
      <c r="P24" s="1252"/>
      <c r="Q24" s="1252"/>
      <c r="R24" s="1252"/>
      <c r="S24" s="1252"/>
      <c r="T24" s="1252"/>
      <c r="U24" s="1252"/>
      <c r="V24" s="1252"/>
    </row>
    <row r="25" spans="1:22" s="1693" customFormat="1" ht="12.75" x14ac:dyDescent="0.2">
      <c r="A25" s="1253" t="s">
        <v>1335</v>
      </c>
      <c r="B25" s="1260">
        <v>78720000</v>
      </c>
      <c r="C25" s="1254">
        <f>66590908+772963</f>
        <v>67363871</v>
      </c>
      <c r="D25" s="1254">
        <f>+C25-C21</f>
        <v>55954779</v>
      </c>
      <c r="E25" s="1255">
        <f t="shared" ref="E25:H25" si="4">+D25-D21</f>
        <v>44545687</v>
      </c>
      <c r="F25" s="1260">
        <f t="shared" si="4"/>
        <v>33136595</v>
      </c>
      <c r="G25" s="1254">
        <f t="shared" si="4"/>
        <v>21727503</v>
      </c>
      <c r="H25" s="1900">
        <f t="shared" si="4"/>
        <v>10318411</v>
      </c>
      <c r="I25" s="1260"/>
      <c r="J25" s="1254"/>
      <c r="K25" s="1254"/>
      <c r="L25" s="1254"/>
      <c r="M25" s="1254"/>
      <c r="N25" s="1254"/>
      <c r="O25" s="1254"/>
      <c r="P25" s="1254"/>
      <c r="Q25" s="1254"/>
      <c r="R25" s="1254"/>
      <c r="S25" s="1254"/>
      <c r="T25" s="1254"/>
      <c r="U25" s="1254"/>
      <c r="V25" s="1255"/>
    </row>
    <row r="26" spans="1:22" s="1693" customFormat="1" ht="12.75" x14ac:dyDescent="0.2">
      <c r="A26" s="1256" t="s">
        <v>1336</v>
      </c>
      <c r="B26" s="1299"/>
      <c r="C26" s="1248">
        <v>46370129</v>
      </c>
      <c r="D26" s="1248">
        <v>90000000</v>
      </c>
      <c r="E26" s="1249">
        <f>B3-E19-C13</f>
        <v>87428574</v>
      </c>
      <c r="F26" s="1297">
        <f t="shared" ref="F26:V26" si="5">E26-F19</f>
        <v>82285722</v>
      </c>
      <c r="G26" s="1248">
        <f t="shared" si="5"/>
        <v>77142870</v>
      </c>
      <c r="H26" s="1897">
        <f t="shared" si="5"/>
        <v>72000018</v>
      </c>
      <c r="I26" s="1297">
        <f t="shared" si="5"/>
        <v>66857166</v>
      </c>
      <c r="J26" s="1248">
        <f t="shared" si="5"/>
        <v>61714314</v>
      </c>
      <c r="K26" s="1248">
        <f t="shared" si="5"/>
        <v>56571462</v>
      </c>
      <c r="L26" s="1248">
        <f t="shared" si="5"/>
        <v>51428610</v>
      </c>
      <c r="M26" s="1248">
        <f t="shared" si="5"/>
        <v>46285758</v>
      </c>
      <c r="N26" s="1248">
        <f t="shared" si="5"/>
        <v>41142906</v>
      </c>
      <c r="O26" s="1248">
        <f t="shared" si="5"/>
        <v>36000054</v>
      </c>
      <c r="P26" s="1248">
        <f t="shared" si="5"/>
        <v>30857202</v>
      </c>
      <c r="Q26" s="1248">
        <f t="shared" si="5"/>
        <v>25714350</v>
      </c>
      <c r="R26" s="1248">
        <f t="shared" si="5"/>
        <v>20571498</v>
      </c>
      <c r="S26" s="1248">
        <f t="shared" si="5"/>
        <v>15428646</v>
      </c>
      <c r="T26" s="1248">
        <f t="shared" si="5"/>
        <v>10285794</v>
      </c>
      <c r="U26" s="1248">
        <f t="shared" si="5"/>
        <v>5142942</v>
      </c>
      <c r="V26" s="1249">
        <f t="shared" si="5"/>
        <v>0</v>
      </c>
    </row>
    <row r="27" spans="1:22" s="1735" customFormat="1" ht="15.75" thickBot="1" x14ac:dyDescent="0.3">
      <c r="A27" s="1221" t="s">
        <v>2</v>
      </c>
      <c r="B27" s="1300">
        <f>+B25+B26</f>
        <v>78720000</v>
      </c>
      <c r="C27" s="1222">
        <f>+C25+C26</f>
        <v>113734000</v>
      </c>
      <c r="D27" s="1222">
        <f>+D25+D26</f>
        <v>145954779</v>
      </c>
      <c r="E27" s="1223">
        <f t="shared" ref="E27:V27" si="6">+E25+E26</f>
        <v>131974261</v>
      </c>
      <c r="F27" s="1300">
        <f t="shared" si="6"/>
        <v>115422317</v>
      </c>
      <c r="G27" s="1222">
        <f t="shared" si="6"/>
        <v>98870373</v>
      </c>
      <c r="H27" s="1223">
        <f t="shared" si="6"/>
        <v>82318429</v>
      </c>
      <c r="I27" s="1300">
        <f t="shared" si="6"/>
        <v>66857166</v>
      </c>
      <c r="J27" s="1222">
        <f t="shared" si="6"/>
        <v>61714314</v>
      </c>
      <c r="K27" s="1222">
        <f t="shared" si="6"/>
        <v>56571462</v>
      </c>
      <c r="L27" s="1222">
        <f t="shared" si="6"/>
        <v>51428610</v>
      </c>
      <c r="M27" s="1222">
        <f t="shared" si="6"/>
        <v>46285758</v>
      </c>
      <c r="N27" s="1222">
        <f t="shared" si="6"/>
        <v>41142906</v>
      </c>
      <c r="O27" s="1222">
        <f t="shared" si="6"/>
        <v>36000054</v>
      </c>
      <c r="P27" s="1222">
        <f t="shared" si="6"/>
        <v>30857202</v>
      </c>
      <c r="Q27" s="1222">
        <f t="shared" si="6"/>
        <v>25714350</v>
      </c>
      <c r="R27" s="1222">
        <f t="shared" si="6"/>
        <v>20571498</v>
      </c>
      <c r="S27" s="1222">
        <f t="shared" si="6"/>
        <v>15428646</v>
      </c>
      <c r="T27" s="1222">
        <f t="shared" si="6"/>
        <v>10285794</v>
      </c>
      <c r="U27" s="1222">
        <f t="shared" si="6"/>
        <v>5142942</v>
      </c>
      <c r="V27" s="1223">
        <f t="shared" si="6"/>
        <v>0</v>
      </c>
    </row>
    <row r="28" spans="1:22" s="1743" customFormat="1" ht="13.5" thickBot="1" x14ac:dyDescent="0.25">
      <c r="A28" s="1257"/>
      <c r="B28" s="1257"/>
      <c r="C28" s="1252"/>
      <c r="D28" s="1257"/>
      <c r="E28" s="1881"/>
      <c r="F28" s="1257"/>
      <c r="G28" s="1257"/>
      <c r="H28" s="1881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</row>
    <row r="29" spans="1:22" s="1734" customFormat="1" x14ac:dyDescent="0.25">
      <c r="A29" s="1213" t="s">
        <v>1337</v>
      </c>
      <c r="B29" s="1296"/>
      <c r="C29" s="1230">
        <v>151878635</v>
      </c>
      <c r="D29" s="1230">
        <f>'Souhrn příjmů a výdajů 2018'!H255</f>
        <v>144286267</v>
      </c>
      <c r="E29" s="1231">
        <f>+D29</f>
        <v>144286267</v>
      </c>
      <c r="F29" s="1878">
        <f t="shared" ref="F29:V29" si="7">+E29</f>
        <v>144286267</v>
      </c>
      <c r="G29" s="1230">
        <f t="shared" si="7"/>
        <v>144286267</v>
      </c>
      <c r="H29" s="1231">
        <f t="shared" si="7"/>
        <v>144286267</v>
      </c>
      <c r="I29" s="1878">
        <f t="shared" si="7"/>
        <v>144286267</v>
      </c>
      <c r="J29" s="1230">
        <f t="shared" si="7"/>
        <v>144286267</v>
      </c>
      <c r="K29" s="1230">
        <f t="shared" si="7"/>
        <v>144286267</v>
      </c>
      <c r="L29" s="1230">
        <f t="shared" si="7"/>
        <v>144286267</v>
      </c>
      <c r="M29" s="1230">
        <f t="shared" si="7"/>
        <v>144286267</v>
      </c>
      <c r="N29" s="1230">
        <f t="shared" si="7"/>
        <v>144286267</v>
      </c>
      <c r="O29" s="1230">
        <f t="shared" si="7"/>
        <v>144286267</v>
      </c>
      <c r="P29" s="1230">
        <f t="shared" si="7"/>
        <v>144286267</v>
      </c>
      <c r="Q29" s="1230">
        <f t="shared" si="7"/>
        <v>144286267</v>
      </c>
      <c r="R29" s="1230">
        <f t="shared" si="7"/>
        <v>144286267</v>
      </c>
      <c r="S29" s="1230">
        <f t="shared" si="7"/>
        <v>144286267</v>
      </c>
      <c r="T29" s="1230">
        <f t="shared" si="7"/>
        <v>144286267</v>
      </c>
      <c r="U29" s="1230">
        <f t="shared" si="7"/>
        <v>144286267</v>
      </c>
      <c r="V29" s="1231">
        <f t="shared" si="7"/>
        <v>144286267</v>
      </c>
    </row>
    <row r="30" spans="1:22" x14ac:dyDescent="0.25">
      <c r="A30" s="1258" t="s">
        <v>1338</v>
      </c>
      <c r="B30" s="1301"/>
      <c r="C30" s="1224">
        <f>+C23/C29</f>
        <v>9.5242814738072057E-2</v>
      </c>
      <c r="D30" s="1224">
        <f>+D23/D29</f>
        <v>9.0174696688050018E-2</v>
      </c>
      <c r="E30" s="1225">
        <f t="shared" ref="E30:V30" si="8">+E23/E29</f>
        <v>0.10802119775820383</v>
      </c>
      <c r="F30" s="1879">
        <f t="shared" si="8"/>
        <v>0.12297128475158346</v>
      </c>
      <c r="G30" s="1224">
        <f t="shared" si="8"/>
        <v>0.12168580835624503</v>
      </c>
      <c r="H30" s="1225">
        <f t="shared" si="8"/>
        <v>0.12040033196090659</v>
      </c>
      <c r="I30" s="1879">
        <f t="shared" si="8"/>
        <v>4.013446520173676E-2</v>
      </c>
      <c r="J30" s="1224">
        <f t="shared" si="8"/>
        <v>3.9813674672170986E-2</v>
      </c>
      <c r="K30" s="1224">
        <f t="shared" si="8"/>
        <v>3.9492884142605204E-2</v>
      </c>
      <c r="L30" s="1224">
        <f t="shared" si="8"/>
        <v>3.9172093613039416E-2</v>
      </c>
      <c r="M30" s="1224">
        <f t="shared" si="8"/>
        <v>3.8851303083473634E-2</v>
      </c>
      <c r="N30" s="1224">
        <f t="shared" si="8"/>
        <v>3.8530512553907846E-2</v>
      </c>
      <c r="O30" s="1224">
        <f t="shared" si="8"/>
        <v>3.8209722024342065E-2</v>
      </c>
      <c r="P30" s="1224">
        <f t="shared" si="8"/>
        <v>3.7888931494776283E-2</v>
      </c>
      <c r="Q30" s="1224">
        <f t="shared" si="8"/>
        <v>3.7568140965210502E-2</v>
      </c>
      <c r="R30" s="1224">
        <f t="shared" si="8"/>
        <v>3.724735043564472E-2</v>
      </c>
      <c r="S30" s="1224">
        <f t="shared" si="8"/>
        <v>3.6926559906078932E-2</v>
      </c>
      <c r="T30" s="1224">
        <f t="shared" si="8"/>
        <v>3.660576937651315E-2</v>
      </c>
      <c r="U30" s="1224">
        <f t="shared" si="8"/>
        <v>3.6270833356579942E-2</v>
      </c>
      <c r="V30" s="1225">
        <f t="shared" si="8"/>
        <v>3.5644015933962728E-2</v>
      </c>
    </row>
    <row r="31" spans="1:22" ht="15.75" hidden="1" thickBot="1" x14ac:dyDescent="0.3">
      <c r="A31" s="1226" t="s">
        <v>1339</v>
      </c>
      <c r="B31" s="1302"/>
      <c r="C31" s="1227">
        <f>C27/C29</f>
        <v>0.74884792057816429</v>
      </c>
      <c r="D31" s="1227">
        <f t="shared" ref="D31:V31" si="9">D27/D29</f>
        <v>1.011563900256703</v>
      </c>
      <c r="E31" s="1228">
        <f t="shared" si="9"/>
        <v>0.91466959222113631</v>
      </c>
      <c r="F31" s="1302">
        <f t="shared" si="9"/>
        <v>0.79995358809858186</v>
      </c>
      <c r="G31" s="1227">
        <f t="shared" si="9"/>
        <v>0.6852375839760273</v>
      </c>
      <c r="H31" s="1228">
        <f t="shared" si="9"/>
        <v>0.57052157985347285</v>
      </c>
      <c r="I31" s="1302">
        <f t="shared" si="9"/>
        <v>0.46336472202167378</v>
      </c>
      <c r="J31" s="1227">
        <f t="shared" si="9"/>
        <v>0.42772132984769784</v>
      </c>
      <c r="K31" s="1227">
        <f t="shared" si="9"/>
        <v>0.3920779376737219</v>
      </c>
      <c r="L31" s="1227">
        <f t="shared" si="9"/>
        <v>0.35643454549974601</v>
      </c>
      <c r="M31" s="1227">
        <f t="shared" si="9"/>
        <v>0.32079115332577007</v>
      </c>
      <c r="N31" s="1227">
        <f t="shared" si="9"/>
        <v>0.28514776115179419</v>
      </c>
      <c r="O31" s="1227">
        <f t="shared" si="9"/>
        <v>0.24950436897781825</v>
      </c>
      <c r="P31" s="1227">
        <f t="shared" si="9"/>
        <v>0.21386097680384233</v>
      </c>
      <c r="Q31" s="1227">
        <f t="shared" si="9"/>
        <v>0.17821758462986639</v>
      </c>
      <c r="R31" s="1227">
        <f t="shared" si="9"/>
        <v>0.14257419245589048</v>
      </c>
      <c r="S31" s="1227">
        <f t="shared" si="9"/>
        <v>0.10693080028191457</v>
      </c>
      <c r="T31" s="1227">
        <f t="shared" si="9"/>
        <v>7.1287408107938641E-2</v>
      </c>
      <c r="U31" s="1227">
        <f t="shared" si="9"/>
        <v>3.5644015933962728E-2</v>
      </c>
      <c r="V31" s="1228">
        <f t="shared" si="9"/>
        <v>0</v>
      </c>
    </row>
    <row r="32" spans="1:22" ht="13.5" thickBot="1" x14ac:dyDescent="0.25">
      <c r="A32" s="1246"/>
      <c r="B32" s="1246"/>
      <c r="C32" s="1246"/>
      <c r="D32" s="1246"/>
      <c r="E32" s="1881"/>
      <c r="F32" s="1246"/>
      <c r="G32" s="1246"/>
      <c r="H32" s="1881"/>
      <c r="I32" s="1246"/>
      <c r="J32" s="1246"/>
      <c r="K32" s="1246"/>
      <c r="L32" s="1246"/>
      <c r="M32" s="1246"/>
      <c r="N32" s="1246"/>
      <c r="O32" s="1246"/>
      <c r="P32" s="1246"/>
      <c r="Q32" s="1246"/>
      <c r="R32" s="1246"/>
      <c r="S32" s="1246"/>
      <c r="T32" s="1246"/>
      <c r="U32" s="1246"/>
      <c r="V32" s="1246"/>
    </row>
    <row r="33" spans="1:22" s="1734" customFormat="1" ht="15.75" thickBot="1" x14ac:dyDescent="0.3">
      <c r="A33" s="1229" t="s">
        <v>1340</v>
      </c>
      <c r="B33" s="978"/>
      <c r="C33" s="1220"/>
      <c r="D33" s="1220"/>
      <c r="E33" s="1882"/>
      <c r="F33" s="706"/>
      <c r="G33" s="706"/>
      <c r="H33" s="1901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</row>
    <row r="34" spans="1:22" ht="12.75" x14ac:dyDescent="0.2">
      <c r="A34" s="1259" t="s">
        <v>1341</v>
      </c>
      <c r="B34" s="1303">
        <v>143084000</v>
      </c>
      <c r="C34" s="1260">
        <v>146553000</v>
      </c>
      <c r="D34" s="1260">
        <f>+C34*1.05</f>
        <v>153880650</v>
      </c>
      <c r="E34" s="1261">
        <f>+D34*1.03</f>
        <v>158497069.5</v>
      </c>
      <c r="F34" s="1260">
        <f>+E34*1.02</f>
        <v>161667010.89000002</v>
      </c>
      <c r="G34" s="1260">
        <f>+F34*1.02</f>
        <v>164900351.10780001</v>
      </c>
      <c r="H34" s="1261">
        <f t="shared" ref="H34:V34" si="10">+G34*1.02</f>
        <v>168198358.12995601</v>
      </c>
      <c r="I34" s="1260">
        <f t="shared" si="10"/>
        <v>171562325.29255512</v>
      </c>
      <c r="J34" s="1260">
        <f t="shared" si="10"/>
        <v>174993571.79840624</v>
      </c>
      <c r="K34" s="1260">
        <f t="shared" si="10"/>
        <v>178493443.23437437</v>
      </c>
      <c r="L34" s="1260">
        <f t="shared" si="10"/>
        <v>182063312.09906188</v>
      </c>
      <c r="M34" s="1260">
        <f t="shared" si="10"/>
        <v>185704578.34104311</v>
      </c>
      <c r="N34" s="1260">
        <f t="shared" si="10"/>
        <v>189418669.90786397</v>
      </c>
      <c r="O34" s="1260">
        <f t="shared" si="10"/>
        <v>193207043.30602124</v>
      </c>
      <c r="P34" s="1260">
        <f t="shared" si="10"/>
        <v>197071184.17214167</v>
      </c>
      <c r="Q34" s="1260">
        <f t="shared" si="10"/>
        <v>201012607.8555845</v>
      </c>
      <c r="R34" s="1260">
        <f t="shared" si="10"/>
        <v>205032860.01269621</v>
      </c>
      <c r="S34" s="1260">
        <f t="shared" si="10"/>
        <v>209133517.21295014</v>
      </c>
      <c r="T34" s="1260">
        <f t="shared" si="10"/>
        <v>213316187.55720913</v>
      </c>
      <c r="U34" s="1260">
        <f t="shared" si="10"/>
        <v>217582511.30835333</v>
      </c>
      <c r="V34" s="1260">
        <f t="shared" si="10"/>
        <v>221934161.53452042</v>
      </c>
    </row>
    <row r="35" spans="1:22" s="1907" customFormat="1" ht="15.75" thickBot="1" x14ac:dyDescent="0.3">
      <c r="A35" s="1903" t="s">
        <v>1339</v>
      </c>
      <c r="B35" s="1904">
        <f>+B27/B34</f>
        <v>0.55016633585865649</v>
      </c>
      <c r="C35" s="1904">
        <f>+C27/C34</f>
        <v>0.776060537825906</v>
      </c>
      <c r="D35" s="1904">
        <f t="shared" ref="D35:V35" si="11">+D27/D34</f>
        <v>0.9484933875701721</v>
      </c>
      <c r="E35" s="1905">
        <f t="shared" si="11"/>
        <v>0.83266057483794675</v>
      </c>
      <c r="F35" s="1906">
        <f t="shared" si="11"/>
        <v>0.71395095613250736</v>
      </c>
      <c r="G35" s="1904">
        <f t="shared" si="11"/>
        <v>0.59957648565202659</v>
      </c>
      <c r="H35" s="1905">
        <f t="shared" si="11"/>
        <v>0.48941279757557365</v>
      </c>
      <c r="I35" s="1906">
        <f t="shared" si="11"/>
        <v>0.38969608208557688</v>
      </c>
      <c r="J35" s="1904">
        <f t="shared" si="11"/>
        <v>0.35266617719589893</v>
      </c>
      <c r="K35" s="1904">
        <f t="shared" si="11"/>
        <v>0.31693859995584106</v>
      </c>
      <c r="L35" s="1904">
        <f t="shared" si="11"/>
        <v>0.28247651548828984</v>
      </c>
      <c r="M35" s="1904">
        <f t="shared" si="11"/>
        <v>0.24924403271844509</v>
      </c>
      <c r="N35" s="1904">
        <f t="shared" si="11"/>
        <v>0.21720618152377755</v>
      </c>
      <c r="O35" s="1904">
        <f t="shared" si="11"/>
        <v>0.18632889041720596</v>
      </c>
      <c r="P35" s="1904">
        <f t="shared" si="11"/>
        <v>0.15657896475136737</v>
      </c>
      <c r="Q35" s="1904">
        <f t="shared" si="11"/>
        <v>0.12792406543212562</v>
      </c>
      <c r="R35" s="1904">
        <f t="shared" si="11"/>
        <v>0.10033268812972787</v>
      </c>
      <c r="S35" s="1904">
        <f t="shared" si="11"/>
        <v>7.3774142976277615E-2</v>
      </c>
      <c r="T35" s="1904">
        <f t="shared" si="11"/>
        <v>4.8218534738445291E-2</v>
      </c>
      <c r="U35" s="1904">
        <f t="shared" si="11"/>
        <v>2.3636743454585517E-2</v>
      </c>
      <c r="V35" s="1905">
        <f t="shared" si="11"/>
        <v>0</v>
      </c>
    </row>
    <row r="36" spans="1:22" x14ac:dyDescent="0.25">
      <c r="A36" s="1284"/>
      <c r="B36" s="1285"/>
      <c r="C36" s="1285"/>
      <c r="D36" s="1285"/>
      <c r="E36" s="1285"/>
      <c r="F36" s="1285"/>
      <c r="G36" s="1285"/>
      <c r="H36" s="1285"/>
      <c r="I36" s="1285"/>
      <c r="J36" s="1285"/>
      <c r="K36" s="1285"/>
      <c r="L36" s="1285"/>
      <c r="M36" s="1285"/>
      <c r="N36" s="1285"/>
      <c r="O36" s="1285"/>
      <c r="P36" s="1285"/>
      <c r="Q36" s="1285"/>
      <c r="R36" s="1285"/>
      <c r="S36" s="1285"/>
      <c r="T36" s="1285"/>
      <c r="U36" s="1285"/>
      <c r="V36" s="1246"/>
    </row>
    <row r="37" spans="1:22" ht="13.5" hidden="1" thickBot="1" x14ac:dyDescent="0.25">
      <c r="A37" s="1246"/>
      <c r="B37" s="1250"/>
      <c r="C37" s="1250"/>
      <c r="D37" s="1250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</row>
    <row r="38" spans="1:22" s="1702" customFormat="1" ht="13.5" hidden="1" thickBot="1" x14ac:dyDescent="0.25">
      <c r="A38" s="1318" t="s">
        <v>1364</v>
      </c>
      <c r="B38" s="1307">
        <v>2016</v>
      </c>
      <c r="C38" s="1319">
        <v>2017</v>
      </c>
      <c r="D38" s="1320"/>
      <c r="E38" s="1321"/>
      <c r="F38" s="1321"/>
      <c r="G38" s="1322"/>
      <c r="H38" s="1319">
        <v>2018</v>
      </c>
      <c r="I38" s="1320"/>
      <c r="J38" s="1321"/>
      <c r="K38" s="1321"/>
      <c r="L38" s="1322"/>
      <c r="M38" s="1319">
        <v>2019</v>
      </c>
      <c r="N38" s="1320"/>
      <c r="O38" s="1321"/>
      <c r="P38" s="1321"/>
      <c r="Q38" s="1322"/>
      <c r="R38" s="1319">
        <v>2020</v>
      </c>
      <c r="S38" s="1320"/>
      <c r="T38" s="1320"/>
      <c r="U38" s="1321"/>
      <c r="V38" s="1322"/>
    </row>
    <row r="39" spans="1:22" ht="13.5" hidden="1" thickBot="1" x14ac:dyDescent="0.25">
      <c r="A39" s="1246"/>
      <c r="B39" s="1313"/>
      <c r="C39" s="1314"/>
      <c r="D39" s="1305" t="s">
        <v>1359</v>
      </c>
      <c r="E39" s="1293" t="s">
        <v>1360</v>
      </c>
      <c r="F39" s="1294" t="s">
        <v>1361</v>
      </c>
      <c r="G39" s="1295" t="s">
        <v>1362</v>
      </c>
      <c r="H39" s="1314"/>
      <c r="I39" s="1305" t="s">
        <v>1359</v>
      </c>
      <c r="J39" s="1293" t="s">
        <v>1360</v>
      </c>
      <c r="K39" s="1294" t="s">
        <v>1361</v>
      </c>
      <c r="L39" s="1295" t="s">
        <v>1362</v>
      </c>
      <c r="M39" s="1314"/>
      <c r="N39" s="1305" t="s">
        <v>1359</v>
      </c>
      <c r="O39" s="1293" t="s">
        <v>1360</v>
      </c>
      <c r="P39" s="1294" t="s">
        <v>1361</v>
      </c>
      <c r="Q39" s="1295" t="s">
        <v>1362</v>
      </c>
      <c r="R39" s="1314"/>
      <c r="S39" s="1323" t="s">
        <v>1359</v>
      </c>
      <c r="T39" s="1305" t="s">
        <v>1360</v>
      </c>
      <c r="U39" s="1294" t="s">
        <v>1361</v>
      </c>
      <c r="V39" s="1295" t="s">
        <v>1362</v>
      </c>
    </row>
    <row r="40" spans="1:22" ht="16.5" hidden="1" thickBot="1" x14ac:dyDescent="0.3">
      <c r="A40" s="171" t="s">
        <v>1355</v>
      </c>
      <c r="B40" s="1308">
        <f>+B41/B42</f>
        <v>1.9308936727538348</v>
      </c>
      <c r="C40" s="1315">
        <f>+C41/C42</f>
        <v>3.2837092971849873</v>
      </c>
      <c r="D40" s="1308">
        <f>+D41/D42</f>
        <v>4.9398583634734905</v>
      </c>
      <c r="E40" s="1308">
        <f>+E41/E42</f>
        <v>2.4384532659623654</v>
      </c>
      <c r="F40" s="1308">
        <f>+F41/F42</f>
        <v>3.4125864367604826</v>
      </c>
      <c r="G40" s="1308" t="e">
        <f t="shared" ref="G40:V40" si="12">+G41/G42</f>
        <v>#DIV/0!</v>
      </c>
      <c r="H40" s="1308">
        <f t="shared" si="12"/>
        <v>2.881527353769529</v>
      </c>
      <c r="I40" s="1308" t="e">
        <f t="shared" si="12"/>
        <v>#DIV/0!</v>
      </c>
      <c r="J40" s="1308" t="e">
        <f t="shared" si="12"/>
        <v>#DIV/0!</v>
      </c>
      <c r="K40" s="1308" t="e">
        <f t="shared" si="12"/>
        <v>#DIV/0!</v>
      </c>
      <c r="L40" s="1308" t="e">
        <f t="shared" si="12"/>
        <v>#DIV/0!</v>
      </c>
      <c r="M40" s="1308">
        <f t="shared" si="12"/>
        <v>0</v>
      </c>
      <c r="N40" s="1308" t="e">
        <f t="shared" si="12"/>
        <v>#DIV/0!</v>
      </c>
      <c r="O40" s="1308" t="e">
        <f t="shared" si="12"/>
        <v>#DIV/0!</v>
      </c>
      <c r="P40" s="1308" t="e">
        <f t="shared" si="12"/>
        <v>#DIV/0!</v>
      </c>
      <c r="Q40" s="1308" t="e">
        <f t="shared" si="12"/>
        <v>#DIV/0!</v>
      </c>
      <c r="R40" s="1308">
        <f t="shared" si="12"/>
        <v>0</v>
      </c>
      <c r="S40" s="1308" t="e">
        <f t="shared" si="12"/>
        <v>#DIV/0!</v>
      </c>
      <c r="T40" s="1308" t="e">
        <f t="shared" si="12"/>
        <v>#DIV/0!</v>
      </c>
      <c r="U40" s="1308" t="e">
        <f t="shared" si="12"/>
        <v>#DIV/0!</v>
      </c>
      <c r="V40" s="1308" t="e">
        <f t="shared" si="12"/>
        <v>#DIV/0!</v>
      </c>
    </row>
    <row r="41" spans="1:22" ht="15.75" hidden="1" x14ac:dyDescent="0.25">
      <c r="A41" s="1311" t="s">
        <v>1363</v>
      </c>
      <c r="B41" s="1309">
        <f>5400000+21033934.38</f>
        <v>26433934.379999999</v>
      </c>
      <c r="C41" s="1309">
        <f>27000000+B4+B10</f>
        <v>47500000</v>
      </c>
      <c r="D41" s="1316">
        <v>17050672</v>
      </c>
      <c r="E41" s="631">
        <v>23737750</v>
      </c>
      <c r="F41" s="631">
        <v>39324288</v>
      </c>
      <c r="G41" s="415"/>
      <c r="H41" s="1316">
        <f>+'Souhrn příjmů a výdajů 2018'!H146+'Souhrn příjmů a výdajů 2018'!H119+'Souhrn příjmů a výdajů 2018'!H112</f>
        <v>37491467</v>
      </c>
      <c r="I41" s="1324"/>
      <c r="J41" s="631"/>
      <c r="K41" s="631"/>
      <c r="L41" s="415"/>
      <c r="M41" s="1316"/>
      <c r="N41" s="1324"/>
      <c r="O41" s="631"/>
      <c r="P41" s="631"/>
      <c r="Q41" s="415"/>
      <c r="R41" s="1316"/>
      <c r="S41" s="405"/>
      <c r="T41" s="1324"/>
      <c r="U41" s="631"/>
      <c r="V41" s="415"/>
    </row>
    <row r="42" spans="1:22" ht="16.5" hidden="1" thickBot="1" x14ac:dyDescent="0.3">
      <c r="A42" s="1312" t="s">
        <v>1357</v>
      </c>
      <c r="B42" s="1310">
        <f>2281000+11409000</f>
        <v>13690000</v>
      </c>
      <c r="C42" s="1317">
        <f>+C16+C17+C20+C21</f>
        <v>14465348.695976267</v>
      </c>
      <c r="D42" s="1325">
        <v>3451652</v>
      </c>
      <c r="E42" s="1306">
        <v>9734757</v>
      </c>
      <c r="F42" s="1306">
        <v>11523309</v>
      </c>
      <c r="G42" s="1326"/>
      <c r="H42" s="1317">
        <f>+D23</f>
        <v>13010970.362976</v>
      </c>
      <c r="I42" s="1325"/>
      <c r="J42" s="1306"/>
      <c r="K42" s="1306"/>
      <c r="L42" s="1326"/>
      <c r="M42" s="1317">
        <f>+E23</f>
        <v>15585975.3814</v>
      </c>
      <c r="N42" s="1325"/>
      <c r="O42" s="1306"/>
      <c r="P42" s="1306"/>
      <c r="Q42" s="1326"/>
      <c r="R42" s="1317">
        <f>F23</f>
        <v>17743067.625</v>
      </c>
      <c r="S42" s="1327"/>
      <c r="T42" s="1325"/>
      <c r="U42" s="1306"/>
      <c r="V42" s="1326"/>
    </row>
    <row r="43" spans="1:22" ht="12.75" x14ac:dyDescent="0.2"/>
    <row r="44" spans="1:22" ht="12.75" x14ac:dyDescent="0.2"/>
    <row r="45" spans="1:22" ht="12.75" x14ac:dyDescent="0.2"/>
    <row r="46" spans="1:22" ht="12.75" x14ac:dyDescent="0.2"/>
  </sheetData>
  <sheetProtection password="CF41" sheet="1" objects="1" scenarios="1"/>
  <pageMargins left="0.70866141732283472" right="0.70866141732283472" top="0.78740157480314965" bottom="0.78740157480314965" header="0.31496062992125984" footer="0.31496062992125984"/>
  <pageSetup paperSize="9" scale="94" fitToWidth="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9"/>
  <sheetViews>
    <sheetView workbookViewId="0"/>
  </sheetViews>
  <sheetFormatPr defaultRowHeight="12.75" x14ac:dyDescent="0.2"/>
  <cols>
    <col min="1" max="1" width="18.7109375" bestFit="1" customWidth="1"/>
    <col min="2" max="2" width="11.140625" bestFit="1" customWidth="1"/>
  </cols>
  <sheetData>
    <row r="5" spans="1:2" ht="16.5" thickBot="1" x14ac:dyDescent="0.3">
      <c r="A5" s="1635" t="s">
        <v>346</v>
      </c>
      <c r="B5" s="315">
        <f>'Souhrn příjmů a výdajů 2018'!H6</f>
        <v>108848000</v>
      </c>
    </row>
    <row r="6" spans="1:2" ht="16.5" thickBot="1" x14ac:dyDescent="0.3">
      <c r="A6" s="1635" t="s">
        <v>348</v>
      </c>
      <c r="B6" s="315">
        <f>'Souhrn příjmů a výdajů 2018'!H26</f>
        <v>19045200</v>
      </c>
    </row>
    <row r="7" spans="1:2" ht="16.5" thickBot="1" x14ac:dyDescent="0.3">
      <c r="A7" s="1635" t="s">
        <v>352</v>
      </c>
      <c r="B7" s="315">
        <f>'Souhrn příjmů a výdajů 2018'!H94</f>
        <v>60000</v>
      </c>
    </row>
    <row r="8" spans="1:2" ht="16.5" thickBot="1" x14ac:dyDescent="0.3">
      <c r="A8" s="1635" t="s">
        <v>357</v>
      </c>
      <c r="B8" s="315">
        <f>'Souhrn příjmů a výdajů 2018'!H100</f>
        <v>20393067</v>
      </c>
    </row>
    <row r="9" spans="1:2" ht="16.5" thickBot="1" x14ac:dyDescent="0.3">
      <c r="A9" s="1635" t="s">
        <v>366</v>
      </c>
      <c r="B9" s="315">
        <f>'Souhrn příjmů a výdajů 2018'!H145</f>
        <v>90858791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101"/>
  <sheetViews>
    <sheetView workbookViewId="0"/>
  </sheetViews>
  <sheetFormatPr defaultRowHeight="12.75" outlineLevelRow="1" x14ac:dyDescent="0.2"/>
  <cols>
    <col min="1" max="1" width="16.7109375" style="495" bestFit="1" customWidth="1"/>
    <col min="2" max="2" width="22.85546875" style="495" customWidth="1"/>
    <col min="3" max="3" width="31" style="495" customWidth="1"/>
    <col min="4" max="4" width="15.5703125" style="496" bestFit="1" customWidth="1"/>
    <col min="5" max="5" width="15.5703125" style="496" hidden="1" customWidth="1"/>
    <col min="6" max="6" width="15.5703125" style="512" hidden="1" customWidth="1"/>
    <col min="7" max="7" width="13.85546875" style="495" customWidth="1"/>
    <col min="8" max="9" width="12.28515625" style="495" hidden="1" customWidth="1"/>
    <col min="10" max="10" width="13" style="495" hidden="1" customWidth="1"/>
    <col min="11" max="11" width="12.28515625" style="495" hidden="1" customWidth="1"/>
    <col min="12" max="12" width="14.7109375" style="495" hidden="1" customWidth="1"/>
    <col min="13" max="13" width="12.42578125" style="495" hidden="1" customWidth="1"/>
    <col min="14" max="14" width="14.28515625" style="495" customWidth="1"/>
    <col min="15" max="16" width="0" style="495" hidden="1" customWidth="1"/>
    <col min="17" max="17" width="13.28515625" style="495" customWidth="1"/>
    <col min="18" max="19" width="0" style="495" hidden="1" customWidth="1"/>
    <col min="20" max="20" width="14.28515625" style="495" customWidth="1"/>
    <col min="21" max="22" width="11.5703125" style="495" hidden="1" customWidth="1"/>
    <col min="23" max="23" width="14.5703125" style="495" customWidth="1"/>
    <col min="24" max="25" width="0" style="495" hidden="1" customWidth="1"/>
    <col min="26" max="26" width="13.7109375" style="495" customWidth="1"/>
    <col min="27" max="28" width="0" style="495" hidden="1" customWidth="1"/>
    <col min="29" max="29" width="13.5703125" style="495" bestFit="1" customWidth="1"/>
    <col min="30" max="31" width="0" style="495" hidden="1" customWidth="1"/>
    <col min="32" max="32" width="13.5703125" style="495" bestFit="1" customWidth="1"/>
    <col min="33" max="34" width="0" style="495" hidden="1" customWidth="1"/>
    <col min="35" max="35" width="13.5703125" style="495" bestFit="1" customWidth="1"/>
    <col min="36" max="37" width="0" style="495" hidden="1" customWidth="1"/>
    <col min="38" max="38" width="13.5703125" style="495" bestFit="1" customWidth="1"/>
    <col min="39" max="40" width="0" style="495" hidden="1" customWidth="1"/>
    <col min="41" max="41" width="13.140625" style="495" customWidth="1"/>
    <col min="42" max="43" width="0" style="495" hidden="1" customWidth="1"/>
    <col min="44" max="44" width="13.7109375" style="495" customWidth="1"/>
    <col min="45" max="46" width="0" style="495" hidden="1" customWidth="1"/>
    <col min="47" max="47" width="11.85546875" style="1055" bestFit="1" customWidth="1"/>
    <col min="48" max="48" width="12.28515625" style="495" bestFit="1" customWidth="1"/>
    <col min="49" max="49" width="11.28515625" style="495" bestFit="1" customWidth="1"/>
    <col min="50" max="16384" width="9.140625" style="495"/>
  </cols>
  <sheetData>
    <row r="1" spans="1:49" ht="15.75" x14ac:dyDescent="0.25">
      <c r="A1" s="115" t="s">
        <v>202</v>
      </c>
      <c r="C1" s="114"/>
      <c r="D1" s="939"/>
      <c r="E1" s="939"/>
      <c r="F1" s="939"/>
      <c r="G1" s="940">
        <f>G2/$D$2</f>
        <v>6.3169667491452003E-2</v>
      </c>
      <c r="H1" s="549"/>
      <c r="I1" s="549"/>
      <c r="J1" s="549"/>
      <c r="K1" s="549"/>
      <c r="L1" s="549"/>
      <c r="M1" s="549"/>
      <c r="N1" s="940">
        <f>N2/$D$2</f>
        <v>6.792383317364567E-2</v>
      </c>
      <c r="O1" s="940"/>
      <c r="P1" s="940"/>
      <c r="Q1" s="940">
        <f>Q2/$D$2</f>
        <v>8.0748014386432046E-2</v>
      </c>
      <c r="R1" s="940"/>
      <c r="S1" s="940"/>
      <c r="T1" s="940">
        <f>T2/$D$2</f>
        <v>5.50603045189813E-2</v>
      </c>
      <c r="U1" s="940"/>
      <c r="V1" s="940"/>
      <c r="W1" s="940">
        <f>W2/$D$2</f>
        <v>5.5965673417617441E-2</v>
      </c>
      <c r="X1" s="940"/>
      <c r="Y1" s="940"/>
      <c r="Z1" s="940">
        <f>Z2/$D$2</f>
        <v>0.14783729146564059</v>
      </c>
      <c r="AA1" s="940"/>
      <c r="AB1" s="940"/>
      <c r="AC1" s="940">
        <f>AC2/$D$2</f>
        <v>0.10014330653111504</v>
      </c>
      <c r="AD1" s="940"/>
      <c r="AE1" s="940"/>
      <c r="AF1" s="940">
        <f>AF2/$D$2</f>
        <v>6.6371000545009287E-2</v>
      </c>
      <c r="AG1" s="940"/>
      <c r="AH1" s="940"/>
      <c r="AI1" s="940">
        <f>AI2/$D$2</f>
        <v>9.625066725391937E-2</v>
      </c>
      <c r="AJ1" s="940"/>
      <c r="AK1" s="940"/>
      <c r="AL1" s="940">
        <f>AL2/$D$2</f>
        <v>6.6889102477296056E-2</v>
      </c>
      <c r="AM1" s="940"/>
      <c r="AN1" s="940"/>
      <c r="AO1" s="940">
        <f>AO2/$D$2</f>
        <v>7.0268512609407141E-2</v>
      </c>
      <c r="AP1" s="940"/>
      <c r="AQ1" s="940"/>
      <c r="AR1" s="940">
        <f>AR2/$D$2</f>
        <v>0.12937263872066546</v>
      </c>
    </row>
    <row r="2" spans="1:49" ht="13.5" thickBot="1" x14ac:dyDescent="0.25">
      <c r="A2" s="224" t="s">
        <v>791</v>
      </c>
      <c r="B2" s="496"/>
      <c r="C2" s="497"/>
      <c r="D2" s="941">
        <v>79420665</v>
      </c>
      <c r="E2" s="941"/>
      <c r="F2" s="941"/>
      <c r="G2" s="549">
        <v>5016977</v>
      </c>
      <c r="H2" s="549"/>
      <c r="I2" s="549"/>
      <c r="J2" s="549"/>
      <c r="K2" s="549"/>
      <c r="L2" s="549"/>
      <c r="M2" s="549"/>
      <c r="N2" s="549">
        <v>5394556</v>
      </c>
      <c r="O2" s="549"/>
      <c r="P2" s="549"/>
      <c r="Q2" s="549">
        <v>6413061</v>
      </c>
      <c r="R2" s="549"/>
      <c r="S2" s="549"/>
      <c r="T2" s="549">
        <v>4372926</v>
      </c>
      <c r="U2" s="549"/>
      <c r="V2" s="549"/>
      <c r="W2" s="549">
        <v>4444831</v>
      </c>
      <c r="X2" s="549"/>
      <c r="Y2" s="549"/>
      <c r="Z2" s="549">
        <v>11741336</v>
      </c>
      <c r="AA2" s="549"/>
      <c r="AB2" s="549"/>
      <c r="AC2" s="549">
        <v>7953448</v>
      </c>
      <c r="AD2" s="549"/>
      <c r="AE2" s="549"/>
      <c r="AF2" s="549">
        <v>5271229</v>
      </c>
      <c r="AG2" s="549"/>
      <c r="AH2" s="549"/>
      <c r="AI2" s="549">
        <v>7644292</v>
      </c>
      <c r="AJ2" s="549"/>
      <c r="AK2" s="549"/>
      <c r="AL2" s="549">
        <v>5312377</v>
      </c>
      <c r="AM2" s="549"/>
      <c r="AN2" s="549"/>
      <c r="AO2" s="549">
        <v>5580772</v>
      </c>
      <c r="AP2" s="549"/>
      <c r="AQ2" s="549"/>
      <c r="AR2" s="549">
        <v>10274861</v>
      </c>
    </row>
    <row r="3" spans="1:49" ht="19.5" customHeight="1" thickBot="1" x14ac:dyDescent="0.25">
      <c r="A3" s="2000" t="s">
        <v>790</v>
      </c>
      <c r="B3" s="2001"/>
      <c r="C3" s="2002"/>
      <c r="D3" s="2011" t="s">
        <v>1461</v>
      </c>
      <c r="E3" s="2012"/>
      <c r="F3" s="2013"/>
      <c r="G3" s="2015" t="s">
        <v>275</v>
      </c>
      <c r="H3" s="2015"/>
      <c r="I3" s="2015"/>
      <c r="J3" s="2015"/>
      <c r="K3" s="2015"/>
      <c r="L3" s="2015"/>
      <c r="M3" s="2016"/>
      <c r="N3" s="2014" t="s">
        <v>276</v>
      </c>
      <c r="O3" s="2015"/>
      <c r="P3" s="2016"/>
      <c r="Q3" s="2014" t="s">
        <v>277</v>
      </c>
      <c r="R3" s="2015"/>
      <c r="S3" s="2016"/>
      <c r="T3" s="2014" t="s">
        <v>278</v>
      </c>
      <c r="U3" s="2015"/>
      <c r="V3" s="2016"/>
      <c r="W3" s="2014" t="s">
        <v>279</v>
      </c>
      <c r="X3" s="2015"/>
      <c r="Y3" s="2016"/>
      <c r="Z3" s="2014" t="s">
        <v>280</v>
      </c>
      <c r="AA3" s="2015"/>
      <c r="AB3" s="2016"/>
      <c r="AC3" s="2014" t="s">
        <v>281</v>
      </c>
      <c r="AD3" s="2015"/>
      <c r="AE3" s="2016"/>
      <c r="AF3" s="2014" t="s">
        <v>286</v>
      </c>
      <c r="AG3" s="2015"/>
      <c r="AH3" s="2016"/>
      <c r="AI3" s="2014" t="s">
        <v>282</v>
      </c>
      <c r="AJ3" s="2015"/>
      <c r="AK3" s="2016"/>
      <c r="AL3" s="2014" t="s">
        <v>283</v>
      </c>
      <c r="AM3" s="2015"/>
      <c r="AN3" s="2016"/>
      <c r="AO3" s="2014" t="s">
        <v>284</v>
      </c>
      <c r="AP3" s="2015"/>
      <c r="AQ3" s="2016"/>
      <c r="AR3" s="2017" t="s">
        <v>285</v>
      </c>
      <c r="AS3" s="2018"/>
      <c r="AT3" s="2019"/>
      <c r="AU3" s="1055" t="s">
        <v>371</v>
      </c>
    </row>
    <row r="4" spans="1:49" ht="19.5" customHeight="1" thickBot="1" x14ac:dyDescent="0.25">
      <c r="A4" s="2003"/>
      <c r="B4" s="2004"/>
      <c r="C4" s="2005"/>
      <c r="D4" s="479" t="s">
        <v>193</v>
      </c>
      <c r="E4" s="513" t="s">
        <v>194</v>
      </c>
      <c r="F4" s="514" t="s">
        <v>287</v>
      </c>
      <c r="G4" s="484" t="s">
        <v>193</v>
      </c>
      <c r="H4" s="942" t="s">
        <v>633</v>
      </c>
      <c r="I4" s="480" t="s">
        <v>634</v>
      </c>
      <c r="J4" s="234" t="s">
        <v>635</v>
      </c>
      <c r="K4" s="480" t="s">
        <v>636</v>
      </c>
      <c r="L4" s="532" t="s">
        <v>194</v>
      </c>
      <c r="M4" s="231" t="s">
        <v>287</v>
      </c>
      <c r="N4" s="479" t="s">
        <v>193</v>
      </c>
      <c r="O4" s="234" t="s">
        <v>194</v>
      </c>
      <c r="P4" s="535" t="s">
        <v>287</v>
      </c>
      <c r="Q4" s="479" t="s">
        <v>193</v>
      </c>
      <c r="R4" s="234" t="s">
        <v>194</v>
      </c>
      <c r="S4" s="231" t="s">
        <v>287</v>
      </c>
      <c r="T4" s="479" t="s">
        <v>193</v>
      </c>
      <c r="U4" s="234" t="s">
        <v>194</v>
      </c>
      <c r="V4" s="231" t="s">
        <v>287</v>
      </c>
      <c r="W4" s="479" t="s">
        <v>193</v>
      </c>
      <c r="X4" s="234" t="s">
        <v>194</v>
      </c>
      <c r="Y4" s="231" t="s">
        <v>287</v>
      </c>
      <c r="Z4" s="479" t="s">
        <v>193</v>
      </c>
      <c r="AA4" s="234" t="s">
        <v>194</v>
      </c>
      <c r="AB4" s="231" t="s">
        <v>287</v>
      </c>
      <c r="AC4" s="479" t="s">
        <v>193</v>
      </c>
      <c r="AD4" s="234" t="s">
        <v>194</v>
      </c>
      <c r="AE4" s="231" t="s">
        <v>287</v>
      </c>
      <c r="AF4" s="479" t="s">
        <v>193</v>
      </c>
      <c r="AG4" s="234" t="s">
        <v>194</v>
      </c>
      <c r="AH4" s="231" t="s">
        <v>287</v>
      </c>
      <c r="AI4" s="479" t="s">
        <v>193</v>
      </c>
      <c r="AJ4" s="234" t="s">
        <v>194</v>
      </c>
      <c r="AK4" s="231" t="s">
        <v>287</v>
      </c>
      <c r="AL4" s="479" t="s">
        <v>193</v>
      </c>
      <c r="AM4" s="234" t="s">
        <v>194</v>
      </c>
      <c r="AN4" s="231" t="s">
        <v>287</v>
      </c>
      <c r="AO4" s="479" t="s">
        <v>193</v>
      </c>
      <c r="AP4" s="234" t="s">
        <v>194</v>
      </c>
      <c r="AQ4" s="231" t="s">
        <v>287</v>
      </c>
      <c r="AR4" s="479" t="s">
        <v>193</v>
      </c>
      <c r="AS4" s="234" t="s">
        <v>194</v>
      </c>
      <c r="AT4" s="231" t="s">
        <v>287</v>
      </c>
    </row>
    <row r="5" spans="1:49" s="549" customFormat="1" ht="15.75" customHeight="1" thickBot="1" x14ac:dyDescent="0.25">
      <c r="A5" s="2006" t="s">
        <v>195</v>
      </c>
      <c r="B5" s="2007"/>
      <c r="C5" s="2008"/>
      <c r="D5" s="543">
        <f>'Souhrn příjmů a výdajů 2018'!H146</f>
        <v>27000000</v>
      </c>
      <c r="E5" s="544">
        <f>D5</f>
        <v>27000000</v>
      </c>
      <c r="F5" s="545">
        <f>IF(OR(D5=0,E5=0),"-",IF(D5&lt;0,(E5/D5-1),E5/D5))</f>
        <v>1</v>
      </c>
      <c r="G5" s="543">
        <f>E5</f>
        <v>27000000</v>
      </c>
      <c r="H5" s="546">
        <f>G5</f>
        <v>27000000</v>
      </c>
      <c r="I5" s="547">
        <f>H55</f>
        <v>27000000</v>
      </c>
      <c r="J5" s="547">
        <f>I55</f>
        <v>27000000</v>
      </c>
      <c r="K5" s="547">
        <f>J55</f>
        <v>27000000</v>
      </c>
      <c r="L5" s="547">
        <f>K55</f>
        <v>27000000</v>
      </c>
      <c r="M5" s="545">
        <f>IF(OR(G5=0,L5=0),"-",IF(G5&lt;0,(L5/G5-1),L5/G5))</f>
        <v>1</v>
      </c>
      <c r="N5" s="543">
        <f>G55</f>
        <v>19643396.833836496</v>
      </c>
      <c r="O5" s="546">
        <f>N5</f>
        <v>19643396.833836496</v>
      </c>
      <c r="P5" s="548">
        <f>IF(OR(N5=0,O5=0),"-",IF(N5&lt;0,(O5/N5-1),O5/N5))</f>
        <v>1</v>
      </c>
      <c r="Q5" s="543">
        <f>N55</f>
        <v>19881567.811587609</v>
      </c>
      <c r="R5" s="546">
        <f>Q5</f>
        <v>19881567.811587609</v>
      </c>
      <c r="S5" s="548">
        <f>IF(OR(Q5=0,R5=0),"-",IF(Q5&lt;0,(R5/Q5-1),R5/Q5))</f>
        <v>1</v>
      </c>
      <c r="T5" s="543">
        <f>Q55</f>
        <v>15065550.504033746</v>
      </c>
      <c r="U5" s="546">
        <f>T5</f>
        <v>15065550.504033746</v>
      </c>
      <c r="V5" s="548">
        <f>IF(OR(T5=0,U5=0),"-",IF(T5&lt;0,(U5/T5-1),U5/T5))</f>
        <v>1</v>
      </c>
      <c r="W5" s="543">
        <f>T55</f>
        <v>4038208.6217739163</v>
      </c>
      <c r="X5" s="546">
        <f>W5</f>
        <v>4038208.6217739163</v>
      </c>
      <c r="Y5" s="548">
        <f>IF(OR(W5=0,X5=0),"-",IF(W5&lt;0,(X5/W5-1),X5/W5))</f>
        <v>1</v>
      </c>
      <c r="Z5" s="543">
        <f>W55</f>
        <v>-2377293.471834721</v>
      </c>
      <c r="AA5" s="546">
        <f>Z5</f>
        <v>-2377293.471834721</v>
      </c>
      <c r="AB5" s="548">
        <f>IF(OR(Z5=0,AA5=0),"-",IF(Z5&lt;0,(AA5/Z5-1),AA5/Z5))</f>
        <v>0</v>
      </c>
      <c r="AC5" s="543">
        <f>Z55</f>
        <v>3430591.6786533874</v>
      </c>
      <c r="AD5" s="546">
        <f>AC5</f>
        <v>3430591.6786533874</v>
      </c>
      <c r="AE5" s="548">
        <f>IF(OR(AC5=0,AD5=0),"-",IF(AC5&lt;0,(AD5/AC5-1),AD5/AC5))</f>
        <v>1</v>
      </c>
      <c r="AF5" s="543">
        <f>AC55</f>
        <v>-413557.42513094563</v>
      </c>
      <c r="AG5" s="546">
        <f>AF5</f>
        <v>-413557.42513094563</v>
      </c>
      <c r="AH5" s="548">
        <f>IF(OR(AF5=0,AG5=0),"-",IF(AF5&lt;0,(AG5/AF5-1),AG5/AF5))</f>
        <v>0</v>
      </c>
      <c r="AI5" s="543">
        <f>AF55</f>
        <v>-2944985.6471668519</v>
      </c>
      <c r="AJ5" s="546">
        <f>AI5</f>
        <v>-2944985.6471668519</v>
      </c>
      <c r="AK5" s="548">
        <f>IF(OR(AI5=0,AJ5=0),"-",IF(AI5&lt;0,(AJ5/AI5-1),AJ5/AI5))</f>
        <v>0</v>
      </c>
      <c r="AL5" s="543">
        <f>AI55</f>
        <v>-3908429.1086662882</v>
      </c>
      <c r="AM5" s="546">
        <f>AL5</f>
        <v>-3908429.1086662882</v>
      </c>
      <c r="AN5" s="548">
        <f>IF(OR(AL5=0,AM5=0),"-",IF(AL5&lt;0,(AM5/AL5-1),AM5/AL5))</f>
        <v>0</v>
      </c>
      <c r="AO5" s="543">
        <f>AL55</f>
        <v>-4247968.1662159422</v>
      </c>
      <c r="AP5" s="546">
        <f>AO5</f>
        <v>-4247968.1662159422</v>
      </c>
      <c r="AQ5" s="548">
        <f>IF(OR(AO5=0,AP5=0),"-",IF(AO5&lt;0,(AP5/AO5-1),AP5/AO5))</f>
        <v>0</v>
      </c>
      <c r="AR5" s="543">
        <f>AO55</f>
        <v>4420424.5063357232</v>
      </c>
      <c r="AS5" s="546">
        <f>AR5</f>
        <v>4420424.5063357232</v>
      </c>
      <c r="AT5" s="548">
        <f>IF(OR(AR5=0,AS5=0),"-",IF(AR5&lt;0,(AS5/AR5-1),AS5/AR5))</f>
        <v>1</v>
      </c>
      <c r="AU5" s="1055"/>
    </row>
    <row r="6" spans="1:49" ht="15" x14ac:dyDescent="0.25">
      <c r="A6" s="1993" t="s">
        <v>788</v>
      </c>
      <c r="B6" s="493"/>
      <c r="C6" s="494" t="s">
        <v>346</v>
      </c>
      <c r="D6" s="486">
        <f>'Souhrn příjmů a výdajů 2018'!H6</f>
        <v>108848000</v>
      </c>
      <c r="E6" s="487"/>
      <c r="F6" s="530" t="str">
        <f>IF(OR(D6=0,E6=0),"-",IF(D6&lt;0,(E6/D6-1),E6/D6))</f>
        <v>-</v>
      </c>
      <c r="G6" s="486">
        <f>'Podkladová tabulka -CF'!D24</f>
        <v>6565930.8010145538</v>
      </c>
      <c r="H6" s="519"/>
      <c r="I6" s="524"/>
      <c r="J6" s="524"/>
      <c r="K6" s="524"/>
      <c r="L6" s="488"/>
      <c r="M6" s="232" t="s">
        <v>982</v>
      </c>
      <c r="N6" s="486">
        <f>'Podkladová tabulka -CF'!E24</f>
        <v>7120863.3907828331</v>
      </c>
      <c r="O6" s="519"/>
      <c r="P6" s="536" t="s">
        <v>982</v>
      </c>
      <c r="Q6" s="486">
        <f>'Podkladová tabulka -CF'!F24</f>
        <v>6652037.1299317228</v>
      </c>
      <c r="R6" s="519"/>
      <c r="S6" s="536" t="s">
        <v>982</v>
      </c>
      <c r="T6" s="486">
        <f>'Podkladová tabulka -CF'!G24</f>
        <v>8036973.9695280911</v>
      </c>
      <c r="U6" s="519"/>
      <c r="V6" s="536" t="s">
        <v>982</v>
      </c>
      <c r="W6" s="486">
        <f>'Podkladová tabulka -CF'!H24</f>
        <v>6279043.7108288566</v>
      </c>
      <c r="X6" s="519"/>
      <c r="Y6" s="536" t="s">
        <v>982</v>
      </c>
      <c r="Z6" s="486">
        <f>'Podkladová tabulka -CF'!I24</f>
        <v>21885123.192335147</v>
      </c>
      <c r="AA6" s="519"/>
      <c r="AB6" s="536" t="s">
        <v>982</v>
      </c>
      <c r="AC6" s="486">
        <f>'Podkladová tabulka -CF'!J24</f>
        <v>9895080.9540530052</v>
      </c>
      <c r="AD6" s="519"/>
      <c r="AE6" s="536" t="s">
        <v>982</v>
      </c>
      <c r="AF6" s="486">
        <f>'Podkladová tabulka -CF'!K24</f>
        <v>6833120.8881355459</v>
      </c>
      <c r="AG6" s="519"/>
      <c r="AH6" s="536" t="s">
        <v>982</v>
      </c>
      <c r="AI6" s="486">
        <f>'Podkladová tabulka -CF'!L24</f>
        <v>11855993.115461161</v>
      </c>
      <c r="AJ6" s="519"/>
      <c r="AK6" s="536" t="s">
        <v>982</v>
      </c>
      <c r="AL6" s="486">
        <f>'Podkladová tabulka -CF'!M24</f>
        <v>6861092.2520532701</v>
      </c>
      <c r="AM6" s="519"/>
      <c r="AN6" s="536" t="s">
        <v>982</v>
      </c>
      <c r="AO6" s="486">
        <f>'Podkladová tabulka -CF'!N24</f>
        <v>7342973.8273478942</v>
      </c>
      <c r="AP6" s="519"/>
      <c r="AQ6" s="536" t="s">
        <v>982</v>
      </c>
      <c r="AR6" s="486">
        <f>'Podkladová tabulka -CF'!O24+500000-3400000</f>
        <v>9519766.768527925</v>
      </c>
      <c r="AS6" s="519"/>
      <c r="AT6" s="536" t="str">
        <f>IF(OR(AR6=0,AS6=0),"-",IF(AR6&lt;0,(AS6/AR6-1),AS6/AR6))</f>
        <v>-</v>
      </c>
      <c r="AU6" s="1055">
        <f>+AR6+AO6+AL6+AI6+AF6+AC6+Z6+W6+T6+Q6+N6+G6-D6</f>
        <v>0</v>
      </c>
      <c r="AV6" s="938"/>
    </row>
    <row r="7" spans="1:49" ht="15" x14ac:dyDescent="0.25">
      <c r="A7" s="1993"/>
      <c r="B7" s="493"/>
      <c r="C7" s="494" t="s">
        <v>348</v>
      </c>
      <c r="D7" s="492">
        <f>'Souhrn příjmů a výdajů 2018'!H26</f>
        <v>19045200</v>
      </c>
      <c r="E7" s="491"/>
      <c r="F7" s="516" t="str">
        <f>IF(OR(D7=0,E7=0),"-",IF(D7&lt;0,(E7/D7-1),E7/D7))</f>
        <v>-</v>
      </c>
      <c r="G7" s="490">
        <v>1179891.6666666667</v>
      </c>
      <c r="H7" s="520"/>
      <c r="I7" s="525"/>
      <c r="J7" s="525"/>
      <c r="K7" s="525"/>
      <c r="L7" s="492"/>
      <c r="M7" s="233"/>
      <c r="N7" s="490">
        <v>1081567.361111111</v>
      </c>
      <c r="O7" s="520"/>
      <c r="P7" s="537"/>
      <c r="Q7" s="490">
        <f>2000000+1179892-893113</f>
        <v>2286779</v>
      </c>
      <c r="R7" s="520"/>
      <c r="S7" s="537"/>
      <c r="T7" s="490">
        <f>991436.747685185+1179892</f>
        <v>2171328.7476851852</v>
      </c>
      <c r="U7" s="520"/>
      <c r="V7" s="537"/>
      <c r="W7" s="490">
        <f>260000+1179892</f>
        <v>1439892</v>
      </c>
      <c r="X7" s="520"/>
      <c r="Y7" s="537"/>
      <c r="Z7" s="490">
        <v>1179891.6666666667</v>
      </c>
      <c r="AA7" s="520"/>
      <c r="AB7" s="537"/>
      <c r="AC7" s="490">
        <v>1179891.6666666667</v>
      </c>
      <c r="AD7" s="520"/>
      <c r="AE7" s="537"/>
      <c r="AF7" s="490">
        <v>1179891.6666666667</v>
      </c>
      <c r="AG7" s="520"/>
      <c r="AH7" s="537"/>
      <c r="AI7" s="490">
        <v>1179891.6666666667</v>
      </c>
      <c r="AJ7" s="520"/>
      <c r="AK7" s="537"/>
      <c r="AL7" s="490">
        <f>2000000+1179891.67</f>
        <v>3179891.67</v>
      </c>
      <c r="AM7" s="520"/>
      <c r="AN7" s="537"/>
      <c r="AO7" s="490">
        <v>1179891.6666666667</v>
      </c>
      <c r="AP7" s="520"/>
      <c r="AQ7" s="537"/>
      <c r="AR7" s="490">
        <f>1179891.66666667+576500-200000+250000</f>
        <v>1806391.66666667</v>
      </c>
      <c r="AS7" s="520"/>
      <c r="AT7" s="537" t="str">
        <f t="shared" ref="AT7:AT55" si="0">IF(OR(AR7=0,AS7=0),"-",IF(AR7&lt;0,(AS7/AR7-1),AS7/AR7))</f>
        <v>-</v>
      </c>
      <c r="AU7" s="1055">
        <f t="shared" ref="AU7:AU54" si="1">+AR7+AO7+AL7+AI7+AF7+AC7+Z7+W7+T7+Q7+N7+G7-D7</f>
        <v>0.44546296820044518</v>
      </c>
    </row>
    <row r="8" spans="1:49" ht="15" x14ac:dyDescent="0.25">
      <c r="A8" s="1993"/>
      <c r="B8" s="498"/>
      <c r="C8" s="489" t="s">
        <v>777</v>
      </c>
      <c r="D8" s="492">
        <f>'Souhrn příjmů a výdajů 2018'!H100</f>
        <v>20393067</v>
      </c>
      <c r="E8" s="491"/>
      <c r="F8" s="516" t="str">
        <f>IF(OR(D8=0,E8=0),"-",IF(D8&lt;0,(E8/D8-1),E8/D8))</f>
        <v>-</v>
      </c>
      <c r="G8" s="490">
        <v>855838.91666666698</v>
      </c>
      <c r="H8" s="520"/>
      <c r="I8" s="525"/>
      <c r="J8" s="525"/>
      <c r="K8" s="525"/>
      <c r="L8" s="492"/>
      <c r="M8" s="233" t="s">
        <v>982</v>
      </c>
      <c r="N8" s="490">
        <v>855838.91666666698</v>
      </c>
      <c r="O8" s="520"/>
      <c r="P8" s="537" t="s">
        <v>982</v>
      </c>
      <c r="Q8" s="490">
        <v>855838.91666666698</v>
      </c>
      <c r="R8" s="520"/>
      <c r="S8" s="537" t="s">
        <v>982</v>
      </c>
      <c r="T8" s="490">
        <v>855838.91666666698</v>
      </c>
      <c r="U8" s="520"/>
      <c r="V8" s="537" t="s">
        <v>982</v>
      </c>
      <c r="W8" s="490">
        <v>855838.91666666698</v>
      </c>
      <c r="X8" s="520"/>
      <c r="Y8" s="537" t="s">
        <v>982</v>
      </c>
      <c r="Z8" s="490">
        <v>855838.91666666698</v>
      </c>
      <c r="AA8" s="520"/>
      <c r="AB8" s="537" t="s">
        <v>982</v>
      </c>
      <c r="AC8" s="490">
        <v>855838.91666666698</v>
      </c>
      <c r="AD8" s="520"/>
      <c r="AE8" s="537" t="s">
        <v>982</v>
      </c>
      <c r="AF8" s="490">
        <v>855838.91666666698</v>
      </c>
      <c r="AG8" s="520"/>
      <c r="AH8" s="537" t="s">
        <v>982</v>
      </c>
      <c r="AI8" s="490">
        <v>855838.91666666698</v>
      </c>
      <c r="AJ8" s="520"/>
      <c r="AK8" s="537" t="s">
        <v>982</v>
      </c>
      <c r="AL8" s="490">
        <v>855838.91666666698</v>
      </c>
      <c r="AM8" s="520"/>
      <c r="AN8" s="537" t="s">
        <v>982</v>
      </c>
      <c r="AO8" s="490">
        <f>855838.916666667+10123000</f>
        <v>10978838.916666668</v>
      </c>
      <c r="AP8" s="520"/>
      <c r="AQ8" s="537" t="s">
        <v>982</v>
      </c>
      <c r="AR8" s="490">
        <v>855838.91666666698</v>
      </c>
      <c r="AS8" s="520"/>
      <c r="AT8" s="537" t="str">
        <f t="shared" si="0"/>
        <v>-</v>
      </c>
      <c r="AU8" s="1055">
        <f t="shared" si="1"/>
        <v>0</v>
      </c>
      <c r="AV8" s="495">
        <f>+AU8/12</f>
        <v>0</v>
      </c>
      <c r="AW8" s="938">
        <f>+AR8-AV8</f>
        <v>855838.91666666698</v>
      </c>
    </row>
    <row r="9" spans="1:49" ht="15.75" thickBot="1" x14ac:dyDescent="0.3">
      <c r="A9" s="1993"/>
      <c r="B9" s="1998" t="s">
        <v>778</v>
      </c>
      <c r="C9" s="1999"/>
      <c r="D9" s="499">
        <f>SUM(D6:D8)</f>
        <v>148286267</v>
      </c>
      <c r="E9" s="500">
        <f>SUM(E6:E8)</f>
        <v>0</v>
      </c>
      <c r="F9" s="517" t="str">
        <f t="shared" ref="F9:F16" si="2">IF(OR(D9=0,E9=0),"-",IF(D9&lt;0,(E9/D9-1),E9/D9))</f>
        <v>-</v>
      </c>
      <c r="G9" s="499">
        <f t="shared" ref="G9:L9" si="3">SUM(G6:G8)</f>
        <v>8601661.3843478877</v>
      </c>
      <c r="H9" s="521">
        <f t="shared" si="3"/>
        <v>0</v>
      </c>
      <c r="I9" s="526">
        <f t="shared" si="3"/>
        <v>0</v>
      </c>
      <c r="J9" s="526">
        <f t="shared" si="3"/>
        <v>0</v>
      </c>
      <c r="K9" s="526">
        <f t="shared" si="3"/>
        <v>0</v>
      </c>
      <c r="L9" s="501">
        <f t="shared" si="3"/>
        <v>0</v>
      </c>
      <c r="M9" s="517" t="str">
        <f>IF(OR(G9=0,L9=0),"-",IF(G9&lt;0,(L9/G9-1),L9/G9))</f>
        <v>-</v>
      </c>
      <c r="N9" s="499">
        <f>SUM(N6:N8)</f>
        <v>9058269.6685606111</v>
      </c>
      <c r="O9" s="521">
        <f>SUM(O6:O8)</f>
        <v>0</v>
      </c>
      <c r="P9" s="538" t="str">
        <f t="shared" ref="P9:P54" si="4">IF(OR(N9=0,O9=0),"-",IF(N9&lt;0,(O9/N9-1),O9/N9))</f>
        <v>-</v>
      </c>
      <c r="Q9" s="499">
        <f>SUM(Q6:Q8)</f>
        <v>9794655.0465983897</v>
      </c>
      <c r="R9" s="521">
        <f>SUM(R6:R8)</f>
        <v>0</v>
      </c>
      <c r="S9" s="538" t="str">
        <f t="shared" ref="S9:S54" si="5">IF(OR(Q9=0,R9=0),"-",IF(Q9&lt;0,(R9/Q9-1),R9/Q9))</f>
        <v>-</v>
      </c>
      <c r="T9" s="499">
        <f>SUM(T6:T8)</f>
        <v>11064141.633879945</v>
      </c>
      <c r="U9" s="521">
        <f>SUM(U6:U8)</f>
        <v>0</v>
      </c>
      <c r="V9" s="538" t="str">
        <f t="shared" ref="V9:V54" si="6">IF(OR(T9=0,U9=0),"-",IF(T9&lt;0,(U9/T9-1),U9/T9))</f>
        <v>-</v>
      </c>
      <c r="W9" s="499">
        <f>SUM(W6:W8)</f>
        <v>8574774.6274955235</v>
      </c>
      <c r="X9" s="521">
        <f>SUM(X6:X8)</f>
        <v>0</v>
      </c>
      <c r="Y9" s="538" t="str">
        <f t="shared" ref="Y9:Y54" si="7">IF(OR(W9=0,X9=0),"-",IF(W9&lt;0,(X9/W9-1),X9/W9))</f>
        <v>-</v>
      </c>
      <c r="Z9" s="499">
        <f>SUM(Z6:Z8)</f>
        <v>23920853.775668483</v>
      </c>
      <c r="AA9" s="521">
        <f>SUM(AA6:AA8)</f>
        <v>0</v>
      </c>
      <c r="AB9" s="538" t="str">
        <f t="shared" ref="AB9:AB54" si="8">IF(OR(Z9=0,AA9=0),"-",IF(Z9&lt;0,(AA9/Z9-1),AA9/Z9))</f>
        <v>-</v>
      </c>
      <c r="AC9" s="499">
        <f>SUM(AC6:AC8)</f>
        <v>11930811.537386339</v>
      </c>
      <c r="AD9" s="521">
        <f>SUM(AD6:AD8)</f>
        <v>0</v>
      </c>
      <c r="AE9" s="538" t="str">
        <f t="shared" ref="AE9:AE54" si="9">IF(OR(AC9=0,AD9=0),"-",IF(AC9&lt;0,(AD9/AC9-1),AD9/AC9))</f>
        <v>-</v>
      </c>
      <c r="AF9" s="499">
        <f>SUM(AF6:AF8)</f>
        <v>8868851.4714688808</v>
      </c>
      <c r="AG9" s="521">
        <f>SUM(AG6:AG8)</f>
        <v>0</v>
      </c>
      <c r="AH9" s="538" t="str">
        <f t="shared" ref="AH9:AH54" si="10">IF(OR(AF9=0,AG9=0),"-",IF(AF9&lt;0,(AG9/AF9-1),AG9/AF9))</f>
        <v>-</v>
      </c>
      <c r="AI9" s="499">
        <f>SUM(AI6:AI8)</f>
        <v>13891723.698794495</v>
      </c>
      <c r="AJ9" s="521">
        <f>SUM(AJ6:AJ8)</f>
        <v>0</v>
      </c>
      <c r="AK9" s="538" t="str">
        <f t="shared" ref="AK9:AK54" si="11">IF(OR(AI9=0,AJ9=0),"-",IF(AI9&lt;0,(AJ9/AI9-1),AJ9/AI9))</f>
        <v>-</v>
      </c>
      <c r="AL9" s="499">
        <f>SUM(AL6:AL8)</f>
        <v>10896822.838719938</v>
      </c>
      <c r="AM9" s="521">
        <f>SUM(AM6:AM8)</f>
        <v>0</v>
      </c>
      <c r="AN9" s="538" t="str">
        <f t="shared" ref="AN9:AN54" si="12">IF(OR(AL9=0,AM9=0),"-",IF(AL9&lt;0,(AM9/AL9-1),AM9/AL9))</f>
        <v>-</v>
      </c>
      <c r="AO9" s="499">
        <f>SUM(AO6:AO8)</f>
        <v>19501704.410681229</v>
      </c>
      <c r="AP9" s="521">
        <f>SUM(AP6:AP8)</f>
        <v>0</v>
      </c>
      <c r="AQ9" s="538" t="str">
        <f t="shared" ref="AQ9:AQ54" si="13">IF(OR(AO9=0,AP9=0),"-",IF(AO9&lt;0,(AP9/AO9-1),AP9/AO9))</f>
        <v>-</v>
      </c>
      <c r="AR9" s="499">
        <f>SUM(AR6:AR8)</f>
        <v>12181997.351861261</v>
      </c>
      <c r="AS9" s="521">
        <f>SUM(AS6:AS8)</f>
        <v>0</v>
      </c>
      <c r="AT9" s="538" t="str">
        <f t="shared" si="0"/>
        <v>-</v>
      </c>
      <c r="AU9" s="1055">
        <f t="shared" si="1"/>
        <v>0.44546300172805786</v>
      </c>
    </row>
    <row r="10" spans="1:49" ht="15.75" thickBot="1" x14ac:dyDescent="0.3">
      <c r="A10" s="1993"/>
      <c r="B10" s="2009" t="s">
        <v>779</v>
      </c>
      <c r="C10" s="2010"/>
      <c r="D10" s="502">
        <f>SUM(D11:D16)</f>
        <v>109970798.54239997</v>
      </c>
      <c r="E10" s="503">
        <f>SUM(E11:E16)</f>
        <v>0</v>
      </c>
      <c r="F10" s="518" t="str">
        <f t="shared" si="2"/>
        <v>-</v>
      </c>
      <c r="G10" s="502">
        <f t="shared" ref="G10:L10" si="14">SUM(G11:G16)</f>
        <v>7699911.7940447256</v>
      </c>
      <c r="H10" s="522">
        <f t="shared" si="14"/>
        <v>0</v>
      </c>
      <c r="I10" s="527">
        <f t="shared" si="14"/>
        <v>0</v>
      </c>
      <c r="J10" s="527">
        <f t="shared" si="14"/>
        <v>0</v>
      </c>
      <c r="K10" s="527">
        <f t="shared" si="14"/>
        <v>0</v>
      </c>
      <c r="L10" s="504">
        <f t="shared" si="14"/>
        <v>0</v>
      </c>
      <c r="M10" s="533" t="str">
        <f>IF(OR(G10=0,L10=0),"-",IF(G10&lt;0,(L10/G10-1),L10/G10))</f>
        <v>-</v>
      </c>
      <c r="N10" s="502">
        <f>SUM(N11:N16)</f>
        <v>7561745.9343428276</v>
      </c>
      <c r="O10" s="522">
        <f>SUM(O11:O16)</f>
        <v>0</v>
      </c>
      <c r="P10" s="539" t="str">
        <f t="shared" si="4"/>
        <v>-</v>
      </c>
      <c r="Q10" s="502">
        <f>SUM(Q11:Q16)</f>
        <v>11093252.597685587</v>
      </c>
      <c r="R10" s="522">
        <f>SUM(R11:R16)</f>
        <v>0</v>
      </c>
      <c r="S10" s="539" t="str">
        <f t="shared" si="5"/>
        <v>-</v>
      </c>
      <c r="T10" s="502">
        <f>SUM(T11:T16)</f>
        <v>9759259.7596731056</v>
      </c>
      <c r="U10" s="522">
        <f>SUM(U11:U16)</f>
        <v>0</v>
      </c>
      <c r="V10" s="539" t="str">
        <f t="shared" si="6"/>
        <v>-</v>
      </c>
      <c r="W10" s="502">
        <f>SUM(W11:W16)</f>
        <v>8245064.9646374956</v>
      </c>
      <c r="X10" s="522">
        <f>SUM(X11:X16)</f>
        <v>0</v>
      </c>
      <c r="Y10" s="539" t="str">
        <f t="shared" si="7"/>
        <v>-</v>
      </c>
      <c r="Z10" s="502">
        <f>SUM(Z11:Z16)</f>
        <v>13163027.868713707</v>
      </c>
      <c r="AA10" s="522">
        <f>SUM(AA11:AA16)</f>
        <v>0</v>
      </c>
      <c r="AB10" s="539" t="str">
        <f t="shared" si="8"/>
        <v>-</v>
      </c>
      <c r="AC10" s="502">
        <f>SUM(AC11:AC16)</f>
        <v>10046607.884704005</v>
      </c>
      <c r="AD10" s="522">
        <f>SUM(AD11:AD16)</f>
        <v>0</v>
      </c>
      <c r="AE10" s="539" t="str">
        <f t="shared" si="9"/>
        <v>-</v>
      </c>
      <c r="AF10" s="502">
        <f>SUM(AF11:AF16)</f>
        <v>7490484.9370381227</v>
      </c>
      <c r="AG10" s="522">
        <f>SUM(AG11:AG16)</f>
        <v>0</v>
      </c>
      <c r="AH10" s="539" t="str">
        <f t="shared" si="10"/>
        <v>-</v>
      </c>
      <c r="AI10" s="502">
        <f>SUM(AI11:AI16)</f>
        <v>8393766.4038272649</v>
      </c>
      <c r="AJ10" s="522">
        <f>SUM(AJ11:AJ16)</f>
        <v>0</v>
      </c>
      <c r="AK10" s="539" t="str">
        <f t="shared" si="11"/>
        <v>-</v>
      </c>
      <c r="AL10" s="502">
        <f>SUM(AL11:AL16)</f>
        <v>8463906.1398029253</v>
      </c>
      <c r="AM10" s="522">
        <f>SUM(AM11:AM16)</f>
        <v>0</v>
      </c>
      <c r="AN10" s="539" t="str">
        <f t="shared" si="12"/>
        <v>-</v>
      </c>
      <c r="AO10" s="502">
        <f>SUM(AO11:AO16)</f>
        <v>8074958.9816628974</v>
      </c>
      <c r="AP10" s="522">
        <f>SUM(AP11:AP16)</f>
        <v>0</v>
      </c>
      <c r="AQ10" s="539" t="str">
        <f t="shared" si="13"/>
        <v>-</v>
      </c>
      <c r="AR10" s="502">
        <f>SUM(AR11:AR16)</f>
        <v>10195879.499069892</v>
      </c>
      <c r="AS10" s="522">
        <f>SUM(AS11:AS16)</f>
        <v>0</v>
      </c>
      <c r="AT10" s="539" t="str">
        <f t="shared" si="0"/>
        <v>-</v>
      </c>
      <c r="AU10" s="1055">
        <f t="shared" si="1"/>
        <v>217068.22280260921</v>
      </c>
    </row>
    <row r="11" spans="1:49" ht="15" x14ac:dyDescent="0.25">
      <c r="A11" s="1993"/>
      <c r="B11" s="493"/>
      <c r="C11" s="505" t="s">
        <v>196</v>
      </c>
      <c r="D11" s="486">
        <f>'Souhrn příjmů a výdajů 2018'!H160</f>
        <v>32378530.280000001</v>
      </c>
      <c r="E11" s="487"/>
      <c r="F11" s="516" t="str">
        <f t="shared" si="2"/>
        <v>-</v>
      </c>
      <c r="G11" s="486">
        <v>2479158.6833333336</v>
      </c>
      <c r="H11" s="519"/>
      <c r="I11" s="524"/>
      <c r="J11" s="524"/>
      <c r="K11" s="524"/>
      <c r="L11" s="488"/>
      <c r="M11" s="233" t="s">
        <v>982</v>
      </c>
      <c r="N11" s="486">
        <v>2479158.6833333336</v>
      </c>
      <c r="O11" s="519"/>
      <c r="P11" s="537" t="s">
        <v>982</v>
      </c>
      <c r="Q11" s="486">
        <v>2479158.6833333336</v>
      </c>
      <c r="R11" s="519"/>
      <c r="S11" s="537" t="s">
        <v>982</v>
      </c>
      <c r="T11" s="486">
        <v>2479158.6833333336</v>
      </c>
      <c r="U11" s="519"/>
      <c r="V11" s="537" t="s">
        <v>982</v>
      </c>
      <c r="W11" s="486">
        <v>2479158.6833333336</v>
      </c>
      <c r="X11" s="519"/>
      <c r="Y11" s="537" t="s">
        <v>982</v>
      </c>
      <c r="Z11" s="486">
        <f>2479158.68333333+1314313.04</f>
        <v>3793471.7233333299</v>
      </c>
      <c r="AA11" s="519"/>
      <c r="AB11" s="537" t="s">
        <v>982</v>
      </c>
      <c r="AC11" s="486">
        <v>2479158.6833333336</v>
      </c>
      <c r="AD11" s="519"/>
      <c r="AE11" s="537" t="s">
        <v>982</v>
      </c>
      <c r="AF11" s="486">
        <v>2479158.6833333336</v>
      </c>
      <c r="AG11" s="519"/>
      <c r="AH11" s="537" t="s">
        <v>982</v>
      </c>
      <c r="AI11" s="486">
        <v>2479158.6833333336</v>
      </c>
      <c r="AJ11" s="519"/>
      <c r="AK11" s="537" t="s">
        <v>982</v>
      </c>
      <c r="AL11" s="486">
        <v>2479158.6833333336</v>
      </c>
      <c r="AM11" s="519"/>
      <c r="AN11" s="537" t="s">
        <v>982</v>
      </c>
      <c r="AO11" s="486">
        <v>2479158.6833333336</v>
      </c>
      <c r="AP11" s="519"/>
      <c r="AQ11" s="537" t="s">
        <v>982</v>
      </c>
      <c r="AR11" s="486">
        <f>2479158.68333333+1314313</f>
        <v>3793471.6833333299</v>
      </c>
      <c r="AS11" s="519"/>
      <c r="AT11" s="537" t="str">
        <f t="shared" si="0"/>
        <v>-</v>
      </c>
      <c r="AU11" s="1055">
        <f t="shared" si="1"/>
        <v>-4.0000006556510925E-2</v>
      </c>
    </row>
    <row r="12" spans="1:49" ht="15" x14ac:dyDescent="0.25">
      <c r="A12" s="1993"/>
      <c r="B12" s="493"/>
      <c r="C12" s="505" t="s">
        <v>197</v>
      </c>
      <c r="D12" s="490">
        <f>+'Souhrn příjmů a výdajů 2018'!H177+'Souhrn příjmů a výdajů 2018'!H178+'Souhrn příjmů a výdajů 2018'!H179+'Souhrn příjmů a výdajů 2018'!H180</f>
        <v>6415000</v>
      </c>
      <c r="E12" s="491"/>
      <c r="F12" s="516" t="str">
        <f t="shared" si="2"/>
        <v>-</v>
      </c>
      <c r="G12" s="490">
        <v>542916.66666666663</v>
      </c>
      <c r="H12" s="520"/>
      <c r="I12" s="525"/>
      <c r="J12" s="525"/>
      <c r="K12" s="525"/>
      <c r="L12" s="492"/>
      <c r="M12" s="233" t="s">
        <v>982</v>
      </c>
      <c r="N12" s="490">
        <v>542916.66666666663</v>
      </c>
      <c r="O12" s="520"/>
      <c r="P12" s="537" t="s">
        <v>982</v>
      </c>
      <c r="Q12" s="490">
        <v>542916.66666666663</v>
      </c>
      <c r="R12" s="520"/>
      <c r="S12" s="537" t="s">
        <v>982</v>
      </c>
      <c r="T12" s="490">
        <v>542916.66666666663</v>
      </c>
      <c r="U12" s="520"/>
      <c r="V12" s="537" t="s">
        <v>982</v>
      </c>
      <c r="W12" s="490">
        <v>542916.66666666663</v>
      </c>
      <c r="X12" s="520"/>
      <c r="Y12" s="537" t="s">
        <v>982</v>
      </c>
      <c r="Z12" s="490">
        <v>542916.66666666663</v>
      </c>
      <c r="AA12" s="520"/>
      <c r="AB12" s="537" t="s">
        <v>982</v>
      </c>
      <c r="AC12" s="490">
        <v>542916.66666666663</v>
      </c>
      <c r="AD12" s="520"/>
      <c r="AE12" s="537" t="s">
        <v>982</v>
      </c>
      <c r="AF12" s="490">
        <v>542916.66666666663</v>
      </c>
      <c r="AG12" s="520"/>
      <c r="AH12" s="537" t="s">
        <v>982</v>
      </c>
      <c r="AI12" s="490">
        <v>542916.66666666663</v>
      </c>
      <c r="AJ12" s="520"/>
      <c r="AK12" s="537" t="s">
        <v>982</v>
      </c>
      <c r="AL12" s="490">
        <v>542916.66666666663</v>
      </c>
      <c r="AM12" s="520"/>
      <c r="AN12" s="537" t="s">
        <v>982</v>
      </c>
      <c r="AO12" s="490">
        <v>542916.66666666663</v>
      </c>
      <c r="AP12" s="520"/>
      <c r="AQ12" s="537" t="s">
        <v>982</v>
      </c>
      <c r="AR12" s="490">
        <f>542916.666666667-100000</f>
        <v>442916.66666666698</v>
      </c>
      <c r="AS12" s="520"/>
      <c r="AT12" s="537" t="str">
        <f t="shared" si="0"/>
        <v>-</v>
      </c>
      <c r="AU12" s="1055">
        <f t="shared" si="1"/>
        <v>0</v>
      </c>
    </row>
    <row r="13" spans="1:49" ht="15" x14ac:dyDescent="0.25">
      <c r="A13" s="1993"/>
      <c r="B13" s="493"/>
      <c r="C13" s="505" t="s">
        <v>200</v>
      </c>
      <c r="D13" s="490">
        <f>+'Souhrn příjmů a výdajů 2018'!H173+'Souhrn příjmů a výdajů 2018'!H174+'Souhrn příjmů a výdajů 2018'!H175+'Souhrn příjmů a výdajů 2018'!H176</f>
        <v>6264569</v>
      </c>
      <c r="E13" s="491"/>
      <c r="F13" s="516" t="str">
        <f t="shared" si="2"/>
        <v>-</v>
      </c>
      <c r="G13" s="490">
        <f>295203.413535864+98569</f>
        <v>393772.41353586398</v>
      </c>
      <c r="H13" s="520"/>
      <c r="I13" s="525"/>
      <c r="J13" s="525"/>
      <c r="K13" s="525"/>
      <c r="L13" s="492"/>
      <c r="M13" s="233" t="s">
        <v>982</v>
      </c>
      <c r="N13" s="490">
        <v>574208.93930553598</v>
      </c>
      <c r="O13" s="520"/>
      <c r="P13" s="537" t="s">
        <v>982</v>
      </c>
      <c r="Q13" s="490">
        <v>521234.00682981912</v>
      </c>
      <c r="R13" s="520"/>
      <c r="S13" s="537" t="s">
        <v>982</v>
      </c>
      <c r="T13" s="490">
        <v>431933.55786966399</v>
      </c>
      <c r="U13" s="520"/>
      <c r="V13" s="537" t="s">
        <v>982</v>
      </c>
      <c r="W13" s="490">
        <v>541182.40332220902</v>
      </c>
      <c r="X13" s="520"/>
      <c r="Y13" s="537" t="s">
        <v>982</v>
      </c>
      <c r="Z13" s="490">
        <v>750532.46255662665</v>
      </c>
      <c r="AA13" s="520"/>
      <c r="AB13" s="537" t="s">
        <v>982</v>
      </c>
      <c r="AC13" s="490">
        <v>653691.85666822898</v>
      </c>
      <c r="AD13" s="520"/>
      <c r="AE13" s="537" t="s">
        <v>982</v>
      </c>
      <c r="AF13" s="490">
        <v>568774.37367225403</v>
      </c>
      <c r="AG13" s="520"/>
      <c r="AH13" s="537" t="s">
        <v>982</v>
      </c>
      <c r="AI13" s="490">
        <v>327414.87931900762</v>
      </c>
      <c r="AJ13" s="520"/>
      <c r="AK13" s="537" t="s">
        <v>982</v>
      </c>
      <c r="AL13" s="490">
        <v>566834.87031519995</v>
      </c>
      <c r="AM13" s="520"/>
      <c r="AN13" s="537" t="s">
        <v>982</v>
      </c>
      <c r="AO13" s="490">
        <v>380572.53014593199</v>
      </c>
      <c r="AP13" s="520"/>
      <c r="AQ13" s="537" t="s">
        <v>982</v>
      </c>
      <c r="AR13" s="490">
        <f>476603.697059926+77813</f>
        <v>554416.69705992599</v>
      </c>
      <c r="AS13" s="520"/>
      <c r="AT13" s="537" t="str">
        <f t="shared" si="0"/>
        <v>-</v>
      </c>
      <c r="AU13" s="1055">
        <f t="shared" si="1"/>
        <v>-9.3997335061430931E-3</v>
      </c>
    </row>
    <row r="14" spans="1:49" ht="15" x14ac:dyDescent="0.25">
      <c r="A14" s="1993"/>
      <c r="B14" s="493"/>
      <c r="C14" s="505" t="s">
        <v>198</v>
      </c>
      <c r="D14" s="490">
        <f>+'Souhrn příjmů a výdajů 2018'!H181+'Souhrn příjmů a výdajů 2018'!H182+'Souhrn příjmů a výdajů 2018'!H183+'Souhrn příjmů a výdajů 2018'!H184+'Souhrn příjmů a výdajů 2018'!H185+'Souhrn příjmů a výdajů 2018'!H186+'Souhrn příjmů a výdajů 2018'!H187+'Souhrn příjmů a výdajů 2018'!H188+'Souhrn příjmů a výdajů 2018'!H190+'Souhrn příjmů a výdajů 2018'!H191+'Souhrn příjmů a výdajů 2018'!H192</f>
        <v>23905825</v>
      </c>
      <c r="E14" s="491"/>
      <c r="F14" s="516" t="str">
        <f t="shared" si="2"/>
        <v>-</v>
      </c>
      <c r="G14" s="490">
        <v>1290222.707836342</v>
      </c>
      <c r="H14" s="520"/>
      <c r="I14" s="525"/>
      <c r="J14" s="525"/>
      <c r="K14" s="525"/>
      <c r="L14" s="492"/>
      <c r="M14" s="233" t="s">
        <v>982</v>
      </c>
      <c r="N14" s="490">
        <v>1387325.205974591</v>
      </c>
      <c r="O14" s="520"/>
      <c r="P14" s="537" t="s">
        <v>982</v>
      </c>
      <c r="Q14" s="490">
        <v>3649255.5036508301</v>
      </c>
      <c r="R14" s="520"/>
      <c r="S14" s="537" t="s">
        <v>982</v>
      </c>
      <c r="T14" s="490">
        <v>3124591.2478546202</v>
      </c>
      <c r="U14" s="520"/>
      <c r="V14" s="537" t="s">
        <v>982</v>
      </c>
      <c r="W14" s="490">
        <f>1143083.15320061+271106</f>
        <v>1414189.1532006101</v>
      </c>
      <c r="X14" s="520"/>
      <c r="Y14" s="537" t="s">
        <v>982</v>
      </c>
      <c r="Z14" s="490">
        <v>3019535.1359068071</v>
      </c>
      <c r="AA14" s="520"/>
      <c r="AB14" s="537" t="s">
        <v>982</v>
      </c>
      <c r="AC14" s="490">
        <v>2045398.8956288896</v>
      </c>
      <c r="AD14" s="520"/>
      <c r="AE14" s="537" t="s">
        <v>982</v>
      </c>
      <c r="AF14" s="490">
        <v>1355609.0358806616</v>
      </c>
      <c r="AG14" s="520"/>
      <c r="AH14" s="537" t="s">
        <v>982</v>
      </c>
      <c r="AI14" s="490">
        <v>1965892.8322238047</v>
      </c>
      <c r="AJ14" s="520"/>
      <c r="AK14" s="537" t="s">
        <v>982</v>
      </c>
      <c r="AL14" s="490">
        <v>1366191.1222609759</v>
      </c>
      <c r="AM14" s="520"/>
      <c r="AN14" s="537" t="s">
        <v>982</v>
      </c>
      <c r="AO14" s="490">
        <f>1435214.6245951+25000</f>
        <v>1460214.6245951001</v>
      </c>
      <c r="AP14" s="520"/>
      <c r="AQ14" s="537" t="s">
        <v>982</v>
      </c>
      <c r="AR14" s="490">
        <f>2642399.79215811-790000</f>
        <v>1852399.7921581101</v>
      </c>
      <c r="AS14" s="520"/>
      <c r="AT14" s="537" t="str">
        <f t="shared" si="0"/>
        <v>-</v>
      </c>
      <c r="AU14" s="1055">
        <f t="shared" si="1"/>
        <v>25000.257171340287</v>
      </c>
    </row>
    <row r="15" spans="1:49" ht="15" x14ac:dyDescent="0.25">
      <c r="A15" s="1993"/>
      <c r="B15" s="493"/>
      <c r="C15" s="505" t="s">
        <v>153</v>
      </c>
      <c r="D15" s="490">
        <f>+'Souhrn příjmů a výdajů 2018'!H189</f>
        <v>12860000</v>
      </c>
      <c r="E15" s="491"/>
      <c r="F15" s="516" t="str">
        <f t="shared" si="2"/>
        <v>-</v>
      </c>
      <c r="G15" s="490">
        <f>1196432.524626-185000</f>
        <v>1011432.5246260001</v>
      </c>
      <c r="H15" s="520"/>
      <c r="I15" s="525"/>
      <c r="J15" s="525"/>
      <c r="K15" s="525"/>
      <c r="L15" s="492"/>
      <c r="M15" s="233" t="s">
        <v>982</v>
      </c>
      <c r="N15" s="490">
        <v>1111343.8344048236</v>
      </c>
      <c r="O15" s="520"/>
      <c r="P15" s="537" t="s">
        <v>982</v>
      </c>
      <c r="Q15" s="490">
        <v>1112513.91453359</v>
      </c>
      <c r="R15" s="520"/>
      <c r="S15" s="537" t="s">
        <v>982</v>
      </c>
      <c r="T15" s="490">
        <v>940005.56722485111</v>
      </c>
      <c r="U15" s="520"/>
      <c r="V15" s="537" t="s">
        <v>982</v>
      </c>
      <c r="W15" s="490">
        <v>977490.29472892545</v>
      </c>
      <c r="X15" s="520"/>
      <c r="Y15" s="537" t="s">
        <v>982</v>
      </c>
      <c r="Z15" s="490">
        <v>1041839.6529865999</v>
      </c>
      <c r="AA15" s="520"/>
      <c r="AB15" s="537" t="s">
        <v>982</v>
      </c>
      <c r="AC15" s="490">
        <v>1433480.8528960873</v>
      </c>
      <c r="AD15" s="520"/>
      <c r="AE15" s="537" t="s">
        <v>982</v>
      </c>
      <c r="AF15" s="490">
        <v>1089318.0353024574</v>
      </c>
      <c r="AG15" s="520"/>
      <c r="AH15" s="537" t="s">
        <v>982</v>
      </c>
      <c r="AI15" s="490">
        <v>1326982.6590815026</v>
      </c>
      <c r="AJ15" s="520"/>
      <c r="AK15" s="537" t="s">
        <v>982</v>
      </c>
      <c r="AL15" s="490">
        <v>1081457.4049994198</v>
      </c>
      <c r="AM15" s="520"/>
      <c r="AN15" s="537" t="s">
        <v>982</v>
      </c>
      <c r="AO15" s="490">
        <v>1137134.8879826553</v>
      </c>
      <c r="AP15" s="520"/>
      <c r="AQ15" s="537" t="s">
        <v>982</v>
      </c>
      <c r="AR15" s="490">
        <f>1931631.33748864+315369-1000000-650000</f>
        <v>597000.3374886401</v>
      </c>
      <c r="AS15" s="520"/>
      <c r="AT15" s="537" t="str">
        <f t="shared" si="0"/>
        <v>-</v>
      </c>
      <c r="AU15" s="1055">
        <f t="shared" si="1"/>
        <v>-3.3744446933269501E-2</v>
      </c>
    </row>
    <row r="16" spans="1:49" ht="15" x14ac:dyDescent="0.25">
      <c r="A16" s="1993"/>
      <c r="B16" s="493"/>
      <c r="C16" s="505" t="s">
        <v>201</v>
      </c>
      <c r="D16" s="490">
        <f>+'Souhrn příjmů a výdajů 2018'!H194+'Souhrn příjmů a výdajů 2018'!H195+'Souhrn příjmů a výdajů 2018'!H196+'Souhrn příjmů a výdajů 2018'!H197+'Souhrn příjmů a výdajů 2018'!H198+'Souhrn příjmů a výdajů 2018'!H200+'Souhrn příjmů a výdajů 2018'!H201+'Souhrn příjmů a výdajů 2018'!H202+'Souhrn příjmů a výdajů 2018'!H203+'Souhrn příjmů a výdajů 2018'!H204+'Souhrn příjmů a výdajů 2018'!H205+'Sumář  výdaje kapitol'!I71</f>
        <v>28146874.262399971</v>
      </c>
      <c r="E16" s="491"/>
      <c r="F16" s="516" t="str">
        <f t="shared" si="2"/>
        <v>-</v>
      </c>
      <c r="G16" s="490">
        <f>1579095.79804652+403313</f>
        <v>1982408.79804652</v>
      </c>
      <c r="H16" s="520"/>
      <c r="I16" s="525"/>
      <c r="J16" s="525"/>
      <c r="K16" s="525"/>
      <c r="L16" s="492"/>
      <c r="M16" s="233" t="s">
        <v>982</v>
      </c>
      <c r="N16" s="490">
        <v>1466792.6046578772</v>
      </c>
      <c r="O16" s="520"/>
      <c r="P16" s="537" t="s">
        <v>982</v>
      </c>
      <c r="Q16" s="490">
        <v>2788173.8226713482</v>
      </c>
      <c r="R16" s="520"/>
      <c r="S16" s="537" t="s">
        <v>982</v>
      </c>
      <c r="T16" s="490">
        <v>2240654.03672397</v>
      </c>
      <c r="U16" s="520"/>
      <c r="V16" s="537" t="s">
        <v>982</v>
      </c>
      <c r="W16" s="490">
        <v>2290127.7633857499</v>
      </c>
      <c r="X16" s="520"/>
      <c r="Y16" s="537" t="s">
        <v>982</v>
      </c>
      <c r="Z16" s="490">
        <v>4014732.2272636769</v>
      </c>
      <c r="AA16" s="520"/>
      <c r="AB16" s="537" t="s">
        <v>982</v>
      </c>
      <c r="AC16" s="490">
        <v>2891960.9295108002</v>
      </c>
      <c r="AD16" s="520"/>
      <c r="AE16" s="537" t="s">
        <v>982</v>
      </c>
      <c r="AF16" s="490">
        <f>1437722.14218275+16986</f>
        <v>1454708.1421827499</v>
      </c>
      <c r="AG16" s="520"/>
      <c r="AH16" s="537" t="s">
        <v>982</v>
      </c>
      <c r="AI16" s="490">
        <v>1751400.6832029489</v>
      </c>
      <c r="AJ16" s="520"/>
      <c r="AK16" s="537" t="s">
        <v>982</v>
      </c>
      <c r="AL16" s="490">
        <v>2427347.3922273298</v>
      </c>
      <c r="AM16" s="520"/>
      <c r="AN16" s="537" t="s">
        <v>982</v>
      </c>
      <c r="AO16" s="490">
        <f>1500832.58893921+600000-25871</f>
        <v>2074961.5889392099</v>
      </c>
      <c r="AP16" s="520"/>
      <c r="AQ16" s="537" t="s">
        <v>982</v>
      </c>
      <c r="AR16" s="490">
        <f>2549438.32236322+416236-10000</f>
        <v>2955674.3223632202</v>
      </c>
      <c r="AS16" s="520"/>
      <c r="AT16" s="537" t="str">
        <f t="shared" si="0"/>
        <v>-</v>
      </c>
      <c r="AU16" s="1055">
        <f t="shared" si="1"/>
        <v>192068.04877542704</v>
      </c>
    </row>
    <row r="17" spans="1:49" s="549" customFormat="1" ht="15.75" thickBot="1" x14ac:dyDescent="0.3">
      <c r="A17" s="1993"/>
      <c r="B17" s="1987" t="s">
        <v>780</v>
      </c>
      <c r="C17" s="1988"/>
      <c r="D17" s="550">
        <f>D5+D9-D10</f>
        <v>65315468.457600027</v>
      </c>
      <c r="E17" s="551">
        <f>E9-E10</f>
        <v>0</v>
      </c>
      <c r="F17" s="552" t="str">
        <f>IF(OR(D17=0,E17=0),"-",IF(D17&lt;0,(E17/D17-1),E17/D17))</f>
        <v>-</v>
      </c>
      <c r="G17" s="550">
        <f t="shared" ref="G17:AR17" si="15">G5+G9-G10</f>
        <v>27901749.59030316</v>
      </c>
      <c r="H17" s="553">
        <f t="shared" si="15"/>
        <v>27000000</v>
      </c>
      <c r="I17" s="554">
        <f t="shared" si="15"/>
        <v>27000000</v>
      </c>
      <c r="J17" s="554">
        <f t="shared" si="15"/>
        <v>27000000</v>
      </c>
      <c r="K17" s="554">
        <f t="shared" si="15"/>
        <v>27000000</v>
      </c>
      <c r="L17" s="555">
        <f t="shared" si="15"/>
        <v>27000000</v>
      </c>
      <c r="M17" s="556" t="e">
        <f t="shared" si="15"/>
        <v>#VALUE!</v>
      </c>
      <c r="N17" s="550">
        <f t="shared" si="15"/>
        <v>21139920.568054277</v>
      </c>
      <c r="O17" s="553">
        <f t="shared" si="15"/>
        <v>19643396.833836496</v>
      </c>
      <c r="P17" s="557" t="e">
        <f t="shared" si="15"/>
        <v>#VALUE!</v>
      </c>
      <c r="Q17" s="550">
        <f t="shared" si="15"/>
        <v>18582970.260500412</v>
      </c>
      <c r="R17" s="553">
        <f t="shared" si="15"/>
        <v>19881567.811587609</v>
      </c>
      <c r="S17" s="557" t="e">
        <f t="shared" si="15"/>
        <v>#VALUE!</v>
      </c>
      <c r="T17" s="550">
        <f t="shared" si="15"/>
        <v>16370432.378240583</v>
      </c>
      <c r="U17" s="553">
        <f t="shared" si="15"/>
        <v>15065550.504033746</v>
      </c>
      <c r="V17" s="557" t="e">
        <f t="shared" si="15"/>
        <v>#VALUE!</v>
      </c>
      <c r="W17" s="550">
        <f t="shared" si="15"/>
        <v>4367918.2846319452</v>
      </c>
      <c r="X17" s="553">
        <f t="shared" si="15"/>
        <v>4038208.6217739163</v>
      </c>
      <c r="Y17" s="557" t="e">
        <f t="shared" si="15"/>
        <v>#VALUE!</v>
      </c>
      <c r="Z17" s="550">
        <f t="shared" si="15"/>
        <v>8380532.4351200536</v>
      </c>
      <c r="AA17" s="553">
        <f t="shared" si="15"/>
        <v>-2377293.471834721</v>
      </c>
      <c r="AB17" s="557" t="e">
        <f t="shared" si="15"/>
        <v>#VALUE!</v>
      </c>
      <c r="AC17" s="550">
        <f t="shared" si="15"/>
        <v>5314795.3313357215</v>
      </c>
      <c r="AD17" s="553">
        <f t="shared" si="15"/>
        <v>3430591.6786533874</v>
      </c>
      <c r="AE17" s="557" t="e">
        <f t="shared" si="15"/>
        <v>#VALUE!</v>
      </c>
      <c r="AF17" s="550">
        <f t="shared" si="15"/>
        <v>964809.1092998134</v>
      </c>
      <c r="AG17" s="553">
        <f t="shared" si="15"/>
        <v>-413557.42513094563</v>
      </c>
      <c r="AH17" s="557" t="e">
        <f t="shared" si="15"/>
        <v>#VALUE!</v>
      </c>
      <c r="AI17" s="550">
        <f t="shared" si="15"/>
        <v>2552971.6478003785</v>
      </c>
      <c r="AJ17" s="553">
        <f t="shared" si="15"/>
        <v>-2944985.6471668519</v>
      </c>
      <c r="AK17" s="557" t="e">
        <f t="shared" si="15"/>
        <v>#VALUE!</v>
      </c>
      <c r="AL17" s="550">
        <f t="shared" si="15"/>
        <v>-1475512.4097492751</v>
      </c>
      <c r="AM17" s="553">
        <f t="shared" si="15"/>
        <v>-3908429.1086662882</v>
      </c>
      <c r="AN17" s="557" t="e">
        <f t="shared" si="15"/>
        <v>#VALUE!</v>
      </c>
      <c r="AO17" s="550">
        <f t="shared" si="15"/>
        <v>7178777.2628023904</v>
      </c>
      <c r="AP17" s="553">
        <f t="shared" si="15"/>
        <v>-4247968.1662159422</v>
      </c>
      <c r="AQ17" s="557" t="e">
        <f t="shared" si="15"/>
        <v>#VALUE!</v>
      </c>
      <c r="AR17" s="550">
        <f t="shared" si="15"/>
        <v>6406542.3591270931</v>
      </c>
      <c r="AS17" s="553">
        <f>AS9-AS10</f>
        <v>0</v>
      </c>
      <c r="AT17" s="557" t="str">
        <f t="shared" si="0"/>
        <v>-</v>
      </c>
      <c r="AU17" s="1055"/>
    </row>
    <row r="18" spans="1:49" ht="15" x14ac:dyDescent="0.25">
      <c r="A18" s="1993"/>
      <c r="B18" s="493"/>
      <c r="C18" s="505" t="s">
        <v>11</v>
      </c>
      <c r="D18" s="490">
        <f>+'Souhrn příjmů a výdajů 2018'!H209+'Souhrn příjmů a výdajů 2018'!H210</f>
        <v>2216141.0776</v>
      </c>
      <c r="E18" s="491"/>
      <c r="F18" s="516" t="str">
        <f>IF(OR(D18=0,E18=0),"-",IF(D18&lt;0,(E18/D18-1),E18/D18))</f>
        <v>-</v>
      </c>
      <c r="G18" s="490">
        <v>182595.08979999999</v>
      </c>
      <c r="H18" s="520"/>
      <c r="I18" s="525"/>
      <c r="J18" s="525"/>
      <c r="K18" s="525"/>
      <c r="L18" s="492"/>
      <c r="M18" s="534" t="s">
        <v>982</v>
      </c>
      <c r="N18" s="490">
        <v>182595.08979999999</v>
      </c>
      <c r="O18" s="520"/>
      <c r="P18" s="537" t="s">
        <v>982</v>
      </c>
      <c r="Q18" s="490">
        <v>182595.08979999999</v>
      </c>
      <c r="R18" s="520"/>
      <c r="S18" s="537" t="s">
        <v>982</v>
      </c>
      <c r="T18" s="490">
        <v>182595.08979999999</v>
      </c>
      <c r="U18" s="520"/>
      <c r="V18" s="537" t="s">
        <v>982</v>
      </c>
      <c r="W18" s="490">
        <v>182595.08979999999</v>
      </c>
      <c r="X18" s="520"/>
      <c r="Y18" s="537" t="s">
        <v>982</v>
      </c>
      <c r="Z18" s="490">
        <v>182595.08979999999</v>
      </c>
      <c r="AA18" s="520"/>
      <c r="AB18" s="537" t="s">
        <v>982</v>
      </c>
      <c r="AC18" s="490">
        <v>182595.08979999999</v>
      </c>
      <c r="AD18" s="520"/>
      <c r="AE18" s="537" t="s">
        <v>982</v>
      </c>
      <c r="AF18" s="490">
        <v>182595.08979999999</v>
      </c>
      <c r="AG18" s="520"/>
      <c r="AH18" s="537" t="s">
        <v>982</v>
      </c>
      <c r="AI18" s="490">
        <v>182595.08979999999</v>
      </c>
      <c r="AJ18" s="520"/>
      <c r="AK18" s="537" t="s">
        <v>982</v>
      </c>
      <c r="AL18" s="490">
        <v>182595.08979999999</v>
      </c>
      <c r="AM18" s="520"/>
      <c r="AN18" s="537" t="s">
        <v>982</v>
      </c>
      <c r="AO18" s="490">
        <v>182595.08979999999</v>
      </c>
      <c r="AP18" s="520"/>
      <c r="AQ18" s="537" t="s">
        <v>982</v>
      </c>
      <c r="AR18" s="490">
        <v>182595.08979999999</v>
      </c>
      <c r="AS18" s="520"/>
      <c r="AT18" s="537" t="str">
        <f t="shared" si="0"/>
        <v>-</v>
      </c>
      <c r="AU18" s="1055">
        <f t="shared" si="1"/>
        <v>-25000</v>
      </c>
    </row>
    <row r="19" spans="1:49" ht="15" x14ac:dyDescent="0.25">
      <c r="A19" s="1993"/>
      <c r="B19" s="493"/>
      <c r="C19" s="509" t="s">
        <v>502</v>
      </c>
      <c r="D19" s="490">
        <f>'Souhrn příjmů a výdajů 2018'!H220</f>
        <v>3640000</v>
      </c>
      <c r="E19" s="491"/>
      <c r="F19" s="516"/>
      <c r="G19" s="490">
        <v>303333.33333333331</v>
      </c>
      <c r="H19" s="520"/>
      <c r="I19" s="525"/>
      <c r="J19" s="525"/>
      <c r="K19" s="525"/>
      <c r="L19" s="492"/>
      <c r="M19" s="534"/>
      <c r="N19" s="490">
        <v>303333.33333333331</v>
      </c>
      <c r="O19" s="520"/>
      <c r="P19" s="537"/>
      <c r="Q19" s="490">
        <v>303333.33333333331</v>
      </c>
      <c r="R19" s="520"/>
      <c r="S19" s="537"/>
      <c r="T19" s="490">
        <v>303333.33333333331</v>
      </c>
      <c r="U19" s="520"/>
      <c r="V19" s="537"/>
      <c r="W19" s="490">
        <v>303333.33333333331</v>
      </c>
      <c r="X19" s="520"/>
      <c r="Y19" s="537"/>
      <c r="Z19" s="490">
        <v>303333.33333333331</v>
      </c>
      <c r="AA19" s="520"/>
      <c r="AB19" s="537"/>
      <c r="AC19" s="490">
        <v>303333.33333333331</v>
      </c>
      <c r="AD19" s="520"/>
      <c r="AE19" s="537"/>
      <c r="AF19" s="490">
        <v>303333.33333333331</v>
      </c>
      <c r="AG19" s="520"/>
      <c r="AH19" s="537"/>
      <c r="AI19" s="490">
        <v>303333.33333333331</v>
      </c>
      <c r="AJ19" s="520"/>
      <c r="AK19" s="537"/>
      <c r="AL19" s="490">
        <v>303333.33333333331</v>
      </c>
      <c r="AM19" s="520"/>
      <c r="AN19" s="537"/>
      <c r="AO19" s="490">
        <v>303333.33333333331</v>
      </c>
      <c r="AP19" s="520"/>
      <c r="AQ19" s="537"/>
      <c r="AR19" s="490">
        <v>303333.33333333331</v>
      </c>
      <c r="AS19" s="520"/>
      <c r="AT19" s="537"/>
      <c r="AU19" s="1055">
        <f t="shared" si="1"/>
        <v>0</v>
      </c>
    </row>
    <row r="20" spans="1:49" ht="15" x14ac:dyDescent="0.25">
      <c r="A20" s="1993"/>
      <c r="B20" s="493"/>
      <c r="C20" s="509" t="s">
        <v>182</v>
      </c>
      <c r="D20" s="490">
        <f>'Souhrn příjmů a výdajů 2018'!H221</f>
        <v>1500000</v>
      </c>
      <c r="E20" s="491"/>
      <c r="F20" s="516" t="str">
        <f>IF(OR(D20=0,E20=0),"-",IF(D20&lt;0,(E20/D20-1),E20/D20))</f>
        <v>-</v>
      </c>
      <c r="G20" s="490">
        <v>125000</v>
      </c>
      <c r="H20" s="520"/>
      <c r="I20" s="525"/>
      <c r="J20" s="525"/>
      <c r="K20" s="525"/>
      <c r="L20" s="492"/>
      <c r="M20" s="534" t="s">
        <v>982</v>
      </c>
      <c r="N20" s="490">
        <v>125000</v>
      </c>
      <c r="O20" s="520"/>
      <c r="P20" s="537" t="s">
        <v>982</v>
      </c>
      <c r="Q20" s="490">
        <v>125000</v>
      </c>
      <c r="R20" s="520"/>
      <c r="S20" s="537" t="s">
        <v>982</v>
      </c>
      <c r="T20" s="490">
        <v>125000</v>
      </c>
      <c r="U20" s="520"/>
      <c r="V20" s="537" t="s">
        <v>982</v>
      </c>
      <c r="W20" s="490">
        <v>125000</v>
      </c>
      <c r="X20" s="520"/>
      <c r="Y20" s="537" t="s">
        <v>982</v>
      </c>
      <c r="Z20" s="490">
        <v>125000</v>
      </c>
      <c r="AA20" s="520"/>
      <c r="AB20" s="537" t="s">
        <v>982</v>
      </c>
      <c r="AC20" s="490">
        <v>125000</v>
      </c>
      <c r="AD20" s="520"/>
      <c r="AE20" s="537" t="s">
        <v>982</v>
      </c>
      <c r="AF20" s="490">
        <v>125000</v>
      </c>
      <c r="AG20" s="520"/>
      <c r="AH20" s="537" t="s">
        <v>982</v>
      </c>
      <c r="AI20" s="490">
        <v>125000</v>
      </c>
      <c r="AJ20" s="520"/>
      <c r="AK20" s="537" t="s">
        <v>982</v>
      </c>
      <c r="AL20" s="490">
        <v>125000</v>
      </c>
      <c r="AM20" s="520"/>
      <c r="AN20" s="537" t="s">
        <v>982</v>
      </c>
      <c r="AO20" s="490">
        <v>125000</v>
      </c>
      <c r="AP20" s="520"/>
      <c r="AQ20" s="537" t="s">
        <v>982</v>
      </c>
      <c r="AR20" s="490">
        <v>125000</v>
      </c>
      <c r="AS20" s="520"/>
      <c r="AT20" s="537" t="str">
        <f t="shared" si="0"/>
        <v>-</v>
      </c>
      <c r="AU20" s="1055">
        <f t="shared" si="1"/>
        <v>0</v>
      </c>
    </row>
    <row r="21" spans="1:49" s="549" customFormat="1" ht="15.75" thickBot="1" x14ac:dyDescent="0.3">
      <c r="A21" s="1994"/>
      <c r="B21" s="1987" t="s">
        <v>781</v>
      </c>
      <c r="C21" s="1988"/>
      <c r="D21" s="550">
        <f>D17-D18-D20</f>
        <v>61599327.380000025</v>
      </c>
      <c r="E21" s="551">
        <f>E17-E18-E20</f>
        <v>0</v>
      </c>
      <c r="F21" s="552" t="str">
        <f t="shared" ref="F21:F49" si="16">IF(OR(D21=0,E21=0),"-",IF(D21&lt;0,(E21/D21-1),E21/D21))</f>
        <v>-</v>
      </c>
      <c r="G21" s="550">
        <f t="shared" ref="G21:L21" si="17">G17-G18-G20</f>
        <v>27594154.50050316</v>
      </c>
      <c r="H21" s="553">
        <f t="shared" si="17"/>
        <v>27000000</v>
      </c>
      <c r="I21" s="554">
        <f t="shared" si="17"/>
        <v>27000000</v>
      </c>
      <c r="J21" s="554">
        <f t="shared" si="17"/>
        <v>27000000</v>
      </c>
      <c r="K21" s="554">
        <f t="shared" si="17"/>
        <v>27000000</v>
      </c>
      <c r="L21" s="555">
        <f t="shared" si="17"/>
        <v>27000000</v>
      </c>
      <c r="M21" s="556">
        <f>IF(OR(G21=0,L21=0),"-",IF(G21&lt;0,(L21/G21-1),L21/G21))</f>
        <v>0.97846810271021978</v>
      </c>
      <c r="N21" s="550">
        <f>N17-N18-N20</f>
        <v>20832325.478254277</v>
      </c>
      <c r="O21" s="553">
        <f>O17-O18-O20</f>
        <v>19643396.833836496</v>
      </c>
      <c r="P21" s="557">
        <f t="shared" si="4"/>
        <v>0.94292866412543141</v>
      </c>
      <c r="Q21" s="550">
        <f>Q17-Q18-Q20</f>
        <v>18275375.170700412</v>
      </c>
      <c r="R21" s="553">
        <f>R17-R18-R20</f>
        <v>19881567.811587609</v>
      </c>
      <c r="S21" s="557">
        <f t="shared" si="5"/>
        <v>1.0878883539125528</v>
      </c>
      <c r="T21" s="550">
        <f>T17-T18-T20</f>
        <v>16062837.288440583</v>
      </c>
      <c r="U21" s="553">
        <f>U17-U18-U20</f>
        <v>15065550.504033746</v>
      </c>
      <c r="V21" s="557">
        <f t="shared" si="6"/>
        <v>0.93791341053273813</v>
      </c>
      <c r="W21" s="550">
        <f>W17-W18-W20</f>
        <v>4060323.194831945</v>
      </c>
      <c r="X21" s="553">
        <f>X17-X18-X20</f>
        <v>4038208.6217739163</v>
      </c>
      <c r="Y21" s="557">
        <f t="shared" si="7"/>
        <v>0.99455349439025531</v>
      </c>
      <c r="Z21" s="550">
        <f>Z17-Z18-Z20</f>
        <v>8072937.3453200534</v>
      </c>
      <c r="AA21" s="553">
        <f>AA17-AA18-AA20</f>
        <v>-2377293.471834721</v>
      </c>
      <c r="AB21" s="557">
        <f t="shared" si="8"/>
        <v>-0.29447688866467631</v>
      </c>
      <c r="AC21" s="550">
        <f>AC17-AC18-AC20</f>
        <v>5007200.2415357213</v>
      </c>
      <c r="AD21" s="553">
        <f>AD17-AD18-AD20</f>
        <v>3430591.6786533874</v>
      </c>
      <c r="AE21" s="557">
        <f t="shared" si="9"/>
        <v>0.68513171296724817</v>
      </c>
      <c r="AF21" s="550">
        <f>AF17-AF18-AF20</f>
        <v>657214.01949981344</v>
      </c>
      <c r="AG21" s="553">
        <f>AG17-AG18-AG20</f>
        <v>-413557.42513094563</v>
      </c>
      <c r="AH21" s="557">
        <f t="shared" si="10"/>
        <v>-0.62925837377250748</v>
      </c>
      <c r="AI21" s="550">
        <f>AI17-AI18-AI20</f>
        <v>2245376.5580003783</v>
      </c>
      <c r="AJ21" s="553">
        <f>AJ17-AJ18-AJ20</f>
        <v>-2944985.6471668519</v>
      </c>
      <c r="AK21" s="557">
        <f t="shared" si="11"/>
        <v>-1.3115776223251885</v>
      </c>
      <c r="AL21" s="550">
        <f>AL17-AL18-AL20</f>
        <v>-1783107.499549275</v>
      </c>
      <c r="AM21" s="553">
        <f>AM17-AM18-AM20</f>
        <v>-3908429.1086662882</v>
      </c>
      <c r="AN21" s="557">
        <f t="shared" si="12"/>
        <v>1.191920066319188</v>
      </c>
      <c r="AO21" s="550">
        <f>AO17-AO18-AO20</f>
        <v>6871182.1730023902</v>
      </c>
      <c r="AP21" s="553">
        <f>AP17-AP18-AP20</f>
        <v>-4247968.1662159422</v>
      </c>
      <c r="AQ21" s="557">
        <f t="shared" si="13"/>
        <v>-0.61822959416018153</v>
      </c>
      <c r="AR21" s="550">
        <f>AR17-AR18-AR20</f>
        <v>6098947.2693270929</v>
      </c>
      <c r="AS21" s="553">
        <f>AS17-AS18-AS20</f>
        <v>0</v>
      </c>
      <c r="AT21" s="557" t="str">
        <f t="shared" si="0"/>
        <v>-</v>
      </c>
      <c r="AU21" s="1055"/>
    </row>
    <row r="22" spans="1:49" ht="15" x14ac:dyDescent="0.25">
      <c r="A22" s="1995" t="s">
        <v>789</v>
      </c>
      <c r="B22" s="493"/>
      <c r="C22" s="505" t="s">
        <v>352</v>
      </c>
      <c r="D22" s="490">
        <f>'Souhrn příjmů a výdajů 2018'!H94</f>
        <v>60000</v>
      </c>
      <c r="E22" s="491"/>
      <c r="F22" s="516" t="str">
        <f t="shared" si="16"/>
        <v>-</v>
      </c>
      <c r="G22" s="490"/>
      <c r="H22" s="520"/>
      <c r="I22" s="525"/>
      <c r="J22" s="525"/>
      <c r="K22" s="525"/>
      <c r="L22" s="492"/>
      <c r="M22" s="233" t="str">
        <f t="shared" ref="M22:M49" si="18">IF(OR(G22=0,L22=0),"-",IF(G22&lt;0,(L22/G22-1),L22/G22))</f>
        <v>-</v>
      </c>
      <c r="N22" s="490"/>
      <c r="O22" s="520"/>
      <c r="P22" s="537" t="str">
        <f t="shared" si="4"/>
        <v>-</v>
      </c>
      <c r="Q22" s="490"/>
      <c r="R22" s="520"/>
      <c r="S22" s="537" t="str">
        <f t="shared" si="5"/>
        <v>-</v>
      </c>
      <c r="T22" s="490"/>
      <c r="U22" s="520"/>
      <c r="V22" s="537" t="str">
        <f t="shared" si="6"/>
        <v>-</v>
      </c>
      <c r="W22" s="490"/>
      <c r="X22" s="520"/>
      <c r="Y22" s="537" t="str">
        <f t="shared" si="7"/>
        <v>-</v>
      </c>
      <c r="Z22" s="490"/>
      <c r="AA22" s="520"/>
      <c r="AB22" s="537" t="str">
        <f t="shared" si="8"/>
        <v>-</v>
      </c>
      <c r="AC22" s="490"/>
      <c r="AD22" s="520"/>
      <c r="AE22" s="537" t="str">
        <f t="shared" si="9"/>
        <v>-</v>
      </c>
      <c r="AF22" s="490"/>
      <c r="AG22" s="520"/>
      <c r="AH22" s="537" t="str">
        <f t="shared" si="10"/>
        <v>-</v>
      </c>
      <c r="AI22" s="490"/>
      <c r="AJ22" s="520"/>
      <c r="AK22" s="537" t="str">
        <f t="shared" si="11"/>
        <v>-</v>
      </c>
      <c r="AL22" s="490"/>
      <c r="AM22" s="520"/>
      <c r="AN22" s="537" t="str">
        <f t="shared" si="12"/>
        <v>-</v>
      </c>
      <c r="AO22" s="490"/>
      <c r="AP22" s="520"/>
      <c r="AQ22" s="537" t="str">
        <f t="shared" si="13"/>
        <v>-</v>
      </c>
      <c r="AR22" s="490">
        <v>60000</v>
      </c>
      <c r="AS22" s="520"/>
      <c r="AT22" s="537" t="str">
        <f t="shared" si="0"/>
        <v>-</v>
      </c>
      <c r="AU22" s="1055">
        <f t="shared" si="1"/>
        <v>0</v>
      </c>
    </row>
    <row r="23" spans="1:49" ht="15" x14ac:dyDescent="0.25">
      <c r="A23" s="1996"/>
      <c r="B23" s="493"/>
      <c r="C23" s="505" t="s">
        <v>782</v>
      </c>
      <c r="D23" s="490"/>
      <c r="E23" s="491"/>
      <c r="F23" s="516" t="str">
        <f t="shared" si="16"/>
        <v>-</v>
      </c>
      <c r="G23" s="490"/>
      <c r="H23" s="520"/>
      <c r="I23" s="525"/>
      <c r="J23" s="525"/>
      <c r="K23" s="525"/>
      <c r="L23" s="492"/>
      <c r="M23" s="233" t="str">
        <f t="shared" si="18"/>
        <v>-</v>
      </c>
      <c r="N23" s="490"/>
      <c r="O23" s="520"/>
      <c r="P23" s="537" t="str">
        <f t="shared" si="4"/>
        <v>-</v>
      </c>
      <c r="Q23" s="490"/>
      <c r="R23" s="520"/>
      <c r="S23" s="537" t="str">
        <f t="shared" si="5"/>
        <v>-</v>
      </c>
      <c r="T23" s="490"/>
      <c r="U23" s="520"/>
      <c r="V23" s="537" t="str">
        <f t="shared" si="6"/>
        <v>-</v>
      </c>
      <c r="W23" s="490"/>
      <c r="X23" s="520"/>
      <c r="Y23" s="537" t="str">
        <f t="shared" si="7"/>
        <v>-</v>
      </c>
      <c r="Z23" s="490"/>
      <c r="AA23" s="520"/>
      <c r="AB23" s="537" t="str">
        <f t="shared" si="8"/>
        <v>-</v>
      </c>
      <c r="AC23" s="490"/>
      <c r="AD23" s="520"/>
      <c r="AE23" s="537" t="str">
        <f t="shared" si="9"/>
        <v>-</v>
      </c>
      <c r="AF23" s="490"/>
      <c r="AG23" s="520"/>
      <c r="AH23" s="537" t="str">
        <f t="shared" si="10"/>
        <v>-</v>
      </c>
      <c r="AI23" s="490"/>
      <c r="AJ23" s="520"/>
      <c r="AK23" s="537" t="str">
        <f t="shared" si="11"/>
        <v>-</v>
      </c>
      <c r="AL23" s="490"/>
      <c r="AM23" s="520"/>
      <c r="AN23" s="537" t="str">
        <f t="shared" si="12"/>
        <v>-</v>
      </c>
      <c r="AO23" s="490"/>
      <c r="AP23" s="520"/>
      <c r="AQ23" s="537" t="str">
        <f t="shared" si="13"/>
        <v>-</v>
      </c>
      <c r="AR23" s="490"/>
      <c r="AS23" s="520"/>
      <c r="AT23" s="537" t="str">
        <f t="shared" si="0"/>
        <v>-</v>
      </c>
      <c r="AU23" s="1055">
        <f t="shared" si="1"/>
        <v>0</v>
      </c>
    </row>
    <row r="24" spans="1:49" s="510" customFormat="1" ht="15.75" customHeight="1" thickBot="1" x14ac:dyDescent="0.3">
      <c r="A24" s="1996"/>
      <c r="B24" s="1998" t="s">
        <v>783</v>
      </c>
      <c r="C24" s="1999"/>
      <c r="D24" s="499">
        <f>SUM(D25:D49)</f>
        <v>113088496.96000001</v>
      </c>
      <c r="E24" s="500"/>
      <c r="F24" s="517" t="str">
        <f t="shared" si="16"/>
        <v>-</v>
      </c>
      <c r="G24" s="499">
        <f>SUM(G25:G49)</f>
        <v>19154563.43</v>
      </c>
      <c r="H24" s="521"/>
      <c r="I24" s="526"/>
      <c r="J24" s="526"/>
      <c r="K24" s="526"/>
      <c r="L24" s="501"/>
      <c r="M24" s="517" t="str">
        <f t="shared" si="18"/>
        <v>-</v>
      </c>
      <c r="N24" s="499">
        <f>SUM(N25:N49)</f>
        <v>3319724</v>
      </c>
      <c r="O24" s="521"/>
      <c r="P24" s="538" t="str">
        <f t="shared" si="4"/>
        <v>-</v>
      </c>
      <c r="Q24" s="499">
        <f>SUM(Q25:Q49)</f>
        <v>3804351</v>
      </c>
      <c r="R24" s="521"/>
      <c r="S24" s="538" t="str">
        <f t="shared" si="5"/>
        <v>-</v>
      </c>
      <c r="T24" s="499">
        <f>SUM(T25:T49)</f>
        <v>18407570</v>
      </c>
      <c r="U24" s="521"/>
      <c r="V24" s="538" t="str">
        <f t="shared" si="6"/>
        <v>-</v>
      </c>
      <c r="W24" s="499">
        <f>SUM(W25:W49)</f>
        <v>15123756</v>
      </c>
      <c r="X24" s="521"/>
      <c r="Y24" s="538" t="str">
        <f t="shared" si="7"/>
        <v>-</v>
      </c>
      <c r="Z24" s="499">
        <f>SUM(Z25:Z49)</f>
        <v>16360212</v>
      </c>
      <c r="AA24" s="521"/>
      <c r="AB24" s="538" t="str">
        <f t="shared" si="8"/>
        <v>-</v>
      </c>
      <c r="AC24" s="499">
        <f>SUM(AC25:AC49)</f>
        <v>11670000</v>
      </c>
      <c r="AD24" s="521"/>
      <c r="AE24" s="538" t="str">
        <f t="shared" si="9"/>
        <v>-</v>
      </c>
      <c r="AF24" s="499">
        <f>SUM(AF25:AF49)</f>
        <v>12651442</v>
      </c>
      <c r="AG24" s="521"/>
      <c r="AH24" s="538" t="str">
        <f t="shared" si="10"/>
        <v>-</v>
      </c>
      <c r="AI24" s="499">
        <f>SUM(AI25:AI49)</f>
        <v>5203048</v>
      </c>
      <c r="AJ24" s="521"/>
      <c r="AK24" s="538" t="str">
        <f t="shared" si="11"/>
        <v>-</v>
      </c>
      <c r="AL24" s="499">
        <f>SUM(AL25:AL49)</f>
        <v>1514103</v>
      </c>
      <c r="AM24" s="521"/>
      <c r="AN24" s="538" t="str">
        <f t="shared" si="12"/>
        <v>-</v>
      </c>
      <c r="AO24" s="499">
        <f>SUM(AO25:AO49)</f>
        <v>1500000</v>
      </c>
      <c r="AP24" s="521"/>
      <c r="AQ24" s="538" t="str">
        <f t="shared" si="13"/>
        <v>-</v>
      </c>
      <c r="AR24" s="499">
        <f>SUM(AR25:AR49)</f>
        <v>1568189</v>
      </c>
      <c r="AS24" s="520"/>
      <c r="AT24" s="537" t="str">
        <f t="shared" si="0"/>
        <v>-</v>
      </c>
      <c r="AU24" s="1055">
        <f>+AR24+AO24+AL24+AI24+AF24+AC24+Z24+W24+T24+Q24+N24+G24-D24</f>
        <v>-2811538.5300000012</v>
      </c>
      <c r="AW24" s="1680"/>
    </row>
    <row r="25" spans="1:49" s="511" customFormat="1" ht="15" outlineLevel="1" x14ac:dyDescent="0.25">
      <c r="A25" s="1996"/>
      <c r="B25" s="456"/>
      <c r="C25" s="455" t="s">
        <v>218</v>
      </c>
      <c r="D25" s="1050">
        <f>'Sumář  výdaje kapitol'!AE73</f>
        <v>8544900</v>
      </c>
      <c r="E25" s="1051"/>
      <c r="F25" s="530" t="str">
        <f t="shared" si="16"/>
        <v>-</v>
      </c>
      <c r="G25" s="1050">
        <f>3273920+703963+770000</f>
        <v>4747883</v>
      </c>
      <c r="H25" s="1052"/>
      <c r="I25" s="1053"/>
      <c r="J25" s="1053"/>
      <c r="K25" s="1053"/>
      <c r="L25" s="1054"/>
      <c r="M25" s="232" t="str">
        <f t="shared" si="18"/>
        <v>-</v>
      </c>
      <c r="N25" s="1050"/>
      <c r="O25" s="1052"/>
      <c r="P25" s="536" t="str">
        <f t="shared" si="4"/>
        <v>-</v>
      </c>
      <c r="Q25" s="1050">
        <f>126150-4883</f>
        <v>121267</v>
      </c>
      <c r="R25" s="1052"/>
      <c r="S25" s="536" t="str">
        <f t="shared" si="5"/>
        <v>-</v>
      </c>
      <c r="T25" s="1050"/>
      <c r="U25" s="1052"/>
      <c r="V25" s="536" t="str">
        <f t="shared" si="6"/>
        <v>-</v>
      </c>
      <c r="W25" s="1050">
        <v>639259</v>
      </c>
      <c r="X25" s="1052"/>
      <c r="Y25" s="536" t="str">
        <f t="shared" si="7"/>
        <v>-</v>
      </c>
      <c r="Z25" s="1050"/>
      <c r="AA25" s="1052"/>
      <c r="AB25" s="536" t="str">
        <f t="shared" si="8"/>
        <v>-</v>
      </c>
      <c r="AC25" s="1050"/>
      <c r="AD25" s="1052"/>
      <c r="AE25" s="536" t="str">
        <f t="shared" si="9"/>
        <v>-</v>
      </c>
      <c r="AF25" s="1050"/>
      <c r="AG25" s="1052"/>
      <c r="AH25" s="536" t="str">
        <f t="shared" si="10"/>
        <v>-</v>
      </c>
      <c r="AI25" s="1050"/>
      <c r="AJ25" s="1052"/>
      <c r="AK25" s="536" t="str">
        <f t="shared" si="11"/>
        <v>-</v>
      </c>
      <c r="AL25" s="1050"/>
      <c r="AM25" s="1052"/>
      <c r="AN25" s="536" t="str">
        <f t="shared" si="12"/>
        <v>-</v>
      </c>
      <c r="AO25" s="1050"/>
      <c r="AP25" s="1052"/>
      <c r="AQ25" s="536" t="str">
        <f t="shared" si="13"/>
        <v>-</v>
      </c>
      <c r="AR25" s="1050"/>
      <c r="AS25" s="458"/>
      <c r="AT25" s="537" t="str">
        <f t="shared" si="0"/>
        <v>-</v>
      </c>
      <c r="AU25" s="1055">
        <f t="shared" si="1"/>
        <v>-3036491</v>
      </c>
    </row>
    <row r="26" spans="1:49" s="511" customFormat="1" ht="15" outlineLevel="1" x14ac:dyDescent="0.25">
      <c r="A26" s="1996"/>
      <c r="B26" s="456"/>
      <c r="C26" s="455" t="s">
        <v>216</v>
      </c>
      <c r="D26" s="457">
        <f>'Sumář  výdaje kapitol'!Y73</f>
        <v>950000</v>
      </c>
      <c r="E26" s="485"/>
      <c r="F26" s="516" t="str">
        <f t="shared" si="16"/>
        <v>-</v>
      </c>
      <c r="G26" s="457"/>
      <c r="H26" s="458"/>
      <c r="I26" s="529"/>
      <c r="J26" s="529"/>
      <c r="K26" s="529"/>
      <c r="L26" s="459"/>
      <c r="M26" s="233" t="str">
        <f t="shared" si="18"/>
        <v>-</v>
      </c>
      <c r="N26" s="457"/>
      <c r="O26" s="458"/>
      <c r="P26" s="537" t="str">
        <f t="shared" si="4"/>
        <v>-</v>
      </c>
      <c r="Q26" s="457"/>
      <c r="R26" s="458"/>
      <c r="S26" s="537" t="str">
        <f t="shared" si="5"/>
        <v>-</v>
      </c>
      <c r="T26" s="457">
        <v>950000</v>
      </c>
      <c r="U26" s="458"/>
      <c r="V26" s="537" t="str">
        <f t="shared" si="6"/>
        <v>-</v>
      </c>
      <c r="W26" s="457"/>
      <c r="X26" s="458"/>
      <c r="Y26" s="537" t="str">
        <f t="shared" si="7"/>
        <v>-</v>
      </c>
      <c r="Z26" s="457"/>
      <c r="AA26" s="458"/>
      <c r="AB26" s="537" t="str">
        <f t="shared" si="8"/>
        <v>-</v>
      </c>
      <c r="AC26" s="1057"/>
      <c r="AD26" s="1058"/>
      <c r="AE26" s="1059" t="str">
        <f t="shared" si="9"/>
        <v>-</v>
      </c>
      <c r="AF26" s="1057"/>
      <c r="AG26" s="1058"/>
      <c r="AH26" s="1059" t="str">
        <f t="shared" si="10"/>
        <v>-</v>
      </c>
      <c r="AI26" s="1057"/>
      <c r="AJ26" s="1058"/>
      <c r="AK26" s="1059" t="str">
        <f t="shared" si="11"/>
        <v>-</v>
      </c>
      <c r="AL26" s="1057"/>
      <c r="AM26" s="1058"/>
      <c r="AN26" s="1059" t="str">
        <f t="shared" si="12"/>
        <v>-</v>
      </c>
      <c r="AO26" s="1057"/>
      <c r="AP26" s="1058"/>
      <c r="AQ26" s="1059" t="str">
        <f t="shared" si="13"/>
        <v>-</v>
      </c>
      <c r="AR26" s="1057"/>
      <c r="AS26" s="458"/>
      <c r="AT26" s="537" t="str">
        <f t="shared" si="0"/>
        <v>-</v>
      </c>
      <c r="AU26" s="1055">
        <f t="shared" si="1"/>
        <v>0</v>
      </c>
    </row>
    <row r="27" spans="1:49" s="511" customFormat="1" ht="15" outlineLevel="1" x14ac:dyDescent="0.25">
      <c r="A27" s="1996"/>
      <c r="B27" s="456"/>
      <c r="C27" s="455" t="s">
        <v>217</v>
      </c>
      <c r="D27" s="457">
        <f>'Sumář  výdaje kapitol'!AB73</f>
        <v>0</v>
      </c>
      <c r="E27" s="485"/>
      <c r="F27" s="516"/>
      <c r="G27" s="457"/>
      <c r="H27" s="458"/>
      <c r="I27" s="529"/>
      <c r="J27" s="529"/>
      <c r="K27" s="529"/>
      <c r="L27" s="459"/>
      <c r="M27" s="233"/>
      <c r="N27" s="457"/>
      <c r="O27" s="458"/>
      <c r="P27" s="537"/>
      <c r="Q27" s="457"/>
      <c r="R27" s="458"/>
      <c r="S27" s="537"/>
      <c r="T27" s="457"/>
      <c r="U27" s="458"/>
      <c r="V27" s="537"/>
      <c r="W27" s="457"/>
      <c r="X27" s="458"/>
      <c r="Y27" s="537"/>
      <c r="Z27" s="457"/>
      <c r="AA27" s="458"/>
      <c r="AB27" s="537"/>
      <c r="AC27" s="1057"/>
      <c r="AD27" s="1058"/>
      <c r="AE27" s="1059"/>
      <c r="AF27" s="1057"/>
      <c r="AG27" s="1058"/>
      <c r="AH27" s="1059"/>
      <c r="AI27" s="1057"/>
      <c r="AJ27" s="1058"/>
      <c r="AK27" s="1059"/>
      <c r="AL27" s="1057"/>
      <c r="AM27" s="1058"/>
      <c r="AN27" s="1059"/>
      <c r="AO27" s="1057"/>
      <c r="AP27" s="1058"/>
      <c r="AQ27" s="1059"/>
      <c r="AR27" s="1057"/>
      <c r="AS27" s="458"/>
      <c r="AT27" s="537"/>
      <c r="AU27" s="1055">
        <f t="shared" si="1"/>
        <v>0</v>
      </c>
    </row>
    <row r="28" spans="1:49" s="511" customFormat="1" ht="15" outlineLevel="1" x14ac:dyDescent="0.25">
      <c r="A28" s="1996"/>
      <c r="B28" s="456"/>
      <c r="C28" s="455" t="s">
        <v>232</v>
      </c>
      <c r="D28" s="457">
        <f>'Sumář  výdaje kapitol'!BN73</f>
        <v>2792000</v>
      </c>
      <c r="E28" s="485"/>
      <c r="F28" s="516" t="str">
        <f t="shared" si="16"/>
        <v>-</v>
      </c>
      <c r="G28" s="457"/>
      <c r="H28" s="458"/>
      <c r="I28" s="529"/>
      <c r="J28" s="529"/>
      <c r="K28" s="529"/>
      <c r="L28" s="459"/>
      <c r="M28" s="233" t="str">
        <f t="shared" si="18"/>
        <v>-</v>
      </c>
      <c r="N28" s="457"/>
      <c r="O28" s="458"/>
      <c r="P28" s="537" t="str">
        <f t="shared" si="4"/>
        <v>-</v>
      </c>
      <c r="Q28" s="457"/>
      <c r="R28" s="458"/>
      <c r="S28" s="537" t="str">
        <f t="shared" si="5"/>
        <v>-</v>
      </c>
      <c r="T28" s="457"/>
      <c r="U28" s="458"/>
      <c r="V28" s="537" t="str">
        <f t="shared" si="6"/>
        <v>-</v>
      </c>
      <c r="W28" s="457">
        <v>1093500</v>
      </c>
      <c r="X28" s="458"/>
      <c r="Y28" s="537" t="str">
        <f t="shared" si="7"/>
        <v>-</v>
      </c>
      <c r="Z28" s="457"/>
      <c r="AA28" s="458"/>
      <c r="AB28" s="537" t="str">
        <f t="shared" si="8"/>
        <v>-</v>
      </c>
      <c r="AC28" s="1057"/>
      <c r="AD28" s="1058"/>
      <c r="AE28" s="1059" t="str">
        <f t="shared" si="9"/>
        <v>-</v>
      </c>
      <c r="AF28" s="1057">
        <f>1500000+198500</f>
        <v>1698500</v>
      </c>
      <c r="AG28" s="1058"/>
      <c r="AH28" s="1059" t="str">
        <f t="shared" si="10"/>
        <v>-</v>
      </c>
      <c r="AI28" s="1057"/>
      <c r="AJ28" s="1058"/>
      <c r="AK28" s="1059" t="str">
        <f t="shared" si="11"/>
        <v>-</v>
      </c>
      <c r="AL28" s="1057"/>
      <c r="AM28" s="1058"/>
      <c r="AN28" s="1059" t="str">
        <f t="shared" si="12"/>
        <v>-</v>
      </c>
      <c r="AO28" s="1057"/>
      <c r="AP28" s="1058"/>
      <c r="AQ28" s="1059" t="str">
        <f t="shared" si="13"/>
        <v>-</v>
      </c>
      <c r="AR28" s="1057"/>
      <c r="AS28" s="458"/>
      <c r="AT28" s="537" t="str">
        <f t="shared" si="0"/>
        <v>-</v>
      </c>
      <c r="AU28" s="1055">
        <f t="shared" si="1"/>
        <v>0</v>
      </c>
    </row>
    <row r="29" spans="1:49" s="511" customFormat="1" ht="15" outlineLevel="1" x14ac:dyDescent="0.25">
      <c r="A29" s="1996"/>
      <c r="B29" s="456"/>
      <c r="C29" s="455" t="s">
        <v>233</v>
      </c>
      <c r="D29" s="1063">
        <f>'Sumář  výdaje kapitol'!BQ73-'Sumář  výdaje kapitol'!BQ68</f>
        <v>47066822.960000001</v>
      </c>
      <c r="E29" s="485"/>
      <c r="F29" s="516" t="str">
        <f t="shared" si="16"/>
        <v>-</v>
      </c>
      <c r="G29" s="457">
        <v>357507.43</v>
      </c>
      <c r="H29" s="458"/>
      <c r="I29" s="529"/>
      <c r="J29" s="529"/>
      <c r="K29" s="529"/>
      <c r="L29" s="459"/>
      <c r="M29" s="233" t="str">
        <f t="shared" si="18"/>
        <v>-</v>
      </c>
      <c r="N29" s="457">
        <v>736897</v>
      </c>
      <c r="O29" s="458"/>
      <c r="P29" s="537" t="str">
        <f t="shared" si="4"/>
        <v>-</v>
      </c>
      <c r="Q29" s="457">
        <v>736897</v>
      </c>
      <c r="R29" s="458"/>
      <c r="S29" s="537" t="str">
        <f t="shared" si="5"/>
        <v>-</v>
      </c>
      <c r="T29" s="457">
        <f>736897+476802</f>
        <v>1213699</v>
      </c>
      <c r="U29" s="458"/>
      <c r="V29" s="537" t="str">
        <f t="shared" si="6"/>
        <v>-</v>
      </c>
      <c r="W29" s="457">
        <f>736897+400000+4500000</f>
        <v>5636897</v>
      </c>
      <c r="X29" s="458"/>
      <c r="Y29" s="537" t="str">
        <f t="shared" si="7"/>
        <v>-</v>
      </c>
      <c r="Z29" s="457">
        <f>736897+1493315+5200000</f>
        <v>7430212</v>
      </c>
      <c r="AA29" s="458"/>
      <c r="AB29" s="537" t="str">
        <f t="shared" si="8"/>
        <v>-</v>
      </c>
      <c r="AC29" s="1057">
        <v>5000000</v>
      </c>
      <c r="AD29" s="1058"/>
      <c r="AE29" s="1059" t="str">
        <f t="shared" si="9"/>
        <v>-</v>
      </c>
      <c r="AF29" s="1057">
        <v>10000000</v>
      </c>
      <c r="AG29" s="1058"/>
      <c r="AH29" s="1059" t="str">
        <f t="shared" si="10"/>
        <v>-</v>
      </c>
      <c r="AI29" s="1057">
        <v>5203048</v>
      </c>
      <c r="AJ29" s="1058"/>
      <c r="AK29" s="1059" t="str">
        <f t="shared" si="11"/>
        <v>-</v>
      </c>
      <c r="AL29" s="1057">
        <f>1500000-45897</f>
        <v>1454103</v>
      </c>
      <c r="AM29" s="1058"/>
      <c r="AN29" s="1059" t="str">
        <f t="shared" si="12"/>
        <v>-</v>
      </c>
      <c r="AO29" s="1057">
        <v>1000000</v>
      </c>
      <c r="AP29" s="1058"/>
      <c r="AQ29" s="1059" t="str">
        <f t="shared" si="13"/>
        <v>-</v>
      </c>
      <c r="AR29" s="1057">
        <v>1493315</v>
      </c>
      <c r="AS29" s="458"/>
      <c r="AT29" s="537" t="str">
        <f t="shared" si="0"/>
        <v>-</v>
      </c>
      <c r="AU29" s="1055">
        <f t="shared" si="1"/>
        <v>-6804247.5300000012</v>
      </c>
    </row>
    <row r="30" spans="1:49" s="511" customFormat="1" ht="15" outlineLevel="1" x14ac:dyDescent="0.25">
      <c r="A30" s="1996"/>
      <c r="B30" s="456"/>
      <c r="C30" s="455" t="s">
        <v>213</v>
      </c>
      <c r="D30" s="457">
        <f>'Sumář  výdaje kapitol'!V73</f>
        <v>0</v>
      </c>
      <c r="E30" s="485"/>
      <c r="F30" s="516" t="str">
        <f t="shared" si="16"/>
        <v>-</v>
      </c>
      <c r="G30" s="457"/>
      <c r="H30" s="458"/>
      <c r="I30" s="529"/>
      <c r="J30" s="529"/>
      <c r="K30" s="529"/>
      <c r="L30" s="459"/>
      <c r="M30" s="233" t="str">
        <f t="shared" si="18"/>
        <v>-</v>
      </c>
      <c r="N30" s="457"/>
      <c r="O30" s="458"/>
      <c r="P30" s="537" t="str">
        <f t="shared" si="4"/>
        <v>-</v>
      </c>
      <c r="Q30" s="457"/>
      <c r="R30" s="458"/>
      <c r="S30" s="537" t="str">
        <f t="shared" si="5"/>
        <v>-</v>
      </c>
      <c r="T30" s="457"/>
      <c r="U30" s="458"/>
      <c r="V30" s="537" t="str">
        <f t="shared" si="6"/>
        <v>-</v>
      </c>
      <c r="W30" s="457"/>
      <c r="X30" s="458"/>
      <c r="Y30" s="537" t="str">
        <f t="shared" si="7"/>
        <v>-</v>
      </c>
      <c r="Z30" s="457"/>
      <c r="AA30" s="458"/>
      <c r="AB30" s="537" t="str">
        <f t="shared" si="8"/>
        <v>-</v>
      </c>
      <c r="AC30" s="1057"/>
      <c r="AD30" s="1058"/>
      <c r="AE30" s="1059" t="str">
        <f t="shared" si="9"/>
        <v>-</v>
      </c>
      <c r="AF30" s="1057"/>
      <c r="AG30" s="1058"/>
      <c r="AH30" s="1059" t="str">
        <f t="shared" si="10"/>
        <v>-</v>
      </c>
      <c r="AI30" s="1057"/>
      <c r="AJ30" s="1058"/>
      <c r="AK30" s="1059" t="str">
        <f t="shared" si="11"/>
        <v>-</v>
      </c>
      <c r="AL30" s="1057"/>
      <c r="AM30" s="1058"/>
      <c r="AN30" s="1059" t="str">
        <f t="shared" si="12"/>
        <v>-</v>
      </c>
      <c r="AO30" s="1057"/>
      <c r="AP30" s="1058"/>
      <c r="AQ30" s="1059" t="str">
        <f t="shared" si="13"/>
        <v>-</v>
      </c>
      <c r="AR30" s="1057"/>
      <c r="AS30" s="458"/>
      <c r="AT30" s="537" t="str">
        <f t="shared" si="0"/>
        <v>-</v>
      </c>
      <c r="AU30" s="1055">
        <f t="shared" si="1"/>
        <v>0</v>
      </c>
    </row>
    <row r="31" spans="1:49" s="511" customFormat="1" ht="15" outlineLevel="1" x14ac:dyDescent="0.25">
      <c r="A31" s="1996"/>
      <c r="B31" s="456"/>
      <c r="C31" s="455" t="s">
        <v>237</v>
      </c>
      <c r="D31" s="1063">
        <f>'Sumář  výdaje kapitol'!BU73+'Sumář  výdaje kapitol'!BY73+'Sumář  výdaje kapitol'!BX73+'Sumář  výdaje kapitol'!BZ73</f>
        <v>9510000</v>
      </c>
      <c r="E31" s="485"/>
      <c r="F31" s="516" t="str">
        <f t="shared" si="16"/>
        <v>-</v>
      </c>
      <c r="G31" s="457">
        <v>7127173</v>
      </c>
      <c r="H31" s="458"/>
      <c r="I31" s="529"/>
      <c r="J31" s="529"/>
      <c r="K31" s="529"/>
      <c r="L31" s="459"/>
      <c r="M31" s="233" t="str">
        <f t="shared" si="18"/>
        <v>-</v>
      </c>
      <c r="N31" s="457">
        <f>580000+2002827</f>
        <v>2582827</v>
      </c>
      <c r="O31" s="458"/>
      <c r="P31" s="537" t="str">
        <f t="shared" si="4"/>
        <v>-</v>
      </c>
      <c r="Q31" s="457"/>
      <c r="R31" s="458"/>
      <c r="S31" s="537" t="str">
        <f t="shared" si="5"/>
        <v>-</v>
      </c>
      <c r="T31" s="457"/>
      <c r="U31" s="458"/>
      <c r="V31" s="537" t="str">
        <f t="shared" si="6"/>
        <v>-</v>
      </c>
      <c r="W31" s="457"/>
      <c r="X31" s="458"/>
      <c r="Y31" s="537" t="str">
        <f t="shared" si="7"/>
        <v>-</v>
      </c>
      <c r="Z31" s="457"/>
      <c r="AA31" s="458"/>
      <c r="AB31" s="537" t="str">
        <f t="shared" si="8"/>
        <v>-</v>
      </c>
      <c r="AC31" s="1057"/>
      <c r="AD31" s="1058"/>
      <c r="AE31" s="1059" t="str">
        <f t="shared" si="9"/>
        <v>-</v>
      </c>
      <c r="AF31" s="1057"/>
      <c r="AG31" s="1058"/>
      <c r="AH31" s="1059" t="str">
        <f t="shared" si="10"/>
        <v>-</v>
      </c>
      <c r="AI31" s="1057"/>
      <c r="AJ31" s="1058"/>
      <c r="AK31" s="1059" t="str">
        <f t="shared" si="11"/>
        <v>-</v>
      </c>
      <c r="AL31" s="1057"/>
      <c r="AM31" s="1058"/>
      <c r="AN31" s="1059" t="str">
        <f t="shared" si="12"/>
        <v>-</v>
      </c>
      <c r="AO31" s="1057"/>
      <c r="AP31" s="1058"/>
      <c r="AQ31" s="1059" t="str">
        <f t="shared" si="13"/>
        <v>-</v>
      </c>
      <c r="AR31" s="1057"/>
      <c r="AS31" s="458"/>
      <c r="AT31" s="537" t="str">
        <f t="shared" si="0"/>
        <v>-</v>
      </c>
      <c r="AU31" s="1055">
        <f t="shared" si="1"/>
        <v>200000</v>
      </c>
    </row>
    <row r="32" spans="1:49" s="511" customFormat="1" ht="15" outlineLevel="1" x14ac:dyDescent="0.25">
      <c r="A32" s="1996"/>
      <c r="B32" s="456"/>
      <c r="C32" s="455" t="s">
        <v>239</v>
      </c>
      <c r="D32" s="457">
        <f>'Sumář  výdaje kapitol'!CA73</f>
        <v>1000000</v>
      </c>
      <c r="E32" s="485"/>
      <c r="F32" s="516" t="str">
        <f t="shared" si="16"/>
        <v>-</v>
      </c>
      <c r="G32" s="457"/>
      <c r="H32" s="458"/>
      <c r="I32" s="529"/>
      <c r="J32" s="529"/>
      <c r="K32" s="529"/>
      <c r="L32" s="459"/>
      <c r="M32" s="233" t="str">
        <f t="shared" si="18"/>
        <v>-</v>
      </c>
      <c r="N32" s="457"/>
      <c r="O32" s="458"/>
      <c r="P32" s="537" t="str">
        <f t="shared" si="4"/>
        <v>-</v>
      </c>
      <c r="Q32" s="457"/>
      <c r="R32" s="458"/>
      <c r="S32" s="537" t="str">
        <f t="shared" si="5"/>
        <v>-</v>
      </c>
      <c r="T32" s="457"/>
      <c r="U32" s="458"/>
      <c r="V32" s="537" t="str">
        <f t="shared" si="6"/>
        <v>-</v>
      </c>
      <c r="W32" s="457"/>
      <c r="X32" s="458"/>
      <c r="Y32" s="537" t="str">
        <f t="shared" si="7"/>
        <v>-</v>
      </c>
      <c r="Z32" s="457">
        <v>500000</v>
      </c>
      <c r="AA32" s="458"/>
      <c r="AB32" s="537" t="str">
        <f t="shared" si="8"/>
        <v>-</v>
      </c>
      <c r="AC32" s="1057"/>
      <c r="AD32" s="1058"/>
      <c r="AE32" s="1059" t="str">
        <f t="shared" si="9"/>
        <v>-</v>
      </c>
      <c r="AF32" s="1057"/>
      <c r="AG32" s="1058"/>
      <c r="AH32" s="1059" t="str">
        <f t="shared" si="10"/>
        <v>-</v>
      </c>
      <c r="AI32" s="1057"/>
      <c r="AJ32" s="1058"/>
      <c r="AK32" s="1059" t="str">
        <f t="shared" si="11"/>
        <v>-</v>
      </c>
      <c r="AL32" s="1057"/>
      <c r="AM32" s="1058"/>
      <c r="AN32" s="1059" t="str">
        <f t="shared" si="12"/>
        <v>-</v>
      </c>
      <c r="AO32" s="1057">
        <v>500000</v>
      </c>
      <c r="AP32" s="1058"/>
      <c r="AQ32" s="1059" t="str">
        <f t="shared" si="13"/>
        <v>-</v>
      </c>
      <c r="AR32" s="1057"/>
      <c r="AS32" s="458"/>
      <c r="AT32" s="537" t="str">
        <f t="shared" si="0"/>
        <v>-</v>
      </c>
      <c r="AU32" s="1055">
        <f t="shared" si="1"/>
        <v>0</v>
      </c>
    </row>
    <row r="33" spans="1:47" s="511" customFormat="1" ht="15" outlineLevel="1" x14ac:dyDescent="0.25">
      <c r="A33" s="1996"/>
      <c r="B33" s="456"/>
      <c r="C33" s="455" t="s">
        <v>498</v>
      </c>
      <c r="D33" s="457">
        <f>'Sumář  výdaje kapitol'!AN73</f>
        <v>14900000</v>
      </c>
      <c r="E33" s="485"/>
      <c r="F33" s="516"/>
      <c r="G33" s="457"/>
      <c r="H33" s="458"/>
      <c r="I33" s="529"/>
      <c r="J33" s="529"/>
      <c r="K33" s="529"/>
      <c r="L33" s="459"/>
      <c r="M33" s="233"/>
      <c r="N33" s="457"/>
      <c r="O33" s="458"/>
      <c r="P33" s="537"/>
      <c r="Q33" s="457"/>
      <c r="R33" s="458"/>
      <c r="S33" s="537"/>
      <c r="T33" s="457">
        <v>6000000</v>
      </c>
      <c r="U33" s="458"/>
      <c r="V33" s="537"/>
      <c r="W33" s="457">
        <v>5000000</v>
      </c>
      <c r="X33" s="458"/>
      <c r="Y33" s="537"/>
      <c r="Z33" s="457">
        <f>5000000+600000</f>
        <v>5600000</v>
      </c>
      <c r="AA33" s="458"/>
      <c r="AB33" s="537"/>
      <c r="AC33" s="1057">
        <v>4800000</v>
      </c>
      <c r="AD33" s="1058"/>
      <c r="AE33" s="1059"/>
      <c r="AF33" s="1057"/>
      <c r="AG33" s="1058"/>
      <c r="AH33" s="1059"/>
      <c r="AI33" s="1057"/>
      <c r="AJ33" s="1058"/>
      <c r="AK33" s="1059"/>
      <c r="AL33" s="1057"/>
      <c r="AM33" s="1058"/>
      <c r="AN33" s="1059"/>
      <c r="AO33" s="1057"/>
      <c r="AP33" s="1058"/>
      <c r="AQ33" s="1059"/>
      <c r="AR33" s="1057"/>
      <c r="AS33" s="458"/>
      <c r="AT33" s="537"/>
      <c r="AU33" s="1055">
        <f t="shared" si="1"/>
        <v>6500000</v>
      </c>
    </row>
    <row r="34" spans="1:47" s="511" customFormat="1" ht="15" outlineLevel="1" x14ac:dyDescent="0.25">
      <c r="A34" s="1996"/>
      <c r="B34" s="456"/>
      <c r="C34" s="455" t="s">
        <v>638</v>
      </c>
      <c r="D34" s="457">
        <f>'Sumář  výdaje kapitol'!CN73</f>
        <v>0</v>
      </c>
      <c r="E34" s="485"/>
      <c r="F34" s="516" t="str">
        <f t="shared" si="16"/>
        <v>-</v>
      </c>
      <c r="G34" s="457"/>
      <c r="H34" s="458"/>
      <c r="I34" s="529"/>
      <c r="J34" s="529"/>
      <c r="K34" s="529"/>
      <c r="L34" s="459"/>
      <c r="M34" s="233" t="str">
        <f t="shared" si="18"/>
        <v>-</v>
      </c>
      <c r="N34" s="457"/>
      <c r="O34" s="458"/>
      <c r="P34" s="537" t="str">
        <f t="shared" si="4"/>
        <v>-</v>
      </c>
      <c r="Q34" s="457"/>
      <c r="R34" s="458"/>
      <c r="S34" s="537" t="str">
        <f t="shared" si="5"/>
        <v>-</v>
      </c>
      <c r="T34" s="457"/>
      <c r="U34" s="458"/>
      <c r="V34" s="537" t="str">
        <f t="shared" si="6"/>
        <v>-</v>
      </c>
      <c r="W34" s="457"/>
      <c r="X34" s="458"/>
      <c r="Y34" s="537" t="str">
        <f t="shared" si="7"/>
        <v>-</v>
      </c>
      <c r="Z34" s="457"/>
      <c r="AA34" s="458"/>
      <c r="AB34" s="537" t="str">
        <f t="shared" si="8"/>
        <v>-</v>
      </c>
      <c r="AC34" s="1057"/>
      <c r="AD34" s="1058"/>
      <c r="AE34" s="1059" t="str">
        <f t="shared" si="9"/>
        <v>-</v>
      </c>
      <c r="AF34" s="1057"/>
      <c r="AG34" s="1058"/>
      <c r="AH34" s="1059" t="str">
        <f t="shared" si="10"/>
        <v>-</v>
      </c>
      <c r="AI34" s="1057"/>
      <c r="AJ34" s="1058"/>
      <c r="AK34" s="1059" t="str">
        <f t="shared" si="11"/>
        <v>-</v>
      </c>
      <c r="AL34" s="1057"/>
      <c r="AM34" s="1058"/>
      <c r="AN34" s="1059" t="str">
        <f t="shared" si="12"/>
        <v>-</v>
      </c>
      <c r="AO34" s="1057"/>
      <c r="AP34" s="1058"/>
      <c r="AQ34" s="1059" t="str">
        <f t="shared" si="13"/>
        <v>-</v>
      </c>
      <c r="AR34" s="1057"/>
      <c r="AS34" s="458"/>
      <c r="AT34" s="537" t="str">
        <f t="shared" si="0"/>
        <v>-</v>
      </c>
      <c r="AU34" s="1055">
        <f t="shared" si="1"/>
        <v>0</v>
      </c>
    </row>
    <row r="35" spans="1:47" s="511" customFormat="1" ht="15" outlineLevel="1" x14ac:dyDescent="0.25">
      <c r="A35" s="1996"/>
      <c r="B35" s="456"/>
      <c r="C35" s="455" t="s">
        <v>245</v>
      </c>
      <c r="D35" s="457">
        <f>'Sumář  výdaje kapitol'!CO73</f>
        <v>222000</v>
      </c>
      <c r="E35" s="485"/>
      <c r="F35" s="516"/>
      <c r="G35" s="457"/>
      <c r="H35" s="458"/>
      <c r="I35" s="529"/>
      <c r="J35" s="529"/>
      <c r="K35" s="529"/>
      <c r="L35" s="459"/>
      <c r="M35" s="233"/>
      <c r="N35" s="457"/>
      <c r="O35" s="458"/>
      <c r="P35" s="537"/>
      <c r="Q35" s="457"/>
      <c r="R35" s="458"/>
      <c r="S35" s="537"/>
      <c r="T35" s="457"/>
      <c r="U35" s="458"/>
      <c r="V35" s="537"/>
      <c r="W35" s="457"/>
      <c r="X35" s="458"/>
      <c r="Y35" s="537"/>
      <c r="Z35" s="457"/>
      <c r="AA35" s="458"/>
      <c r="AB35" s="537"/>
      <c r="AC35" s="1057"/>
      <c r="AD35" s="1058"/>
      <c r="AE35" s="1059"/>
      <c r="AF35" s="1057">
        <v>400000</v>
      </c>
      <c r="AG35" s="1058"/>
      <c r="AH35" s="1059"/>
      <c r="AI35" s="1057"/>
      <c r="AJ35" s="1058"/>
      <c r="AK35" s="1059"/>
      <c r="AL35" s="1057"/>
      <c r="AM35" s="1058"/>
      <c r="AN35" s="1059"/>
      <c r="AO35" s="1057"/>
      <c r="AP35" s="1058"/>
      <c r="AQ35" s="1059"/>
      <c r="AR35" s="1057"/>
      <c r="AS35" s="458"/>
      <c r="AT35" s="537"/>
      <c r="AU35" s="1055">
        <f t="shared" si="1"/>
        <v>178000</v>
      </c>
    </row>
    <row r="36" spans="1:47" s="511" customFormat="1" ht="15" outlineLevel="1" x14ac:dyDescent="0.25">
      <c r="A36" s="1996"/>
      <c r="B36" s="456"/>
      <c r="C36" s="455" t="s">
        <v>458</v>
      </c>
      <c r="D36" s="457">
        <f>'Sumář  výdaje kapitol'!CT73</f>
        <v>2058000</v>
      </c>
      <c r="E36" s="485"/>
      <c r="F36" s="516" t="str">
        <f t="shared" si="16"/>
        <v>-</v>
      </c>
      <c r="G36" s="457"/>
      <c r="H36" s="458"/>
      <c r="I36" s="529"/>
      <c r="J36" s="529"/>
      <c r="K36" s="529"/>
      <c r="L36" s="459"/>
      <c r="M36" s="233" t="str">
        <f t="shared" si="18"/>
        <v>-</v>
      </c>
      <c r="N36" s="457"/>
      <c r="O36" s="458"/>
      <c r="P36" s="537" t="str">
        <f t="shared" si="4"/>
        <v>-</v>
      </c>
      <c r="Q36" s="457"/>
      <c r="R36" s="458"/>
      <c r="S36" s="537" t="str">
        <f t="shared" si="5"/>
        <v>-</v>
      </c>
      <c r="T36" s="457"/>
      <c r="U36" s="458"/>
      <c r="V36" s="537" t="str">
        <f t="shared" si="6"/>
        <v>-</v>
      </c>
      <c r="W36" s="457"/>
      <c r="X36" s="458"/>
      <c r="Y36" s="537" t="str">
        <f t="shared" si="7"/>
        <v>-</v>
      </c>
      <c r="Z36" s="457"/>
      <c r="AA36" s="458"/>
      <c r="AB36" s="537" t="str">
        <f t="shared" si="8"/>
        <v>-</v>
      </c>
      <c r="AC36" s="1057"/>
      <c r="AD36" s="1058"/>
      <c r="AE36" s="1059" t="str">
        <f t="shared" si="9"/>
        <v>-</v>
      </c>
      <c r="AF36" s="1057"/>
      <c r="AG36" s="1058"/>
      <c r="AH36" s="1059" t="str">
        <f t="shared" si="10"/>
        <v>-</v>
      </c>
      <c r="AI36" s="1057"/>
      <c r="AJ36" s="1058"/>
      <c r="AK36" s="1059" t="str">
        <f t="shared" si="11"/>
        <v>-</v>
      </c>
      <c r="AL36" s="1057"/>
      <c r="AM36" s="1058"/>
      <c r="AN36" s="1059" t="str">
        <f t="shared" si="12"/>
        <v>-</v>
      </c>
      <c r="AO36" s="1057"/>
      <c r="AP36" s="1058"/>
      <c r="AQ36" s="1059" t="str">
        <f t="shared" si="13"/>
        <v>-</v>
      </c>
      <c r="AR36" s="1057"/>
      <c r="AS36" s="458"/>
      <c r="AT36" s="537" t="str">
        <f t="shared" si="0"/>
        <v>-</v>
      </c>
      <c r="AU36" s="1055">
        <f t="shared" si="1"/>
        <v>-2058000</v>
      </c>
    </row>
    <row r="37" spans="1:47" s="511" customFormat="1" ht="15" outlineLevel="1" x14ac:dyDescent="0.25">
      <c r="A37" s="1996"/>
      <c r="B37" s="456"/>
      <c r="C37" s="455" t="s">
        <v>247</v>
      </c>
      <c r="D37" s="457">
        <f>'Sumář  výdaje kapitol'!CW73</f>
        <v>90000</v>
      </c>
      <c r="E37" s="485"/>
      <c r="F37" s="516" t="str">
        <f t="shared" si="16"/>
        <v>-</v>
      </c>
      <c r="G37" s="457"/>
      <c r="H37" s="458"/>
      <c r="I37" s="529"/>
      <c r="J37" s="529"/>
      <c r="K37" s="529"/>
      <c r="L37" s="459"/>
      <c r="M37" s="233" t="str">
        <f t="shared" si="18"/>
        <v>-</v>
      </c>
      <c r="N37" s="457"/>
      <c r="O37" s="458"/>
      <c r="P37" s="537" t="str">
        <f t="shared" si="4"/>
        <v>-</v>
      </c>
      <c r="Q37" s="457"/>
      <c r="R37" s="458"/>
      <c r="S37" s="537" t="str">
        <f t="shared" si="5"/>
        <v>-</v>
      </c>
      <c r="T37" s="457"/>
      <c r="U37" s="458"/>
      <c r="V37" s="537" t="str">
        <f t="shared" si="6"/>
        <v>-</v>
      </c>
      <c r="W37" s="457"/>
      <c r="X37" s="458"/>
      <c r="Y37" s="537" t="str">
        <f t="shared" si="7"/>
        <v>-</v>
      </c>
      <c r="Z37" s="457"/>
      <c r="AA37" s="458"/>
      <c r="AB37" s="537" t="str">
        <f t="shared" si="8"/>
        <v>-</v>
      </c>
      <c r="AC37" s="1057"/>
      <c r="AD37" s="1058"/>
      <c r="AE37" s="1059" t="str">
        <f t="shared" si="9"/>
        <v>-</v>
      </c>
      <c r="AF37" s="1057">
        <v>30000</v>
      </c>
      <c r="AG37" s="1058"/>
      <c r="AH37" s="1059" t="str">
        <f t="shared" si="10"/>
        <v>-</v>
      </c>
      <c r="AI37" s="1057"/>
      <c r="AJ37" s="1058"/>
      <c r="AK37" s="1059" t="str">
        <f t="shared" si="11"/>
        <v>-</v>
      </c>
      <c r="AL37" s="1057">
        <v>60000</v>
      </c>
      <c r="AM37" s="1058"/>
      <c r="AN37" s="1059" t="str">
        <f t="shared" si="12"/>
        <v>-</v>
      </c>
      <c r="AO37" s="1057"/>
      <c r="AP37" s="1058"/>
      <c r="AQ37" s="1059" t="str">
        <f t="shared" si="13"/>
        <v>-</v>
      </c>
      <c r="AR37" s="1057"/>
      <c r="AS37" s="458"/>
      <c r="AT37" s="537" t="str">
        <f t="shared" si="0"/>
        <v>-</v>
      </c>
      <c r="AU37" s="1055">
        <f t="shared" si="1"/>
        <v>0</v>
      </c>
    </row>
    <row r="38" spans="1:47" s="511" customFormat="1" ht="15" outlineLevel="1" x14ac:dyDescent="0.25">
      <c r="A38" s="1996"/>
      <c r="B38" s="456"/>
      <c r="C38" s="455" t="s">
        <v>644</v>
      </c>
      <c r="D38" s="457">
        <f>'Sumář  výdaje kapitol'!CX73</f>
        <v>242000</v>
      </c>
      <c r="E38" s="485"/>
      <c r="F38" s="516" t="str">
        <f t="shared" si="16"/>
        <v>-</v>
      </c>
      <c r="G38" s="457"/>
      <c r="H38" s="458"/>
      <c r="I38" s="529"/>
      <c r="J38" s="529"/>
      <c r="K38" s="529"/>
      <c r="L38" s="459"/>
      <c r="M38" s="233" t="str">
        <f t="shared" si="18"/>
        <v>-</v>
      </c>
      <c r="N38" s="457"/>
      <c r="O38" s="458"/>
      <c r="P38" s="537" t="str">
        <f t="shared" si="4"/>
        <v>-</v>
      </c>
      <c r="Q38" s="457">
        <f>100000+170000+450000</f>
        <v>720000</v>
      </c>
      <c r="R38" s="458"/>
      <c r="S38" s="537" t="str">
        <f t="shared" si="5"/>
        <v>-</v>
      </c>
      <c r="T38" s="457"/>
      <c r="U38" s="458"/>
      <c r="V38" s="537" t="str">
        <f t="shared" si="6"/>
        <v>-</v>
      </c>
      <c r="W38" s="457"/>
      <c r="X38" s="458"/>
      <c r="Y38" s="537" t="str">
        <f t="shared" si="7"/>
        <v>-</v>
      </c>
      <c r="Z38" s="457">
        <v>1050000</v>
      </c>
      <c r="AA38" s="458"/>
      <c r="AB38" s="537" t="str">
        <f t="shared" si="8"/>
        <v>-</v>
      </c>
      <c r="AC38" s="1057"/>
      <c r="AD38" s="1058"/>
      <c r="AE38" s="1059" t="str">
        <f t="shared" si="9"/>
        <v>-</v>
      </c>
      <c r="AF38" s="1057"/>
      <c r="AG38" s="1058"/>
      <c r="AH38" s="1059" t="str">
        <f t="shared" si="10"/>
        <v>-</v>
      </c>
      <c r="AI38" s="1057"/>
      <c r="AJ38" s="1058"/>
      <c r="AK38" s="1059" t="str">
        <f t="shared" si="11"/>
        <v>-</v>
      </c>
      <c r="AL38" s="1057"/>
      <c r="AM38" s="1058"/>
      <c r="AN38" s="1059" t="str">
        <f t="shared" si="12"/>
        <v>-</v>
      </c>
      <c r="AO38" s="1057"/>
      <c r="AP38" s="1058"/>
      <c r="AQ38" s="1059" t="str">
        <f t="shared" si="13"/>
        <v>-</v>
      </c>
      <c r="AR38" s="1057"/>
      <c r="AS38" s="458"/>
      <c r="AT38" s="537" t="str">
        <f t="shared" si="0"/>
        <v>-</v>
      </c>
      <c r="AU38" s="1055">
        <f t="shared" si="1"/>
        <v>1528000</v>
      </c>
    </row>
    <row r="39" spans="1:47" s="511" customFormat="1" ht="15" outlineLevel="1" x14ac:dyDescent="0.25">
      <c r="A39" s="1996"/>
      <c r="B39" s="456"/>
      <c r="C39" s="455" t="s">
        <v>231</v>
      </c>
      <c r="D39" s="457">
        <f>'Sumář  výdaje kapitol'!BM73</f>
        <v>254100</v>
      </c>
      <c r="E39" s="485"/>
      <c r="F39" s="516" t="str">
        <f t="shared" si="16"/>
        <v>-</v>
      </c>
      <c r="G39" s="457"/>
      <c r="H39" s="458"/>
      <c r="I39" s="529"/>
      <c r="J39" s="529"/>
      <c r="K39" s="529"/>
      <c r="L39" s="459"/>
      <c r="M39" s="233" t="str">
        <f t="shared" si="18"/>
        <v>-</v>
      </c>
      <c r="N39" s="457"/>
      <c r="O39" s="458"/>
      <c r="P39" s="537" t="str">
        <f t="shared" si="4"/>
        <v>-</v>
      </c>
      <c r="Q39" s="457"/>
      <c r="R39" s="458"/>
      <c r="S39" s="537" t="str">
        <f t="shared" si="5"/>
        <v>-</v>
      </c>
      <c r="T39" s="457"/>
      <c r="U39" s="458"/>
      <c r="V39" s="537" t="str">
        <f t="shared" si="6"/>
        <v>-</v>
      </c>
      <c r="W39" s="457">
        <v>254100</v>
      </c>
      <c r="X39" s="458"/>
      <c r="Y39" s="537" t="str">
        <f t="shared" si="7"/>
        <v>-</v>
      </c>
      <c r="Z39" s="457"/>
      <c r="AA39" s="458"/>
      <c r="AB39" s="537" t="str">
        <f t="shared" si="8"/>
        <v>-</v>
      </c>
      <c r="AC39" s="1057"/>
      <c r="AD39" s="1058"/>
      <c r="AE39" s="1059" t="str">
        <f t="shared" si="9"/>
        <v>-</v>
      </c>
      <c r="AF39" s="1057"/>
      <c r="AG39" s="1058"/>
      <c r="AH39" s="1059" t="str">
        <f t="shared" si="10"/>
        <v>-</v>
      </c>
      <c r="AI39" s="1057"/>
      <c r="AJ39" s="1058"/>
      <c r="AK39" s="1059" t="str">
        <f t="shared" si="11"/>
        <v>-</v>
      </c>
      <c r="AL39" s="1057"/>
      <c r="AM39" s="1058"/>
      <c r="AN39" s="1059" t="str">
        <f t="shared" si="12"/>
        <v>-</v>
      </c>
      <c r="AO39" s="1057"/>
      <c r="AP39" s="1058"/>
      <c r="AQ39" s="1059" t="str">
        <f t="shared" si="13"/>
        <v>-</v>
      </c>
      <c r="AR39" s="1057"/>
      <c r="AS39" s="458"/>
      <c r="AT39" s="537" t="str">
        <f t="shared" si="0"/>
        <v>-</v>
      </c>
      <c r="AU39" s="1055">
        <f t="shared" si="1"/>
        <v>0</v>
      </c>
    </row>
    <row r="40" spans="1:47" s="511" customFormat="1" ht="15" outlineLevel="1" x14ac:dyDescent="0.25">
      <c r="A40" s="1996"/>
      <c r="B40" s="456"/>
      <c r="C40" s="455" t="s">
        <v>645</v>
      </c>
      <c r="D40" s="457">
        <f>'Sumář  výdaje kapitol'!BF73</f>
        <v>280000</v>
      </c>
      <c r="E40" s="485"/>
      <c r="F40" s="516" t="str">
        <f t="shared" si="16"/>
        <v>-</v>
      </c>
      <c r="G40" s="457"/>
      <c r="H40" s="458"/>
      <c r="I40" s="529"/>
      <c r="J40" s="529"/>
      <c r="K40" s="529"/>
      <c r="L40" s="459"/>
      <c r="M40" s="233" t="str">
        <f t="shared" si="18"/>
        <v>-</v>
      </c>
      <c r="N40" s="457"/>
      <c r="O40" s="458"/>
      <c r="P40" s="537" t="str">
        <f t="shared" si="4"/>
        <v>-</v>
      </c>
      <c r="Q40" s="457"/>
      <c r="R40" s="458"/>
      <c r="S40" s="537" t="str">
        <f t="shared" si="5"/>
        <v>-</v>
      </c>
      <c r="T40" s="457"/>
      <c r="U40" s="458"/>
      <c r="V40" s="537" t="str">
        <f t="shared" si="6"/>
        <v>-</v>
      </c>
      <c r="W40" s="457">
        <v>200000</v>
      </c>
      <c r="X40" s="458"/>
      <c r="Y40" s="537" t="str">
        <f t="shared" si="7"/>
        <v>-</v>
      </c>
      <c r="Z40" s="457"/>
      <c r="AA40" s="458"/>
      <c r="AB40" s="537" t="str">
        <f t="shared" si="8"/>
        <v>-</v>
      </c>
      <c r="AC40" s="1057"/>
      <c r="AD40" s="1058"/>
      <c r="AE40" s="1059" t="str">
        <f t="shared" si="9"/>
        <v>-</v>
      </c>
      <c r="AF40" s="1057">
        <v>80000</v>
      </c>
      <c r="AG40" s="1058"/>
      <c r="AH40" s="1059" t="str">
        <f t="shared" si="10"/>
        <v>-</v>
      </c>
      <c r="AI40" s="1057"/>
      <c r="AJ40" s="1058"/>
      <c r="AK40" s="1059" t="str">
        <f t="shared" si="11"/>
        <v>-</v>
      </c>
      <c r="AL40" s="1057"/>
      <c r="AM40" s="1058"/>
      <c r="AN40" s="1059" t="str">
        <f t="shared" si="12"/>
        <v>-</v>
      </c>
      <c r="AO40" s="1057"/>
      <c r="AP40" s="1058"/>
      <c r="AQ40" s="1059" t="str">
        <f t="shared" si="13"/>
        <v>-</v>
      </c>
      <c r="AR40" s="1057"/>
      <c r="AS40" s="458"/>
      <c r="AT40" s="537" t="str">
        <f t="shared" si="0"/>
        <v>-</v>
      </c>
      <c r="AU40" s="1055">
        <f t="shared" si="1"/>
        <v>0</v>
      </c>
    </row>
    <row r="41" spans="1:47" s="511" customFormat="1" ht="15" outlineLevel="1" x14ac:dyDescent="0.25">
      <c r="A41" s="1996"/>
      <c r="B41" s="456"/>
      <c r="C41" s="455" t="s">
        <v>224</v>
      </c>
      <c r="D41" s="457">
        <f>'Sumář  výdaje kapitol'!AQ73</f>
        <v>8910629</v>
      </c>
      <c r="E41" s="485"/>
      <c r="F41" s="516" t="str">
        <f t="shared" si="16"/>
        <v>-</v>
      </c>
      <c r="G41" s="457">
        <v>3422000</v>
      </c>
      <c r="H41" s="458"/>
      <c r="I41" s="529"/>
      <c r="J41" s="529"/>
      <c r="K41" s="529"/>
      <c r="L41" s="459"/>
      <c r="M41" s="233" t="str">
        <f t="shared" si="18"/>
        <v>-</v>
      </c>
      <c r="N41" s="457"/>
      <c r="O41" s="458"/>
      <c r="P41" s="537" t="str">
        <f t="shared" si="4"/>
        <v>-</v>
      </c>
      <c r="Q41" s="457">
        <v>808387</v>
      </c>
      <c r="R41" s="458"/>
      <c r="S41" s="537" t="str">
        <f t="shared" si="5"/>
        <v>-</v>
      </c>
      <c r="T41" s="457">
        <v>120000</v>
      </c>
      <c r="U41" s="458"/>
      <c r="V41" s="537" t="str">
        <f t="shared" si="6"/>
        <v>-</v>
      </c>
      <c r="W41" s="457">
        <v>800000</v>
      </c>
      <c r="X41" s="458"/>
      <c r="Y41" s="537" t="str">
        <f t="shared" si="7"/>
        <v>-</v>
      </c>
      <c r="Z41" s="457">
        <v>1700000</v>
      </c>
      <c r="AA41" s="458"/>
      <c r="AB41" s="537" t="str">
        <f t="shared" si="8"/>
        <v>-</v>
      </c>
      <c r="AC41" s="1057"/>
      <c r="AD41" s="1058"/>
      <c r="AE41" s="1059" t="str">
        <f t="shared" si="9"/>
        <v>-</v>
      </c>
      <c r="AF41" s="1057">
        <v>362942</v>
      </c>
      <c r="AG41" s="1058"/>
      <c r="AH41" s="1059" t="str">
        <f t="shared" si="10"/>
        <v>-</v>
      </c>
      <c r="AI41" s="1057"/>
      <c r="AJ41" s="1058"/>
      <c r="AK41" s="1059" t="str">
        <f t="shared" si="11"/>
        <v>-</v>
      </c>
      <c r="AL41" s="1057"/>
      <c r="AM41" s="1058"/>
      <c r="AN41" s="1059" t="str">
        <f t="shared" si="12"/>
        <v>-</v>
      </c>
      <c r="AO41" s="1057"/>
      <c r="AP41" s="1058"/>
      <c r="AQ41" s="1059" t="str">
        <f t="shared" si="13"/>
        <v>-</v>
      </c>
      <c r="AR41" s="1057"/>
      <c r="AS41" s="458"/>
      <c r="AT41" s="537" t="str">
        <f t="shared" si="0"/>
        <v>-</v>
      </c>
      <c r="AU41" s="1055">
        <f t="shared" si="1"/>
        <v>-1697300</v>
      </c>
    </row>
    <row r="42" spans="1:47" s="511" customFormat="1" ht="15" outlineLevel="1" x14ac:dyDescent="0.25">
      <c r="A42" s="1996"/>
      <c r="B42" s="456"/>
      <c r="C42" s="455" t="s">
        <v>219</v>
      </c>
      <c r="D42" s="457">
        <f>'Sumář  výdaje kapitol'!AH73</f>
        <v>80000</v>
      </c>
      <c r="E42" s="485"/>
      <c r="F42" s="516" t="str">
        <f t="shared" si="16"/>
        <v>-</v>
      </c>
      <c r="G42" s="457"/>
      <c r="H42" s="458"/>
      <c r="I42" s="529"/>
      <c r="J42" s="529"/>
      <c r="K42" s="529"/>
      <c r="L42" s="459"/>
      <c r="M42" s="233" t="str">
        <f t="shared" si="18"/>
        <v>-</v>
      </c>
      <c r="N42" s="457"/>
      <c r="O42" s="458"/>
      <c r="P42" s="537" t="str">
        <f t="shared" si="4"/>
        <v>-</v>
      </c>
      <c r="Q42" s="457"/>
      <c r="R42" s="458"/>
      <c r="S42" s="537" t="str">
        <f t="shared" si="5"/>
        <v>-</v>
      </c>
      <c r="T42" s="457"/>
      <c r="U42" s="458"/>
      <c r="V42" s="537" t="str">
        <f t="shared" si="6"/>
        <v>-</v>
      </c>
      <c r="W42" s="457"/>
      <c r="X42" s="458"/>
      <c r="Y42" s="537" t="str">
        <f t="shared" si="7"/>
        <v>-</v>
      </c>
      <c r="Z42" s="457"/>
      <c r="AA42" s="458"/>
      <c r="AB42" s="537" t="str">
        <f t="shared" si="8"/>
        <v>-</v>
      </c>
      <c r="AC42" s="1057"/>
      <c r="AD42" s="1058"/>
      <c r="AE42" s="1059" t="str">
        <f t="shared" si="9"/>
        <v>-</v>
      </c>
      <c r="AF42" s="1057">
        <v>80000</v>
      </c>
      <c r="AG42" s="1058"/>
      <c r="AH42" s="1059" t="str">
        <f t="shared" si="10"/>
        <v>-</v>
      </c>
      <c r="AI42" s="1057"/>
      <c r="AJ42" s="1058"/>
      <c r="AK42" s="1059" t="str">
        <f t="shared" si="11"/>
        <v>-</v>
      </c>
      <c r="AL42" s="1057"/>
      <c r="AM42" s="1058"/>
      <c r="AN42" s="1059" t="str">
        <f t="shared" si="12"/>
        <v>-</v>
      </c>
      <c r="AO42" s="1057"/>
      <c r="AP42" s="1058"/>
      <c r="AQ42" s="1059" t="str">
        <f t="shared" si="13"/>
        <v>-</v>
      </c>
      <c r="AR42" s="1057"/>
      <c r="AS42" s="458"/>
      <c r="AT42" s="537" t="str">
        <f t="shared" si="0"/>
        <v>-</v>
      </c>
      <c r="AU42" s="1055">
        <f t="shared" si="1"/>
        <v>0</v>
      </c>
    </row>
    <row r="43" spans="1:47" s="511" customFormat="1" ht="15" outlineLevel="1" x14ac:dyDescent="0.25">
      <c r="A43" s="1996"/>
      <c r="B43" s="456"/>
      <c r="C43" s="455" t="s">
        <v>222</v>
      </c>
      <c r="D43" s="457">
        <f>'Sumář  výdaje kapitol'!AK73</f>
        <v>350000</v>
      </c>
      <c r="E43" s="485"/>
      <c r="F43" s="516" t="str">
        <f t="shared" si="16"/>
        <v>-</v>
      </c>
      <c r="G43" s="457"/>
      <c r="H43" s="458"/>
      <c r="I43" s="529"/>
      <c r="J43" s="529"/>
      <c r="K43" s="529"/>
      <c r="L43" s="459"/>
      <c r="M43" s="233" t="str">
        <f t="shared" si="18"/>
        <v>-</v>
      </c>
      <c r="N43" s="457"/>
      <c r="O43" s="458"/>
      <c r="P43" s="537" t="str">
        <f t="shared" si="4"/>
        <v>-</v>
      </c>
      <c r="Q43" s="457"/>
      <c r="R43" s="458"/>
      <c r="S43" s="537" t="str">
        <f t="shared" si="5"/>
        <v>-</v>
      </c>
      <c r="T43" s="457"/>
      <c r="U43" s="458"/>
      <c r="V43" s="537" t="str">
        <f t="shared" si="6"/>
        <v>-</v>
      </c>
      <c r="W43" s="457"/>
      <c r="X43" s="458"/>
      <c r="Y43" s="537" t="str">
        <f t="shared" si="7"/>
        <v>-</v>
      </c>
      <c r="Z43" s="457">
        <v>80000</v>
      </c>
      <c r="AA43" s="458"/>
      <c r="AB43" s="537" t="str">
        <f t="shared" si="8"/>
        <v>-</v>
      </c>
      <c r="AC43" s="1057">
        <v>270000</v>
      </c>
      <c r="AD43" s="1058"/>
      <c r="AE43" s="1059" t="str">
        <f t="shared" si="9"/>
        <v>-</v>
      </c>
      <c r="AF43" s="1057"/>
      <c r="AG43" s="1058"/>
      <c r="AH43" s="1059" t="str">
        <f t="shared" si="10"/>
        <v>-</v>
      </c>
      <c r="AI43" s="1057"/>
      <c r="AJ43" s="1058"/>
      <c r="AK43" s="1059" t="str">
        <f t="shared" si="11"/>
        <v>-</v>
      </c>
      <c r="AL43" s="1057"/>
      <c r="AM43" s="1058"/>
      <c r="AN43" s="1059" t="str">
        <f t="shared" si="12"/>
        <v>-</v>
      </c>
      <c r="AO43" s="1057"/>
      <c r="AP43" s="1058"/>
      <c r="AQ43" s="1059" t="str">
        <f t="shared" si="13"/>
        <v>-</v>
      </c>
      <c r="AR43" s="1057"/>
      <c r="AS43" s="458"/>
      <c r="AT43" s="537" t="str">
        <f t="shared" si="0"/>
        <v>-</v>
      </c>
      <c r="AU43" s="1055">
        <f t="shared" si="1"/>
        <v>0</v>
      </c>
    </row>
    <row r="44" spans="1:47" s="511" customFormat="1" ht="15" outlineLevel="1" x14ac:dyDescent="0.25">
      <c r="A44" s="1996"/>
      <c r="B44" s="456"/>
      <c r="C44" s="455" t="s">
        <v>225</v>
      </c>
      <c r="D44" s="457">
        <f>'Sumář  výdaje kapitol'!AT73</f>
        <v>70000</v>
      </c>
      <c r="E44" s="485"/>
      <c r="F44" s="516" t="str">
        <f t="shared" si="16"/>
        <v>-</v>
      </c>
      <c r="G44" s="457"/>
      <c r="H44" s="458"/>
      <c r="I44" s="529"/>
      <c r="J44" s="529"/>
      <c r="K44" s="529"/>
      <c r="L44" s="459"/>
      <c r="M44" s="233" t="str">
        <f t="shared" si="18"/>
        <v>-</v>
      </c>
      <c r="N44" s="457"/>
      <c r="O44" s="458"/>
      <c r="P44" s="537" t="str">
        <f t="shared" si="4"/>
        <v>-</v>
      </c>
      <c r="Q44" s="457"/>
      <c r="R44" s="458"/>
      <c r="S44" s="537" t="str">
        <f t="shared" si="5"/>
        <v>-</v>
      </c>
      <c r="T44" s="457"/>
      <c r="U44" s="458"/>
      <c r="V44" s="537" t="str">
        <f t="shared" si="6"/>
        <v>-</v>
      </c>
      <c r="W44" s="457"/>
      <c r="X44" s="458"/>
      <c r="Y44" s="537" t="str">
        <f t="shared" si="7"/>
        <v>-</v>
      </c>
      <c r="Z44" s="457"/>
      <c r="AA44" s="458"/>
      <c r="AB44" s="537" t="str">
        <f t="shared" si="8"/>
        <v>-</v>
      </c>
      <c r="AC44" s="1057">
        <v>70000</v>
      </c>
      <c r="AD44" s="1058"/>
      <c r="AE44" s="1059" t="str">
        <f t="shared" si="9"/>
        <v>-</v>
      </c>
      <c r="AF44" s="1057"/>
      <c r="AG44" s="1058"/>
      <c r="AH44" s="1059" t="str">
        <f t="shared" si="10"/>
        <v>-</v>
      </c>
      <c r="AI44" s="1057"/>
      <c r="AJ44" s="1058"/>
      <c r="AK44" s="1059" t="str">
        <f t="shared" si="11"/>
        <v>-</v>
      </c>
      <c r="AL44" s="1057"/>
      <c r="AM44" s="1058"/>
      <c r="AN44" s="1059" t="str">
        <f t="shared" si="12"/>
        <v>-</v>
      </c>
      <c r="AO44" s="1057"/>
      <c r="AP44" s="1058"/>
      <c r="AQ44" s="1059" t="str">
        <f t="shared" si="13"/>
        <v>-</v>
      </c>
      <c r="AR44" s="1057"/>
      <c r="AS44" s="458"/>
      <c r="AT44" s="537" t="str">
        <f t="shared" si="0"/>
        <v>-</v>
      </c>
      <c r="AU44" s="1055">
        <f t="shared" si="1"/>
        <v>0</v>
      </c>
    </row>
    <row r="45" spans="1:47" s="511" customFormat="1" ht="15" outlineLevel="1" x14ac:dyDescent="0.25">
      <c r="A45" s="1996"/>
      <c r="B45" s="456"/>
      <c r="C45" s="455" t="s">
        <v>228</v>
      </c>
      <c r="D45" s="457">
        <f>'Sumář  výdaje kapitol'!BC73</f>
        <v>2287000</v>
      </c>
      <c r="E45" s="485"/>
      <c r="F45" s="516" t="str">
        <f t="shared" si="16"/>
        <v>-</v>
      </c>
      <c r="G45" s="457">
        <v>3500000</v>
      </c>
      <c r="H45" s="458"/>
      <c r="I45" s="529"/>
      <c r="J45" s="529"/>
      <c r="K45" s="529"/>
      <c r="L45" s="459"/>
      <c r="M45" s="233" t="str">
        <f t="shared" si="18"/>
        <v>-</v>
      </c>
      <c r="N45" s="457"/>
      <c r="O45" s="458"/>
      <c r="P45" s="537" t="str">
        <f t="shared" si="4"/>
        <v>-</v>
      </c>
      <c r="Q45" s="457"/>
      <c r="R45" s="458"/>
      <c r="S45" s="537" t="str">
        <f t="shared" si="5"/>
        <v>-</v>
      </c>
      <c r="T45" s="457"/>
      <c r="U45" s="458"/>
      <c r="V45" s="537" t="str">
        <f t="shared" si="6"/>
        <v>-</v>
      </c>
      <c r="W45" s="457"/>
      <c r="X45" s="458"/>
      <c r="Y45" s="537" t="str">
        <f t="shared" si="7"/>
        <v>-</v>
      </c>
      <c r="Z45" s="457"/>
      <c r="AA45" s="458"/>
      <c r="AB45" s="537" t="str">
        <f t="shared" si="8"/>
        <v>-</v>
      </c>
      <c r="AC45" s="1057"/>
      <c r="AD45" s="1058"/>
      <c r="AE45" s="1059" t="str">
        <f t="shared" si="9"/>
        <v>-</v>
      </c>
      <c r="AF45" s="1057"/>
      <c r="AG45" s="1058"/>
      <c r="AH45" s="1059" t="str">
        <f t="shared" si="10"/>
        <v>-</v>
      </c>
      <c r="AI45" s="1057"/>
      <c r="AJ45" s="1058"/>
      <c r="AK45" s="1059" t="str">
        <f t="shared" si="11"/>
        <v>-</v>
      </c>
      <c r="AL45" s="1057"/>
      <c r="AM45" s="1058"/>
      <c r="AN45" s="1059" t="str">
        <f t="shared" si="12"/>
        <v>-</v>
      </c>
      <c r="AO45" s="1057"/>
      <c r="AP45" s="1058"/>
      <c r="AQ45" s="1059" t="str">
        <f t="shared" si="13"/>
        <v>-</v>
      </c>
      <c r="AR45" s="1057"/>
      <c r="AS45" s="458"/>
      <c r="AT45" s="537" t="str">
        <f t="shared" si="0"/>
        <v>-</v>
      </c>
      <c r="AU45" s="1055">
        <f t="shared" si="1"/>
        <v>1213000</v>
      </c>
    </row>
    <row r="46" spans="1:47" s="511" customFormat="1" ht="15" outlineLevel="1" x14ac:dyDescent="0.25">
      <c r="A46" s="1996"/>
      <c r="B46" s="456"/>
      <c r="C46" s="455" t="s">
        <v>550</v>
      </c>
      <c r="D46" s="457">
        <f>'Sumář  výdaje kapitol'!BJ73</f>
        <v>530000</v>
      </c>
      <c r="E46" s="485"/>
      <c r="F46" s="516" t="str">
        <f t="shared" si="16"/>
        <v>-</v>
      </c>
      <c r="G46" s="457"/>
      <c r="H46" s="458"/>
      <c r="I46" s="529"/>
      <c r="J46" s="529"/>
      <c r="K46" s="529"/>
      <c r="L46" s="459"/>
      <c r="M46" s="233" t="str">
        <f t="shared" si="18"/>
        <v>-</v>
      </c>
      <c r="N46" s="457"/>
      <c r="O46" s="458"/>
      <c r="P46" s="537" t="str">
        <f t="shared" si="4"/>
        <v>-</v>
      </c>
      <c r="Q46" s="457">
        <v>300000</v>
      </c>
      <c r="R46" s="458"/>
      <c r="S46" s="537" t="str">
        <f t="shared" si="5"/>
        <v>-</v>
      </c>
      <c r="T46" s="457"/>
      <c r="U46" s="458"/>
      <c r="V46" s="537" t="str">
        <f t="shared" si="6"/>
        <v>-</v>
      </c>
      <c r="W46" s="457">
        <v>400000</v>
      </c>
      <c r="X46" s="458"/>
      <c r="Y46" s="537" t="str">
        <f t="shared" si="7"/>
        <v>-</v>
      </c>
      <c r="Z46" s="457"/>
      <c r="AA46" s="458"/>
      <c r="AB46" s="537" t="str">
        <f t="shared" si="8"/>
        <v>-</v>
      </c>
      <c r="AC46" s="1057">
        <v>130000</v>
      </c>
      <c r="AD46" s="1058"/>
      <c r="AE46" s="1059" t="str">
        <f t="shared" si="9"/>
        <v>-</v>
      </c>
      <c r="AF46" s="1057"/>
      <c r="AG46" s="1058"/>
      <c r="AH46" s="1059" t="str">
        <f t="shared" si="10"/>
        <v>-</v>
      </c>
      <c r="AI46" s="1057"/>
      <c r="AJ46" s="1058"/>
      <c r="AK46" s="1059" t="str">
        <f t="shared" si="11"/>
        <v>-</v>
      </c>
      <c r="AL46" s="1057"/>
      <c r="AM46" s="1058"/>
      <c r="AN46" s="1059" t="str">
        <f t="shared" si="12"/>
        <v>-</v>
      </c>
      <c r="AO46" s="1057"/>
      <c r="AP46" s="1058"/>
      <c r="AQ46" s="1059" t="str">
        <f t="shared" si="13"/>
        <v>-</v>
      </c>
      <c r="AR46" s="1057"/>
      <c r="AS46" s="458"/>
      <c r="AT46" s="537" t="str">
        <f t="shared" si="0"/>
        <v>-</v>
      </c>
      <c r="AU46" s="1055">
        <f t="shared" si="1"/>
        <v>300000</v>
      </c>
    </row>
    <row r="47" spans="1:47" s="511" customFormat="1" ht="15" outlineLevel="1" x14ac:dyDescent="0.25">
      <c r="A47" s="1996"/>
      <c r="B47" s="456"/>
      <c r="C47" s="455" t="s">
        <v>977</v>
      </c>
      <c r="D47" s="457">
        <f>'Sumář  výdaje kapitol'!N73</f>
        <v>11248745</v>
      </c>
      <c r="E47" s="485"/>
      <c r="F47" s="516" t="str">
        <f t="shared" si="16"/>
        <v>-</v>
      </c>
      <c r="G47" s="457"/>
      <c r="H47" s="458"/>
      <c r="I47" s="529"/>
      <c r="J47" s="529"/>
      <c r="K47" s="529"/>
      <c r="L47" s="459"/>
      <c r="M47" s="233" t="str">
        <f t="shared" si="18"/>
        <v>-</v>
      </c>
      <c r="N47" s="457"/>
      <c r="O47" s="458"/>
      <c r="P47" s="537" t="str">
        <f t="shared" si="4"/>
        <v>-</v>
      </c>
      <c r="Q47" s="457"/>
      <c r="R47" s="458"/>
      <c r="S47" s="537" t="str">
        <f t="shared" si="5"/>
        <v>-</v>
      </c>
      <c r="T47" s="457">
        <v>10123871</v>
      </c>
      <c r="U47" s="458"/>
      <c r="V47" s="537" t="str">
        <f t="shared" si="6"/>
        <v>-</v>
      </c>
      <c r="W47" s="457"/>
      <c r="X47" s="458"/>
      <c r="Y47" s="537" t="str">
        <f t="shared" si="7"/>
        <v>-</v>
      </c>
      <c r="Z47" s="457"/>
      <c r="AA47" s="458"/>
      <c r="AB47" s="537" t="str">
        <f t="shared" si="8"/>
        <v>-</v>
      </c>
      <c r="AC47" s="1057">
        <v>1400000</v>
      </c>
      <c r="AD47" s="1058"/>
      <c r="AE47" s="1059" t="str">
        <f t="shared" si="9"/>
        <v>-</v>
      </c>
      <c r="AF47" s="1057"/>
      <c r="AG47" s="1058"/>
      <c r="AH47" s="1059" t="str">
        <f t="shared" si="10"/>
        <v>-</v>
      </c>
      <c r="AI47" s="1057"/>
      <c r="AJ47" s="1058"/>
      <c r="AK47" s="1059" t="str">
        <f t="shared" si="11"/>
        <v>-</v>
      </c>
      <c r="AL47" s="1057"/>
      <c r="AM47" s="1058"/>
      <c r="AN47" s="1059" t="str">
        <f t="shared" si="12"/>
        <v>-</v>
      </c>
      <c r="AO47" s="1057"/>
      <c r="AP47" s="1058"/>
      <c r="AQ47" s="1059" t="str">
        <f t="shared" si="13"/>
        <v>-</v>
      </c>
      <c r="AR47" s="1057">
        <v>74874</v>
      </c>
      <c r="AS47" s="458"/>
      <c r="AT47" s="537" t="str">
        <f t="shared" si="0"/>
        <v>-</v>
      </c>
      <c r="AU47" s="1055">
        <f t="shared" si="1"/>
        <v>350000</v>
      </c>
    </row>
    <row r="48" spans="1:47" s="511" customFormat="1" ht="15" outlineLevel="1" x14ac:dyDescent="0.25">
      <c r="A48" s="1996"/>
      <c r="B48" s="456"/>
      <c r="C48" s="455" t="s">
        <v>201</v>
      </c>
      <c r="D48" s="457">
        <v>1117800</v>
      </c>
      <c r="E48" s="485"/>
      <c r="F48" s="516"/>
      <c r="G48" s="457"/>
      <c r="H48" s="458"/>
      <c r="I48" s="529"/>
      <c r="J48" s="529"/>
      <c r="K48" s="529"/>
      <c r="L48" s="459"/>
      <c r="M48" s="233"/>
      <c r="N48" s="457"/>
      <c r="O48" s="458"/>
      <c r="P48" s="537"/>
      <c r="Q48" s="457">
        <v>1117800</v>
      </c>
      <c r="R48" s="458"/>
      <c r="S48" s="537"/>
      <c r="T48" s="457"/>
      <c r="U48" s="458"/>
      <c r="V48" s="537"/>
      <c r="W48" s="457"/>
      <c r="X48" s="458"/>
      <c r="Y48" s="537"/>
      <c r="Z48" s="457"/>
      <c r="AA48" s="458"/>
      <c r="AB48" s="537"/>
      <c r="AC48" s="1057"/>
      <c r="AD48" s="1058"/>
      <c r="AE48" s="1059"/>
      <c r="AF48" s="1057"/>
      <c r="AG48" s="1058"/>
      <c r="AH48" s="1059"/>
      <c r="AI48" s="1057"/>
      <c r="AJ48" s="1058"/>
      <c r="AK48" s="1059"/>
      <c r="AL48" s="1057"/>
      <c r="AM48" s="1058"/>
      <c r="AN48" s="1059"/>
      <c r="AO48" s="1057"/>
      <c r="AP48" s="1058"/>
      <c r="AQ48" s="1059"/>
      <c r="AR48" s="1057"/>
      <c r="AS48" s="458"/>
      <c r="AT48" s="537"/>
      <c r="AU48" s="1055">
        <f t="shared" si="1"/>
        <v>0</v>
      </c>
    </row>
    <row r="49" spans="1:47" s="511" customFormat="1" ht="15" outlineLevel="1" x14ac:dyDescent="0.25">
      <c r="A49" s="1996"/>
      <c r="B49" s="456"/>
      <c r="C49" s="455" t="s">
        <v>179</v>
      </c>
      <c r="D49" s="457">
        <f>'Sumář  výdaje kapitol'!L68+'Sumář  výdaje kapitol'!BQ68</f>
        <v>584500</v>
      </c>
      <c r="E49" s="485"/>
      <c r="F49" s="516" t="str">
        <f t="shared" si="16"/>
        <v>-</v>
      </c>
      <c r="G49" s="457"/>
      <c r="H49" s="458"/>
      <c r="I49" s="529"/>
      <c r="J49" s="529"/>
      <c r="K49" s="529"/>
      <c r="L49" s="459"/>
      <c r="M49" s="233" t="str">
        <f t="shared" si="18"/>
        <v>-</v>
      </c>
      <c r="N49" s="457"/>
      <c r="O49" s="458"/>
      <c r="P49" s="537" t="str">
        <f t="shared" si="4"/>
        <v>-</v>
      </c>
      <c r="Q49" s="457"/>
      <c r="R49" s="458"/>
      <c r="S49" s="537" t="str">
        <f t="shared" si="5"/>
        <v>-</v>
      </c>
      <c r="T49" s="457"/>
      <c r="U49" s="458"/>
      <c r="V49" s="537" t="str">
        <f t="shared" si="6"/>
        <v>-</v>
      </c>
      <c r="W49" s="1057">
        <f>1577700-477700</f>
        <v>1100000</v>
      </c>
      <c r="X49" s="458"/>
      <c r="Y49" s="537" t="str">
        <f t="shared" si="7"/>
        <v>-</v>
      </c>
      <c r="Z49" s="457"/>
      <c r="AA49" s="458"/>
      <c r="AB49" s="537" t="str">
        <f t="shared" si="8"/>
        <v>-</v>
      </c>
      <c r="AC49" s="1057"/>
      <c r="AD49" s="1058"/>
      <c r="AE49" s="1059" t="str">
        <f t="shared" si="9"/>
        <v>-</v>
      </c>
      <c r="AF49" s="1057"/>
      <c r="AG49" s="1058"/>
      <c r="AH49" s="1059" t="str">
        <f t="shared" si="10"/>
        <v>-</v>
      </c>
      <c r="AI49" s="1057"/>
      <c r="AJ49" s="1058"/>
      <c r="AK49" s="1059" t="str">
        <f t="shared" si="11"/>
        <v>-</v>
      </c>
      <c r="AL49" s="1057"/>
      <c r="AM49" s="1058"/>
      <c r="AN49" s="1059" t="str">
        <f t="shared" si="12"/>
        <v>-</v>
      </c>
      <c r="AO49" s="1057"/>
      <c r="AP49" s="1058"/>
      <c r="AQ49" s="1059" t="str">
        <f t="shared" si="13"/>
        <v>-</v>
      </c>
      <c r="AR49" s="1057"/>
      <c r="AS49" s="458"/>
      <c r="AT49" s="537" t="str">
        <f t="shared" si="0"/>
        <v>-</v>
      </c>
      <c r="AU49" s="1055">
        <f t="shared" si="1"/>
        <v>515500</v>
      </c>
    </row>
    <row r="50" spans="1:47" s="549" customFormat="1" ht="15.75" thickBot="1" x14ac:dyDescent="0.3">
      <c r="A50" s="1996"/>
      <c r="B50" s="1987" t="s">
        <v>784</v>
      </c>
      <c r="C50" s="1988"/>
      <c r="D50" s="550">
        <f>D21+D22+D23-D24</f>
        <v>-51429169.579999983</v>
      </c>
      <c r="E50" s="551">
        <f>E21+E22+E23-E24</f>
        <v>0</v>
      </c>
      <c r="F50" s="558" t="str">
        <f t="shared" ref="F50:F55" si="19">IF(OR(D50=0,E50=0),"-",IF(D50&lt;0,(E50/D50-1),E50/D50))</f>
        <v>-</v>
      </c>
      <c r="G50" s="550">
        <f t="shared" ref="G50:L50" si="20">G21+G22+G23-G24</f>
        <v>8439591.0705031604</v>
      </c>
      <c r="H50" s="553">
        <f t="shared" si="20"/>
        <v>27000000</v>
      </c>
      <c r="I50" s="554">
        <f t="shared" si="20"/>
        <v>27000000</v>
      </c>
      <c r="J50" s="554">
        <f t="shared" si="20"/>
        <v>27000000</v>
      </c>
      <c r="K50" s="554">
        <f t="shared" si="20"/>
        <v>27000000</v>
      </c>
      <c r="L50" s="555">
        <f t="shared" si="20"/>
        <v>27000000</v>
      </c>
      <c r="M50" s="559">
        <f>IF(OR(G50=0,L50=0),"-",IF(G50&lt;0,(L50/G50-1),L50/G50))</f>
        <v>3.1992071386452006</v>
      </c>
      <c r="N50" s="550">
        <f>N21+N22+N23-N24</f>
        <v>17512601.478254277</v>
      </c>
      <c r="O50" s="553">
        <f>O21+O22+O23-O24</f>
        <v>19643396.833836496</v>
      </c>
      <c r="P50" s="560">
        <f t="shared" si="4"/>
        <v>1.1216721204001625</v>
      </c>
      <c r="Q50" s="550">
        <f>Q21+Q22+Q23-Q24</f>
        <v>14471024.170700412</v>
      </c>
      <c r="R50" s="553">
        <f>R21+R22+R23-R24</f>
        <v>19881567.811587609</v>
      </c>
      <c r="S50" s="560">
        <f t="shared" si="5"/>
        <v>1.3738880936873814</v>
      </c>
      <c r="T50" s="550">
        <f>T21+T22+T23-T24</f>
        <v>-2344732.7115594167</v>
      </c>
      <c r="U50" s="553">
        <f>U21+U22+U23-U24</f>
        <v>15065550.504033746</v>
      </c>
      <c r="V50" s="560">
        <f t="shared" si="6"/>
        <v>-7.4252741601468362</v>
      </c>
      <c r="W50" s="550">
        <f>W21+W22+W23-W24</f>
        <v>-11063432.805168055</v>
      </c>
      <c r="X50" s="553">
        <f>X21+X22+X23-X24</f>
        <v>4038208.6217739163</v>
      </c>
      <c r="Y50" s="560">
        <f t="shared" si="7"/>
        <v>-1.3650050298933936</v>
      </c>
      <c r="Z50" s="550">
        <f>Z21+Z22+Z23-Z24</f>
        <v>-8287274.6546799466</v>
      </c>
      <c r="AA50" s="553">
        <f>AA21+AA22+AA23-AA24</f>
        <v>-2377293.471834721</v>
      </c>
      <c r="AB50" s="560">
        <f t="shared" si="8"/>
        <v>-0.71313929236166573</v>
      </c>
      <c r="AC50" s="550">
        <f>AC21+AC22+AC23-AC24</f>
        <v>-6662799.7584642787</v>
      </c>
      <c r="AD50" s="553">
        <f>AD21+AD22+AD23-AD24</f>
        <v>3430591.6786533874</v>
      </c>
      <c r="AE50" s="560">
        <f t="shared" si="9"/>
        <v>-1.5148874051475487</v>
      </c>
      <c r="AF50" s="550">
        <f>AF21+AF22+AF23-AF24</f>
        <v>-11994227.980500186</v>
      </c>
      <c r="AG50" s="553">
        <f>AG21+AG22+AG23-AG24</f>
        <v>-413557.42513094563</v>
      </c>
      <c r="AH50" s="560">
        <f t="shared" si="10"/>
        <v>-0.9655202964456493</v>
      </c>
      <c r="AI50" s="550">
        <f>AI21+AI22+AI23-AI24</f>
        <v>-2957671.4419996217</v>
      </c>
      <c r="AJ50" s="553">
        <f>AJ21+AJ22+AJ23-AJ24</f>
        <v>-2944985.6471668519</v>
      </c>
      <c r="AK50" s="560">
        <f t="shared" si="11"/>
        <v>-4.2891156376021478E-3</v>
      </c>
      <c r="AL50" s="550">
        <f>AL21+AL22+AL23-AL24</f>
        <v>-3297210.4995492753</v>
      </c>
      <c r="AM50" s="553">
        <f>AM21+AM22+AM23-AM24</f>
        <v>-3908429.1086662882</v>
      </c>
      <c r="AN50" s="560">
        <f t="shared" si="12"/>
        <v>0.18537445795485774</v>
      </c>
      <c r="AO50" s="550">
        <f>AO21+AO22+AO23-AO24</f>
        <v>5371182.1730023902</v>
      </c>
      <c r="AP50" s="553">
        <f>AP21+AP22+AP23-AP24</f>
        <v>-4247968.1662159422</v>
      </c>
      <c r="AQ50" s="560">
        <f t="shared" si="13"/>
        <v>-0.79088141667729128</v>
      </c>
      <c r="AR50" s="550">
        <f>AR21+AR22+AR23-AR24</f>
        <v>4590758.2693270929</v>
      </c>
      <c r="AS50" s="553">
        <f>AS21+AS22+AS23-AS24</f>
        <v>0</v>
      </c>
      <c r="AT50" s="560" t="str">
        <f t="shared" si="0"/>
        <v>-</v>
      </c>
      <c r="AU50" s="1055"/>
    </row>
    <row r="51" spans="1:47" ht="18" customHeight="1" x14ac:dyDescent="0.25">
      <c r="A51" s="1997" t="s">
        <v>366</v>
      </c>
      <c r="B51" s="456"/>
      <c r="C51" s="505" t="s">
        <v>186</v>
      </c>
      <c r="D51" s="490">
        <f>+'Souhrn příjmů a výdajů 2018'!H227</f>
        <v>11409092</v>
      </c>
      <c r="E51" s="491"/>
      <c r="F51" s="516" t="str">
        <f t="shared" si="19"/>
        <v>-</v>
      </c>
      <c r="G51" s="490">
        <f>+$D$51/12</f>
        <v>950757.66666666663</v>
      </c>
      <c r="H51" s="520"/>
      <c r="I51" s="525"/>
      <c r="J51" s="525"/>
      <c r="K51" s="525"/>
      <c r="L51" s="492"/>
      <c r="M51" s="233" t="str">
        <f>IF(OR(G51=0,L51=0),"-",IF(G51&lt;0,(L51/G51-1),L51/G51))</f>
        <v>-</v>
      </c>
      <c r="N51" s="490">
        <f>+$D$51/12</f>
        <v>950757.66666666663</v>
      </c>
      <c r="O51" s="520"/>
      <c r="P51" s="537" t="str">
        <f t="shared" si="4"/>
        <v>-</v>
      </c>
      <c r="Q51" s="490">
        <f>+$D$51/12</f>
        <v>950757.66666666663</v>
      </c>
      <c r="R51" s="520"/>
      <c r="S51" s="537" t="str">
        <f t="shared" si="5"/>
        <v>-</v>
      </c>
      <c r="T51" s="490">
        <f>+$D$51/12</f>
        <v>950757.66666666663</v>
      </c>
      <c r="U51" s="520"/>
      <c r="V51" s="537" t="str">
        <f t="shared" si="6"/>
        <v>-</v>
      </c>
      <c r="W51" s="490">
        <f>+$D$51/12</f>
        <v>950757.66666666663</v>
      </c>
      <c r="X51" s="520"/>
      <c r="Y51" s="537" t="str">
        <f t="shared" si="7"/>
        <v>-</v>
      </c>
      <c r="Z51" s="490">
        <f>+$D$51/12</f>
        <v>950757.66666666663</v>
      </c>
      <c r="AA51" s="520"/>
      <c r="AB51" s="537" t="str">
        <f t="shared" si="8"/>
        <v>-</v>
      </c>
      <c r="AC51" s="490">
        <f>+$D$51/12</f>
        <v>950757.66666666663</v>
      </c>
      <c r="AD51" s="520"/>
      <c r="AE51" s="537" t="str">
        <f t="shared" si="9"/>
        <v>-</v>
      </c>
      <c r="AF51" s="490">
        <f>+$D$51/12</f>
        <v>950757.66666666663</v>
      </c>
      <c r="AG51" s="520"/>
      <c r="AH51" s="537" t="str">
        <f t="shared" si="10"/>
        <v>-</v>
      </c>
      <c r="AI51" s="490">
        <f>+$D$51/12</f>
        <v>950757.66666666663</v>
      </c>
      <c r="AJ51" s="520"/>
      <c r="AK51" s="537" t="str">
        <f t="shared" si="11"/>
        <v>-</v>
      </c>
      <c r="AL51" s="490">
        <f>+$D$51/12</f>
        <v>950757.66666666663</v>
      </c>
      <c r="AM51" s="520"/>
      <c r="AN51" s="537" t="str">
        <f t="shared" si="12"/>
        <v>-</v>
      </c>
      <c r="AO51" s="490">
        <f>+$D$51/12</f>
        <v>950757.66666666663</v>
      </c>
      <c r="AP51" s="520"/>
      <c r="AQ51" s="537" t="str">
        <f t="shared" si="13"/>
        <v>-</v>
      </c>
      <c r="AR51" s="490">
        <f>+$D$51/12</f>
        <v>950757.66666666663</v>
      </c>
      <c r="AS51" s="520"/>
      <c r="AT51" s="537" t="str">
        <f t="shared" si="0"/>
        <v>-</v>
      </c>
      <c r="AU51" s="1055">
        <f t="shared" si="1"/>
        <v>0</v>
      </c>
    </row>
    <row r="52" spans="1:47" ht="16.5" customHeight="1" x14ac:dyDescent="0.25">
      <c r="A52" s="1993"/>
      <c r="B52" s="456"/>
      <c r="C52" s="505" t="s">
        <v>785</v>
      </c>
      <c r="D52" s="490">
        <f>-'Souhrn příjmů a výdajů 2018'!H152</f>
        <v>-63858791</v>
      </c>
      <c r="E52" s="491"/>
      <c r="F52" s="516" t="str">
        <f t="shared" si="19"/>
        <v>-</v>
      </c>
      <c r="G52" s="490">
        <v>-12154563.43</v>
      </c>
      <c r="H52" s="520"/>
      <c r="I52" s="525"/>
      <c r="J52" s="525"/>
      <c r="K52" s="525"/>
      <c r="L52" s="492"/>
      <c r="M52" s="233" t="s">
        <v>982</v>
      </c>
      <c r="N52" s="490">
        <v>-3319724</v>
      </c>
      <c r="O52" s="520"/>
      <c r="P52" s="537" t="s">
        <v>982</v>
      </c>
      <c r="Q52" s="490">
        <v>-1545284</v>
      </c>
      <c r="R52" s="520"/>
      <c r="S52" s="537" t="s">
        <v>982</v>
      </c>
      <c r="T52" s="490">
        <v>-7333699</v>
      </c>
      <c r="U52" s="520"/>
      <c r="V52" s="537" t="s">
        <v>982</v>
      </c>
      <c r="W52" s="490">
        <v>-9636897</v>
      </c>
      <c r="X52" s="520"/>
      <c r="Y52" s="537" t="s">
        <v>982</v>
      </c>
      <c r="Z52" s="490">
        <v>-12668624</v>
      </c>
      <c r="AA52" s="520"/>
      <c r="AB52" s="537" t="s">
        <v>982</v>
      </c>
      <c r="AC52" s="490">
        <v>-7200000</v>
      </c>
      <c r="AD52" s="520"/>
      <c r="AE52" s="537" t="s">
        <v>982</v>
      </c>
      <c r="AF52" s="490">
        <v>-10000000</v>
      </c>
      <c r="AG52" s="520"/>
      <c r="AH52" s="537" t="str">
        <f t="shared" si="10"/>
        <v>-</v>
      </c>
      <c r="AI52" s="490"/>
      <c r="AJ52" s="520"/>
      <c r="AK52" s="537" t="str">
        <f t="shared" si="11"/>
        <v>-</v>
      </c>
      <c r="AL52" s="490"/>
      <c r="AM52" s="520"/>
      <c r="AN52" s="537" t="str">
        <f t="shared" si="12"/>
        <v>-</v>
      </c>
      <c r="AO52" s="490"/>
      <c r="AP52" s="520"/>
      <c r="AQ52" s="537" t="str">
        <f t="shared" si="13"/>
        <v>-</v>
      </c>
      <c r="AR52" s="490"/>
      <c r="AS52" s="520"/>
      <c r="AT52" s="537" t="str">
        <f t="shared" si="0"/>
        <v>-</v>
      </c>
      <c r="AU52" s="1055">
        <f t="shared" si="1"/>
        <v>-0.42999999970197678</v>
      </c>
    </row>
    <row r="53" spans="1:47" ht="12.75" customHeight="1" x14ac:dyDescent="0.25">
      <c r="A53" s="1993"/>
      <c r="B53" s="456"/>
      <c r="C53" s="505" t="s">
        <v>786</v>
      </c>
      <c r="D53" s="490"/>
      <c r="E53" s="491"/>
      <c r="F53" s="516" t="str">
        <f t="shared" si="19"/>
        <v>-</v>
      </c>
      <c r="G53" s="490"/>
      <c r="H53" s="520"/>
      <c r="I53" s="525"/>
      <c r="J53" s="525"/>
      <c r="K53" s="525"/>
      <c r="L53" s="492"/>
      <c r="M53" s="233" t="str">
        <f>IF(OR(G53=0,L53=0),"-",IF(G53&lt;0,(L53/G53-1),L53/G53))</f>
        <v>-</v>
      </c>
      <c r="N53" s="490"/>
      <c r="O53" s="520"/>
      <c r="P53" s="537" t="str">
        <f t="shared" si="4"/>
        <v>-</v>
      </c>
      <c r="Q53" s="490"/>
      <c r="R53" s="520"/>
      <c r="S53" s="537" t="str">
        <f t="shared" si="5"/>
        <v>-</v>
      </c>
      <c r="T53" s="490"/>
      <c r="U53" s="520"/>
      <c r="V53" s="537" t="str">
        <f t="shared" si="6"/>
        <v>-</v>
      </c>
      <c r="W53" s="490"/>
      <c r="X53" s="520"/>
      <c r="Y53" s="537" t="str">
        <f t="shared" si="7"/>
        <v>-</v>
      </c>
      <c r="Z53" s="490"/>
      <c r="AA53" s="520"/>
      <c r="AB53" s="537" t="str">
        <f t="shared" si="8"/>
        <v>-</v>
      </c>
      <c r="AC53" s="490"/>
      <c r="AD53" s="520"/>
      <c r="AE53" s="537" t="str">
        <f t="shared" si="9"/>
        <v>-</v>
      </c>
      <c r="AF53" s="490"/>
      <c r="AG53" s="520"/>
      <c r="AH53" s="537" t="str">
        <f t="shared" si="10"/>
        <v>-</v>
      </c>
      <c r="AI53" s="490"/>
      <c r="AJ53" s="520"/>
      <c r="AK53" s="537" t="str">
        <f t="shared" si="11"/>
        <v>-</v>
      </c>
      <c r="AL53" s="490"/>
      <c r="AM53" s="520"/>
      <c r="AN53" s="537" t="str">
        <f t="shared" si="12"/>
        <v>-</v>
      </c>
      <c r="AO53" s="490"/>
      <c r="AP53" s="520"/>
      <c r="AQ53" s="537" t="str">
        <f t="shared" si="13"/>
        <v>-</v>
      </c>
      <c r="AR53" s="490"/>
      <c r="AS53" s="520"/>
      <c r="AT53" s="537" t="str">
        <f t="shared" si="0"/>
        <v>-</v>
      </c>
      <c r="AU53" s="1055">
        <f t="shared" si="1"/>
        <v>0</v>
      </c>
    </row>
    <row r="54" spans="1:47" ht="20.25" customHeight="1" thickBot="1" x14ac:dyDescent="0.3">
      <c r="A54" s="1994"/>
      <c r="B54" s="1989" t="s">
        <v>787</v>
      </c>
      <c r="C54" s="1990"/>
      <c r="D54" s="506">
        <f>+D51+D52+D53</f>
        <v>-52449699</v>
      </c>
      <c r="E54" s="507">
        <f>+E51+E52+E53</f>
        <v>0</v>
      </c>
      <c r="F54" s="515" t="str">
        <f t="shared" si="19"/>
        <v>-</v>
      </c>
      <c r="G54" s="506">
        <f t="shared" ref="G54:L54" si="21">+G51+G52+G53</f>
        <v>-11203805.763333334</v>
      </c>
      <c r="H54" s="523">
        <f t="shared" si="21"/>
        <v>0</v>
      </c>
      <c r="I54" s="528">
        <f t="shared" si="21"/>
        <v>0</v>
      </c>
      <c r="J54" s="528">
        <f t="shared" si="21"/>
        <v>0</v>
      </c>
      <c r="K54" s="528">
        <f t="shared" si="21"/>
        <v>0</v>
      </c>
      <c r="L54" s="508">
        <f t="shared" si="21"/>
        <v>0</v>
      </c>
      <c r="M54" s="531" t="str">
        <f>IF(OR(G54=0,L54=0),"-",IF(G54&lt;0,(L54/G54-1),L54/G54))</f>
        <v>-</v>
      </c>
      <c r="N54" s="506">
        <f>+N51+N52+N53</f>
        <v>-2368966.3333333335</v>
      </c>
      <c r="O54" s="523">
        <f>+O51+O52+O53</f>
        <v>0</v>
      </c>
      <c r="P54" s="540" t="str">
        <f t="shared" si="4"/>
        <v>-</v>
      </c>
      <c r="Q54" s="506">
        <f>+Q51+Q52+Q53</f>
        <v>-594526.33333333337</v>
      </c>
      <c r="R54" s="523">
        <f>+R51+R52+R53</f>
        <v>0</v>
      </c>
      <c r="S54" s="540" t="str">
        <f t="shared" si="5"/>
        <v>-</v>
      </c>
      <c r="T54" s="506">
        <f>+T51+T52+T53</f>
        <v>-6382941.333333333</v>
      </c>
      <c r="U54" s="523">
        <f>+U51+U52+U53</f>
        <v>0</v>
      </c>
      <c r="V54" s="540" t="str">
        <f t="shared" si="6"/>
        <v>-</v>
      </c>
      <c r="W54" s="506">
        <f>+W51+W52+W53</f>
        <v>-8686139.333333334</v>
      </c>
      <c r="X54" s="523">
        <f>+X51+X52+X53</f>
        <v>0</v>
      </c>
      <c r="Y54" s="540" t="str">
        <f t="shared" si="7"/>
        <v>-</v>
      </c>
      <c r="Z54" s="506">
        <f>+Z51+Z52+Z53</f>
        <v>-11717866.333333334</v>
      </c>
      <c r="AA54" s="523">
        <f>+AA51+AA52+AA53</f>
        <v>0</v>
      </c>
      <c r="AB54" s="540" t="str">
        <f t="shared" si="8"/>
        <v>-</v>
      </c>
      <c r="AC54" s="506">
        <f>+AC51+AC52+AC53</f>
        <v>-6249242.333333333</v>
      </c>
      <c r="AD54" s="523">
        <f>+AD51+AD52+AD53</f>
        <v>0</v>
      </c>
      <c r="AE54" s="540" t="str">
        <f t="shared" si="9"/>
        <v>-</v>
      </c>
      <c r="AF54" s="506">
        <f>+AF51+AF52+AF53</f>
        <v>-9049242.333333334</v>
      </c>
      <c r="AG54" s="523">
        <f>+AG51+AG52+AG53</f>
        <v>0</v>
      </c>
      <c r="AH54" s="540" t="str">
        <f t="shared" si="10"/>
        <v>-</v>
      </c>
      <c r="AI54" s="506">
        <f>+AI51+AI52+AI53</f>
        <v>950757.66666666663</v>
      </c>
      <c r="AJ54" s="523">
        <f>+AJ51+AJ52+AJ53</f>
        <v>0</v>
      </c>
      <c r="AK54" s="540" t="str">
        <f t="shared" si="11"/>
        <v>-</v>
      </c>
      <c r="AL54" s="506">
        <f>+AL51+AL52+AL53</f>
        <v>950757.66666666663</v>
      </c>
      <c r="AM54" s="523">
        <f>+AM51+AM52+AM53</f>
        <v>0</v>
      </c>
      <c r="AN54" s="540" t="str">
        <f t="shared" si="12"/>
        <v>-</v>
      </c>
      <c r="AO54" s="506">
        <f>+AO51+AO52+AO53</f>
        <v>950757.66666666663</v>
      </c>
      <c r="AP54" s="523">
        <f>+AP51+AP52+AP53</f>
        <v>0</v>
      </c>
      <c r="AQ54" s="540" t="str">
        <f t="shared" si="13"/>
        <v>-</v>
      </c>
      <c r="AR54" s="506">
        <f>+AR51+AR52+AR53</f>
        <v>950757.66666666663</v>
      </c>
      <c r="AS54" s="523">
        <f>+AS51+AS52+AS53</f>
        <v>0</v>
      </c>
      <c r="AT54" s="540" t="str">
        <f t="shared" si="0"/>
        <v>-</v>
      </c>
      <c r="AU54" s="1055">
        <f t="shared" si="1"/>
        <v>-0.43000001460313797</v>
      </c>
    </row>
    <row r="55" spans="1:47" s="549" customFormat="1" ht="15.75" customHeight="1" thickBot="1" x14ac:dyDescent="0.25">
      <c r="B55" s="1991" t="s">
        <v>199</v>
      </c>
      <c r="C55" s="1992"/>
      <c r="D55" s="561">
        <f>D50-D54</f>
        <v>1020529.4200000167</v>
      </c>
      <c r="E55" s="562">
        <f>E5+E50-E54</f>
        <v>27000000</v>
      </c>
      <c r="F55" s="563">
        <f t="shared" si="19"/>
        <v>26.456856089459485</v>
      </c>
      <c r="G55" s="561">
        <f t="shared" ref="G55:AR55" si="22">G50-G54</f>
        <v>19643396.833836496</v>
      </c>
      <c r="H55" s="564">
        <f t="shared" si="22"/>
        <v>27000000</v>
      </c>
      <c r="I55" s="565">
        <f t="shared" si="22"/>
        <v>27000000</v>
      </c>
      <c r="J55" s="565">
        <f t="shared" si="22"/>
        <v>27000000</v>
      </c>
      <c r="K55" s="565">
        <f t="shared" si="22"/>
        <v>27000000</v>
      </c>
      <c r="L55" s="566">
        <f t="shared" si="22"/>
        <v>27000000</v>
      </c>
      <c r="M55" s="563" t="e">
        <f t="shared" si="22"/>
        <v>#VALUE!</v>
      </c>
      <c r="N55" s="561">
        <f t="shared" si="22"/>
        <v>19881567.811587609</v>
      </c>
      <c r="O55" s="564">
        <f t="shared" si="22"/>
        <v>19643396.833836496</v>
      </c>
      <c r="P55" s="567" t="e">
        <f t="shared" si="22"/>
        <v>#VALUE!</v>
      </c>
      <c r="Q55" s="561">
        <f t="shared" si="22"/>
        <v>15065550.504033746</v>
      </c>
      <c r="R55" s="564">
        <f t="shared" si="22"/>
        <v>19881567.811587609</v>
      </c>
      <c r="S55" s="567" t="e">
        <f t="shared" si="22"/>
        <v>#VALUE!</v>
      </c>
      <c r="T55" s="561">
        <f t="shared" si="22"/>
        <v>4038208.6217739163</v>
      </c>
      <c r="U55" s="564">
        <f t="shared" si="22"/>
        <v>15065550.504033746</v>
      </c>
      <c r="V55" s="567" t="e">
        <f t="shared" si="22"/>
        <v>#VALUE!</v>
      </c>
      <c r="W55" s="561">
        <f t="shared" si="22"/>
        <v>-2377293.471834721</v>
      </c>
      <c r="X55" s="564">
        <f t="shared" si="22"/>
        <v>4038208.6217739163</v>
      </c>
      <c r="Y55" s="567" t="e">
        <f t="shared" si="22"/>
        <v>#VALUE!</v>
      </c>
      <c r="Z55" s="561">
        <f t="shared" si="22"/>
        <v>3430591.6786533874</v>
      </c>
      <c r="AA55" s="564">
        <f t="shared" si="22"/>
        <v>-2377293.471834721</v>
      </c>
      <c r="AB55" s="567" t="e">
        <f t="shared" si="22"/>
        <v>#VALUE!</v>
      </c>
      <c r="AC55" s="1060">
        <f t="shared" si="22"/>
        <v>-413557.42513094563</v>
      </c>
      <c r="AD55" s="1061">
        <f t="shared" si="22"/>
        <v>3430591.6786533874</v>
      </c>
      <c r="AE55" s="1062" t="e">
        <f t="shared" si="22"/>
        <v>#VALUE!</v>
      </c>
      <c r="AF55" s="1060">
        <f t="shared" si="22"/>
        <v>-2944985.6471668519</v>
      </c>
      <c r="AG55" s="1061">
        <f t="shared" si="22"/>
        <v>-413557.42513094563</v>
      </c>
      <c r="AH55" s="1062" t="e">
        <f t="shared" si="22"/>
        <v>#VALUE!</v>
      </c>
      <c r="AI55" s="1060">
        <f t="shared" si="22"/>
        <v>-3908429.1086662882</v>
      </c>
      <c r="AJ55" s="1061">
        <f t="shared" si="22"/>
        <v>-2944985.6471668519</v>
      </c>
      <c r="AK55" s="1062" t="e">
        <f t="shared" si="22"/>
        <v>#VALUE!</v>
      </c>
      <c r="AL55" s="1060">
        <f t="shared" si="22"/>
        <v>-4247968.1662159422</v>
      </c>
      <c r="AM55" s="1061">
        <f t="shared" si="22"/>
        <v>-3908429.1086662882</v>
      </c>
      <c r="AN55" s="1062" t="e">
        <f t="shared" si="22"/>
        <v>#VALUE!</v>
      </c>
      <c r="AO55" s="1060">
        <f t="shared" si="22"/>
        <v>4420424.5063357232</v>
      </c>
      <c r="AP55" s="1061">
        <f t="shared" si="22"/>
        <v>-4247968.1662159422</v>
      </c>
      <c r="AQ55" s="1062" t="e">
        <f t="shared" si="22"/>
        <v>#VALUE!</v>
      </c>
      <c r="AR55" s="1060">
        <f t="shared" si="22"/>
        <v>3640000.6026604264</v>
      </c>
      <c r="AS55" s="564">
        <f>AS5+AS50-AS54</f>
        <v>4420424.5063357232</v>
      </c>
      <c r="AT55" s="567">
        <f t="shared" si="0"/>
        <v>1.2144021358416524</v>
      </c>
      <c r="AU55" s="1055"/>
    </row>
    <row r="56" spans="1:47" x14ac:dyDescent="0.2">
      <c r="D56" s="496">
        <f>+D51+D24+D18+D19+D20+D10</f>
        <v>241824528.57999998</v>
      </c>
    </row>
    <row r="57" spans="1:47" x14ac:dyDescent="0.2">
      <c r="D57" s="496">
        <f>'Sumář  výdaje kapitol'!I78</f>
        <v>246802838</v>
      </c>
    </row>
    <row r="58" spans="1:47" s="497" customFormat="1" x14ac:dyDescent="0.2">
      <c r="A58" s="497" t="s">
        <v>1028</v>
      </c>
      <c r="B58" s="495"/>
      <c r="C58" s="495"/>
      <c r="D58" s="496">
        <f>+D57-D56</f>
        <v>4978309.4200000167</v>
      </c>
      <c r="E58" s="496"/>
      <c r="F58" s="512"/>
      <c r="AU58" s="1056"/>
    </row>
    <row r="59" spans="1:47" s="497" customFormat="1" x14ac:dyDescent="0.2">
      <c r="B59" s="495"/>
      <c r="C59" s="495"/>
      <c r="D59" s="496"/>
      <c r="E59" s="496"/>
      <c r="F59" s="512"/>
      <c r="AU59" s="1056"/>
    </row>
    <row r="60" spans="1:47" s="497" customFormat="1" x14ac:dyDescent="0.2">
      <c r="B60" s="495"/>
      <c r="C60" s="495"/>
      <c r="D60" s="496"/>
      <c r="E60" s="496"/>
      <c r="F60" s="512"/>
      <c r="AU60" s="1056"/>
    </row>
    <row r="61" spans="1:47" s="497" customFormat="1" x14ac:dyDescent="0.2">
      <c r="B61" s="495"/>
      <c r="C61" s="495"/>
      <c r="D61" s="496"/>
      <c r="E61" s="496"/>
      <c r="F61" s="512"/>
      <c r="AU61" s="1056"/>
    </row>
    <row r="62" spans="1:47" s="497" customFormat="1" x14ac:dyDescent="0.2">
      <c r="B62" s="495"/>
      <c r="C62" s="495"/>
      <c r="D62" s="496"/>
      <c r="E62" s="496"/>
      <c r="F62" s="512"/>
      <c r="AU62" s="1056"/>
    </row>
    <row r="63" spans="1:47" s="497" customFormat="1" x14ac:dyDescent="0.2">
      <c r="B63" s="495"/>
      <c r="C63" s="495"/>
      <c r="D63" s="496"/>
      <c r="E63" s="496"/>
      <c r="F63" s="512"/>
      <c r="AU63" s="1056"/>
    </row>
    <row r="64" spans="1:47" s="497" customFormat="1" x14ac:dyDescent="0.2">
      <c r="B64" s="495"/>
      <c r="C64" s="495"/>
      <c r="D64" s="496"/>
      <c r="E64" s="496"/>
      <c r="F64" s="512"/>
      <c r="AU64" s="1056"/>
    </row>
    <row r="65" spans="2:47" s="497" customFormat="1" x14ac:dyDescent="0.2">
      <c r="B65" s="495"/>
      <c r="C65" s="495"/>
      <c r="D65" s="496"/>
      <c r="E65" s="496"/>
      <c r="F65" s="512"/>
      <c r="AU65" s="1056"/>
    </row>
    <row r="66" spans="2:47" s="497" customFormat="1" x14ac:dyDescent="0.2">
      <c r="B66" s="495"/>
      <c r="C66" s="495"/>
      <c r="D66" s="496"/>
      <c r="E66" s="496"/>
      <c r="F66" s="512"/>
      <c r="AU66" s="1056"/>
    </row>
    <row r="67" spans="2:47" s="497" customFormat="1" x14ac:dyDescent="0.2">
      <c r="B67" s="495"/>
      <c r="C67" s="495"/>
      <c r="D67" s="496"/>
      <c r="E67" s="496"/>
      <c r="F67" s="512"/>
      <c r="AU67" s="1056"/>
    </row>
    <row r="68" spans="2:47" s="497" customFormat="1" x14ac:dyDescent="0.2">
      <c r="B68" s="495"/>
      <c r="C68" s="495"/>
      <c r="D68" s="496"/>
      <c r="E68" s="496"/>
      <c r="F68" s="512"/>
      <c r="AU68" s="1056"/>
    </row>
    <row r="69" spans="2:47" s="497" customFormat="1" x14ac:dyDescent="0.2">
      <c r="B69" s="495"/>
      <c r="C69" s="495"/>
      <c r="D69" s="496"/>
      <c r="E69" s="496"/>
      <c r="F69" s="512"/>
      <c r="AU69" s="1056"/>
    </row>
    <row r="70" spans="2:47" s="497" customFormat="1" x14ac:dyDescent="0.2">
      <c r="B70" s="495"/>
      <c r="C70" s="495"/>
      <c r="D70" s="496"/>
      <c r="E70" s="496"/>
      <c r="F70" s="512"/>
      <c r="AU70" s="1056"/>
    </row>
    <row r="71" spans="2:47" s="497" customFormat="1" x14ac:dyDescent="0.2">
      <c r="B71" s="495"/>
      <c r="C71" s="495"/>
      <c r="D71" s="496"/>
      <c r="E71" s="496"/>
      <c r="F71" s="512"/>
      <c r="AU71" s="1056"/>
    </row>
    <row r="72" spans="2:47" s="497" customFormat="1" x14ac:dyDescent="0.2">
      <c r="B72" s="495"/>
      <c r="C72" s="495"/>
      <c r="D72" s="496"/>
      <c r="E72" s="496"/>
      <c r="F72" s="512"/>
      <c r="AU72" s="1056"/>
    </row>
    <row r="73" spans="2:47" s="497" customFormat="1" x14ac:dyDescent="0.2">
      <c r="B73" s="495"/>
      <c r="C73" s="495"/>
      <c r="D73" s="496"/>
      <c r="E73" s="496"/>
      <c r="F73" s="512"/>
      <c r="AU73" s="1056"/>
    </row>
    <row r="74" spans="2:47" s="497" customFormat="1" x14ac:dyDescent="0.2">
      <c r="B74" s="495"/>
      <c r="C74" s="495"/>
      <c r="D74" s="496"/>
      <c r="E74" s="496"/>
      <c r="F74" s="512"/>
      <c r="AU74" s="1056"/>
    </row>
    <row r="75" spans="2:47" s="497" customFormat="1" x14ac:dyDescent="0.2">
      <c r="B75" s="495"/>
      <c r="C75" s="495"/>
      <c r="D75" s="496"/>
      <c r="E75" s="496"/>
      <c r="F75" s="512"/>
      <c r="AU75" s="1056"/>
    </row>
    <row r="76" spans="2:47" s="497" customFormat="1" x14ac:dyDescent="0.2">
      <c r="B76" s="495"/>
      <c r="C76" s="495"/>
      <c r="D76" s="496"/>
      <c r="E76" s="496"/>
      <c r="F76" s="512"/>
      <c r="AU76" s="1056"/>
    </row>
    <row r="77" spans="2:47" s="497" customFormat="1" x14ac:dyDescent="0.2">
      <c r="B77" s="495"/>
      <c r="C77" s="495"/>
      <c r="D77" s="496"/>
      <c r="E77" s="496"/>
      <c r="F77" s="512"/>
      <c r="AU77" s="1056"/>
    </row>
    <row r="78" spans="2:47" s="497" customFormat="1" x14ac:dyDescent="0.2">
      <c r="B78" s="495"/>
      <c r="C78" s="495"/>
      <c r="D78" s="496"/>
      <c r="E78" s="496"/>
      <c r="F78" s="512"/>
      <c r="AU78" s="1056"/>
    </row>
    <row r="79" spans="2:47" s="497" customFormat="1" x14ac:dyDescent="0.2">
      <c r="B79" s="495"/>
      <c r="C79" s="495"/>
      <c r="D79" s="496"/>
      <c r="E79" s="496"/>
      <c r="F79" s="512"/>
      <c r="AU79" s="1056"/>
    </row>
    <row r="80" spans="2:47" s="497" customFormat="1" x14ac:dyDescent="0.2">
      <c r="B80" s="495"/>
      <c r="C80" s="495"/>
      <c r="D80" s="496"/>
      <c r="E80" s="496"/>
      <c r="F80" s="512"/>
      <c r="AU80" s="1056"/>
    </row>
    <row r="81" spans="2:47" s="497" customFormat="1" x14ac:dyDescent="0.2">
      <c r="B81" s="495"/>
      <c r="C81" s="495"/>
      <c r="D81" s="496"/>
      <c r="E81" s="496"/>
      <c r="F81" s="512"/>
      <c r="AU81" s="1056"/>
    </row>
    <row r="82" spans="2:47" s="497" customFormat="1" x14ac:dyDescent="0.2">
      <c r="B82" s="495"/>
      <c r="C82" s="495"/>
      <c r="D82" s="496"/>
      <c r="E82" s="496"/>
      <c r="F82" s="512"/>
      <c r="AU82" s="1056"/>
    </row>
    <row r="83" spans="2:47" s="497" customFormat="1" x14ac:dyDescent="0.2">
      <c r="B83" s="495"/>
      <c r="C83" s="495"/>
      <c r="D83" s="496"/>
      <c r="E83" s="496"/>
      <c r="F83" s="512"/>
      <c r="AU83" s="1056"/>
    </row>
    <row r="84" spans="2:47" s="497" customFormat="1" x14ac:dyDescent="0.2">
      <c r="B84" s="495"/>
      <c r="C84" s="495"/>
      <c r="D84" s="496"/>
      <c r="E84" s="496"/>
      <c r="F84" s="512"/>
      <c r="AU84" s="1056"/>
    </row>
    <row r="85" spans="2:47" s="497" customFormat="1" x14ac:dyDescent="0.2">
      <c r="B85" s="495"/>
      <c r="C85" s="495"/>
      <c r="D85" s="496"/>
      <c r="E85" s="496"/>
      <c r="F85" s="512"/>
      <c r="AU85" s="1056"/>
    </row>
    <row r="86" spans="2:47" s="497" customFormat="1" x14ac:dyDescent="0.2">
      <c r="B86" s="495"/>
      <c r="C86" s="495"/>
      <c r="D86" s="496"/>
      <c r="E86" s="496"/>
      <c r="F86" s="512"/>
      <c r="AU86" s="1056"/>
    </row>
    <row r="87" spans="2:47" s="497" customFormat="1" x14ac:dyDescent="0.2">
      <c r="B87" s="495"/>
      <c r="C87" s="495"/>
      <c r="D87" s="496"/>
      <c r="E87" s="496"/>
      <c r="F87" s="512"/>
      <c r="AU87" s="1056"/>
    </row>
    <row r="88" spans="2:47" s="497" customFormat="1" x14ac:dyDescent="0.2">
      <c r="B88" s="495"/>
      <c r="C88" s="495"/>
      <c r="D88" s="496"/>
      <c r="E88" s="496"/>
      <c r="F88" s="512"/>
      <c r="AU88" s="1056"/>
    </row>
    <row r="89" spans="2:47" s="497" customFormat="1" x14ac:dyDescent="0.2">
      <c r="B89" s="495"/>
      <c r="C89" s="495"/>
      <c r="D89" s="496"/>
      <c r="E89" s="496"/>
      <c r="F89" s="512"/>
      <c r="AU89" s="1056"/>
    </row>
    <row r="90" spans="2:47" s="497" customFormat="1" x14ac:dyDescent="0.2">
      <c r="B90" s="495"/>
      <c r="C90" s="495"/>
      <c r="D90" s="496"/>
      <c r="E90" s="496"/>
      <c r="F90" s="512"/>
      <c r="AU90" s="1056"/>
    </row>
    <row r="91" spans="2:47" s="497" customFormat="1" x14ac:dyDescent="0.2">
      <c r="B91" s="495"/>
      <c r="C91" s="495"/>
      <c r="D91" s="496"/>
      <c r="E91" s="496"/>
      <c r="F91" s="512"/>
      <c r="AU91" s="1056"/>
    </row>
    <row r="92" spans="2:47" s="497" customFormat="1" x14ac:dyDescent="0.2">
      <c r="B92" s="495"/>
      <c r="C92" s="495"/>
      <c r="D92" s="496"/>
      <c r="E92" s="496"/>
      <c r="F92" s="512"/>
      <c r="AU92" s="1056"/>
    </row>
    <row r="93" spans="2:47" s="497" customFormat="1" x14ac:dyDescent="0.2">
      <c r="B93" s="495"/>
      <c r="C93" s="495"/>
      <c r="D93" s="496"/>
      <c r="E93" s="496"/>
      <c r="F93" s="512"/>
      <c r="AU93" s="1056"/>
    </row>
    <row r="94" spans="2:47" s="497" customFormat="1" x14ac:dyDescent="0.2">
      <c r="B94" s="495"/>
      <c r="C94" s="495"/>
      <c r="D94" s="496"/>
      <c r="E94" s="496"/>
      <c r="F94" s="512"/>
      <c r="AU94" s="1056"/>
    </row>
    <row r="95" spans="2:47" s="497" customFormat="1" x14ac:dyDescent="0.2">
      <c r="B95" s="495"/>
      <c r="C95" s="495"/>
      <c r="D95" s="496"/>
      <c r="E95" s="496"/>
      <c r="F95" s="512"/>
      <c r="AU95" s="1056"/>
    </row>
    <row r="96" spans="2:47" s="497" customFormat="1" x14ac:dyDescent="0.2">
      <c r="B96" s="495"/>
      <c r="C96" s="495"/>
      <c r="D96" s="496"/>
      <c r="E96" s="496"/>
      <c r="F96" s="512"/>
      <c r="AU96" s="1056"/>
    </row>
    <row r="97" spans="2:47" s="497" customFormat="1" x14ac:dyDescent="0.2">
      <c r="B97" s="495"/>
      <c r="C97" s="495"/>
      <c r="D97" s="496"/>
      <c r="E97" s="496"/>
      <c r="F97" s="512"/>
      <c r="AU97" s="1056"/>
    </row>
    <row r="98" spans="2:47" s="497" customFormat="1" x14ac:dyDescent="0.2">
      <c r="B98" s="495"/>
      <c r="C98" s="495"/>
      <c r="D98" s="496"/>
      <c r="E98" s="496"/>
      <c r="F98" s="512"/>
      <c r="AU98" s="1056"/>
    </row>
    <row r="99" spans="2:47" s="497" customFormat="1" x14ac:dyDescent="0.2">
      <c r="B99" s="495"/>
      <c r="C99" s="495"/>
      <c r="D99" s="496"/>
      <c r="E99" s="496"/>
      <c r="F99" s="512"/>
      <c r="AU99" s="1056"/>
    </row>
    <row r="100" spans="2:47" s="497" customFormat="1" x14ac:dyDescent="0.2">
      <c r="B100" s="495"/>
      <c r="C100" s="495"/>
      <c r="D100" s="496"/>
      <c r="E100" s="496"/>
      <c r="F100" s="512"/>
      <c r="AU100" s="1056"/>
    </row>
    <row r="101" spans="2:47" s="497" customFormat="1" x14ac:dyDescent="0.2">
      <c r="B101" s="495"/>
      <c r="C101" s="495"/>
      <c r="D101" s="496"/>
      <c r="E101" s="496"/>
      <c r="F101" s="512"/>
      <c r="AU101" s="1056"/>
    </row>
  </sheetData>
  <mergeCells count="26">
    <mergeCell ref="D3:F3"/>
    <mergeCell ref="AC3:AE3"/>
    <mergeCell ref="AF3:AH3"/>
    <mergeCell ref="AI3:AK3"/>
    <mergeCell ref="AR3:AT3"/>
    <mergeCell ref="G3:M3"/>
    <mergeCell ref="N3:P3"/>
    <mergeCell ref="Q3:S3"/>
    <mergeCell ref="T3:V3"/>
    <mergeCell ref="AL3:AN3"/>
    <mergeCell ref="AO3:AQ3"/>
    <mergeCell ref="W3:Y3"/>
    <mergeCell ref="Z3:AB3"/>
    <mergeCell ref="A3:C4"/>
    <mergeCell ref="A5:C5"/>
    <mergeCell ref="B9:C9"/>
    <mergeCell ref="B10:C10"/>
    <mergeCell ref="B17:C17"/>
    <mergeCell ref="B21:C21"/>
    <mergeCell ref="B50:C50"/>
    <mergeCell ref="B54:C54"/>
    <mergeCell ref="B55:C55"/>
    <mergeCell ref="A6:A21"/>
    <mergeCell ref="A22:A50"/>
    <mergeCell ref="A51:A54"/>
    <mergeCell ref="B24:C24"/>
  </mergeCells>
  <pageMargins left="0.51181102362204722" right="0.51181102362204722" top="0.19685039370078741" bottom="0.19685039370078741" header="0.31496062992125984" footer="0.31496062992125984"/>
  <pageSetup paperSize="9" scale="54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RowHeight="12.75" x14ac:dyDescent="0.2"/>
  <cols>
    <col min="1" max="1" width="56.42578125" style="1016" customWidth="1"/>
    <col min="2" max="2" width="9.7109375" style="1016" bestFit="1" customWidth="1"/>
    <col min="3" max="3" width="11.28515625" style="1016" bestFit="1" customWidth="1"/>
    <col min="4" max="15" width="11.5703125" style="1016" customWidth="1"/>
    <col min="16" max="16" width="12.140625" style="1017" bestFit="1" customWidth="1"/>
    <col min="17" max="16384" width="9.140625" style="1016"/>
  </cols>
  <sheetData>
    <row r="1" spans="1:16" x14ac:dyDescent="0.2">
      <c r="A1" s="990"/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2"/>
    </row>
    <row r="2" spans="1:16" ht="13.5" thickBot="1" x14ac:dyDescent="0.25">
      <c r="A2" s="990"/>
      <c r="B2" s="990"/>
      <c r="C2" s="99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992"/>
    </row>
    <row r="3" spans="1:16" ht="16.5" thickBot="1" x14ac:dyDescent="0.3">
      <c r="A3" s="1005" t="s">
        <v>346</v>
      </c>
      <c r="B3" s="1000"/>
      <c r="C3" s="1012" t="s">
        <v>2</v>
      </c>
      <c r="D3" s="1008" t="s">
        <v>1174</v>
      </c>
      <c r="E3" s="1006" t="s">
        <v>1175</v>
      </c>
      <c r="F3" s="1006" t="s">
        <v>1176</v>
      </c>
      <c r="G3" s="1006" t="s">
        <v>1177</v>
      </c>
      <c r="H3" s="1006" t="s">
        <v>1178</v>
      </c>
      <c r="I3" s="1006" t="s">
        <v>280</v>
      </c>
      <c r="J3" s="1006" t="s">
        <v>281</v>
      </c>
      <c r="K3" s="1006" t="s">
        <v>1179</v>
      </c>
      <c r="L3" s="1006" t="s">
        <v>1180</v>
      </c>
      <c r="M3" s="1006" t="s">
        <v>1181</v>
      </c>
      <c r="N3" s="1006" t="s">
        <v>1182</v>
      </c>
      <c r="O3" s="1007" t="s">
        <v>1183</v>
      </c>
      <c r="P3" s="993" t="s">
        <v>371</v>
      </c>
    </row>
    <row r="4" spans="1:16" ht="15.75" x14ac:dyDescent="0.25">
      <c r="A4" s="1001" t="s">
        <v>20</v>
      </c>
      <c r="B4" s="1002">
        <v>1111</v>
      </c>
      <c r="C4" s="1013">
        <f>'Souhrn příjmů a výdajů 2018'!H7</f>
        <v>21600000</v>
      </c>
      <c r="D4" s="1009">
        <v>1269142.2244864728</v>
      </c>
      <c r="E4" s="1003">
        <v>1376406.2823577083</v>
      </c>
      <c r="F4" s="1003">
        <v>1285785.893318227</v>
      </c>
      <c r="G4" s="1003">
        <v>1553483.1741221924</v>
      </c>
      <c r="H4" s="1003">
        <v>1213689.2307146734</v>
      </c>
      <c r="I4" s="1003">
        <v>4230220.3256831383</v>
      </c>
      <c r="J4" s="1003">
        <v>1912640.4822237976</v>
      </c>
      <c r="K4" s="1003">
        <v>1320787.9441576384</v>
      </c>
      <c r="L4" s="1003">
        <v>2291669.213712649</v>
      </c>
      <c r="M4" s="1003">
        <v>1326194.5864297403</v>
      </c>
      <c r="N4" s="1003">
        <v>1419338.4639610061</v>
      </c>
      <c r="O4" s="1004">
        <v>2400642.1788327591</v>
      </c>
      <c r="P4" s="994">
        <f>SUM(D4:O4)-C4</f>
        <v>0</v>
      </c>
    </row>
    <row r="5" spans="1:16" ht="15.75" x14ac:dyDescent="0.25">
      <c r="A5" s="988" t="s">
        <v>21</v>
      </c>
      <c r="B5" s="999">
        <v>1112</v>
      </c>
      <c r="C5" s="1014">
        <f>'Souhrn příjmů a výdajů 2018'!H8</f>
        <v>2100000</v>
      </c>
      <c r="D5" s="1010">
        <v>123388.8273806293</v>
      </c>
      <c r="E5" s="995">
        <v>133817.27745144386</v>
      </c>
      <c r="F5" s="995">
        <v>125006.96185038317</v>
      </c>
      <c r="G5" s="995">
        <v>151033.08637299095</v>
      </c>
      <c r="H5" s="995">
        <v>117997.56409725992</v>
      </c>
      <c r="I5" s="995">
        <v>411271.4205525273</v>
      </c>
      <c r="J5" s="995">
        <v>185951.15799398031</v>
      </c>
      <c r="K5" s="995">
        <v>128409.93901532596</v>
      </c>
      <c r="L5" s="995">
        <v>222801.17355539644</v>
      </c>
      <c r="M5" s="995">
        <v>128935.5847917803</v>
      </c>
      <c r="N5" s="995">
        <v>137991.23955176448</v>
      </c>
      <c r="O5" s="995">
        <v>233395.76738651824</v>
      </c>
      <c r="P5" s="994">
        <f t="shared" ref="P5:P22" si="0">SUM(D5:O5)-C5</f>
        <v>0</v>
      </c>
    </row>
    <row r="6" spans="1:16" ht="15.75" x14ac:dyDescent="0.25">
      <c r="A6" s="988" t="s">
        <v>22</v>
      </c>
      <c r="B6" s="999">
        <v>1121</v>
      </c>
      <c r="C6" s="1014">
        <f>'Souhrn příjmů a výdajů 2018'!H9</f>
        <v>20300000</v>
      </c>
      <c r="D6" s="1010">
        <v>1392531.051867102</v>
      </c>
      <c r="E6" s="995">
        <v>1510223.5598091523</v>
      </c>
      <c r="F6" s="995">
        <v>1410792.8551686101</v>
      </c>
      <c r="G6" s="995">
        <v>1704516.2604951835</v>
      </c>
      <c r="H6" s="995">
        <v>1331686.7948119333</v>
      </c>
      <c r="I6" s="995">
        <v>4641491.7462356649</v>
      </c>
      <c r="J6" s="995">
        <v>2098591.6402177778</v>
      </c>
      <c r="K6" s="995">
        <v>1449197.8831729644</v>
      </c>
      <c r="L6" s="995">
        <v>2514470.3872680455</v>
      </c>
      <c r="M6" s="995">
        <v>1455130.1712215205</v>
      </c>
      <c r="N6" s="995">
        <v>1557329.7035127706</v>
      </c>
      <c r="O6" s="996">
        <v>2634037.9462192771</v>
      </c>
      <c r="P6" s="994">
        <f t="shared" si="0"/>
        <v>3400000</v>
      </c>
    </row>
    <row r="7" spans="1:16" ht="15.75" x14ac:dyDescent="0.25">
      <c r="A7" s="988" t="s">
        <v>809</v>
      </c>
      <c r="B7" s="999">
        <v>1113</v>
      </c>
      <c r="C7" s="1014">
        <f>'Souhrn příjmů a výdajů 2018'!H10</f>
        <v>600000</v>
      </c>
      <c r="D7" s="1010">
        <v>35253.950680179798</v>
      </c>
      <c r="E7" s="995">
        <v>38233.507843269676</v>
      </c>
      <c r="F7" s="995">
        <v>35716.27481439519</v>
      </c>
      <c r="G7" s="995">
        <v>43152.310392283121</v>
      </c>
      <c r="H7" s="995">
        <v>33713.589742074262</v>
      </c>
      <c r="I7" s="995">
        <v>117506.12015786495</v>
      </c>
      <c r="J7" s="995">
        <v>53128.902283994372</v>
      </c>
      <c r="K7" s="995">
        <v>36688.554004378842</v>
      </c>
      <c r="L7" s="995">
        <v>63657.478158684695</v>
      </c>
      <c r="M7" s="995">
        <v>36838.738511937227</v>
      </c>
      <c r="N7" s="995">
        <v>39426.068443361284</v>
      </c>
      <c r="O7" s="996">
        <v>66684.504967576635</v>
      </c>
      <c r="P7" s="994">
        <f t="shared" si="0"/>
        <v>0</v>
      </c>
    </row>
    <row r="8" spans="1:16" ht="15.75" x14ac:dyDescent="0.25">
      <c r="A8" s="988" t="s">
        <v>23</v>
      </c>
      <c r="B8" s="999">
        <v>1211</v>
      </c>
      <c r="C8" s="1014">
        <f>'Souhrn příjmů a výdajů 2018'!H11</f>
        <v>45000000</v>
      </c>
      <c r="D8" s="1010">
        <v>2644046.3010134851</v>
      </c>
      <c r="E8" s="995">
        <v>2867513.0882452256</v>
      </c>
      <c r="F8" s="995">
        <v>2678720.6110796393</v>
      </c>
      <c r="G8" s="995">
        <v>3236423.2794212345</v>
      </c>
      <c r="H8" s="995">
        <v>2528519.2306555696</v>
      </c>
      <c r="I8" s="995">
        <v>8812959.0118398704</v>
      </c>
      <c r="J8" s="995">
        <v>3984667.6712995782</v>
      </c>
      <c r="K8" s="995">
        <v>2751641.5503284135</v>
      </c>
      <c r="L8" s="995">
        <v>4774310.8619013522</v>
      </c>
      <c r="M8" s="995">
        <v>2762905.3883952922</v>
      </c>
      <c r="N8" s="995">
        <v>2956955.1332520959</v>
      </c>
      <c r="O8" s="996">
        <v>5001337.8725682478</v>
      </c>
      <c r="P8" s="994">
        <f t="shared" si="0"/>
        <v>0</v>
      </c>
    </row>
    <row r="9" spans="1:16" ht="15.75" x14ac:dyDescent="0.25">
      <c r="A9" s="988" t="s">
        <v>25</v>
      </c>
      <c r="B9" s="999" t="s">
        <v>24</v>
      </c>
      <c r="C9" s="1014">
        <f>'Souhrn příjmů a výdajů 2018'!H12</f>
        <v>0</v>
      </c>
      <c r="D9" s="1010">
        <v>0</v>
      </c>
      <c r="E9" s="995">
        <v>0</v>
      </c>
      <c r="F9" s="995">
        <v>0</v>
      </c>
      <c r="G9" s="995">
        <v>0</v>
      </c>
      <c r="H9" s="995">
        <v>0</v>
      </c>
      <c r="I9" s="995">
        <v>0</v>
      </c>
      <c r="J9" s="995">
        <v>0</v>
      </c>
      <c r="K9" s="995">
        <v>0</v>
      </c>
      <c r="L9" s="995">
        <v>0</v>
      </c>
      <c r="M9" s="995">
        <v>0</v>
      </c>
      <c r="N9" s="995">
        <v>0</v>
      </c>
      <c r="O9" s="996">
        <v>0</v>
      </c>
      <c r="P9" s="994">
        <f t="shared" si="0"/>
        <v>0</v>
      </c>
    </row>
    <row r="10" spans="1:16" ht="15.75" x14ac:dyDescent="0.25">
      <c r="A10" s="988" t="s">
        <v>25</v>
      </c>
      <c r="B10" s="999" t="s">
        <v>24</v>
      </c>
      <c r="C10" s="1014" t="e">
        <f>'Souhrn příjmů a výdajů 2018'!#REF!</f>
        <v>#REF!</v>
      </c>
      <c r="D10" s="1010">
        <v>0</v>
      </c>
      <c r="E10" s="995">
        <v>0</v>
      </c>
      <c r="F10" s="995">
        <v>0</v>
      </c>
      <c r="G10" s="995">
        <v>0</v>
      </c>
      <c r="H10" s="995">
        <v>0</v>
      </c>
      <c r="I10" s="995">
        <v>0</v>
      </c>
      <c r="J10" s="995">
        <v>0</v>
      </c>
      <c r="K10" s="995">
        <v>0</v>
      </c>
      <c r="L10" s="995">
        <v>0</v>
      </c>
      <c r="M10" s="995">
        <v>0</v>
      </c>
      <c r="N10" s="995">
        <v>0</v>
      </c>
      <c r="O10" s="996">
        <v>0</v>
      </c>
      <c r="P10" s="994" t="e">
        <f t="shared" si="0"/>
        <v>#REF!</v>
      </c>
    </row>
    <row r="11" spans="1:16" ht="15.75" x14ac:dyDescent="0.25">
      <c r="A11" s="988" t="s">
        <v>27</v>
      </c>
      <c r="B11" s="999" t="s">
        <v>26</v>
      </c>
      <c r="C11" s="1014">
        <f>'Souhrn příjmů a výdajů 2018'!H13</f>
        <v>4000000</v>
      </c>
      <c r="D11" s="1010">
        <v>235026.33786786534</v>
      </c>
      <c r="E11" s="995">
        <v>254890.0522884645</v>
      </c>
      <c r="F11" s="995">
        <v>238108.49876263461</v>
      </c>
      <c r="G11" s="995">
        <v>287682.0692818875</v>
      </c>
      <c r="H11" s="995">
        <v>224757.26494716175</v>
      </c>
      <c r="I11" s="995">
        <v>783374.13438576635</v>
      </c>
      <c r="J11" s="995">
        <v>354192.68189329584</v>
      </c>
      <c r="K11" s="995">
        <v>244590.36002919229</v>
      </c>
      <c r="L11" s="995">
        <v>424383.18772456463</v>
      </c>
      <c r="M11" s="995">
        <v>245591.59007958154</v>
      </c>
      <c r="N11" s="995">
        <v>262840.4562890752</v>
      </c>
      <c r="O11" s="996">
        <v>444563.36645051092</v>
      </c>
      <c r="P11" s="994">
        <f t="shared" si="0"/>
        <v>0</v>
      </c>
    </row>
    <row r="12" spans="1:16" ht="15.75" x14ac:dyDescent="0.25">
      <c r="A12" s="988" t="s">
        <v>28</v>
      </c>
      <c r="B12" s="999">
        <v>1341</v>
      </c>
      <c r="C12" s="1014">
        <f>'Souhrn příjmů a výdajů 2018'!H14</f>
        <v>260000</v>
      </c>
      <c r="D12" s="1010">
        <v>15276.711961411247</v>
      </c>
      <c r="E12" s="995">
        <v>16567.853398750194</v>
      </c>
      <c r="F12" s="995">
        <v>15477.052419571251</v>
      </c>
      <c r="G12" s="995">
        <v>18699.334503322687</v>
      </c>
      <c r="H12" s="995">
        <v>14609.222221565513</v>
      </c>
      <c r="I12" s="995">
        <v>50919.318735074812</v>
      </c>
      <c r="J12" s="995">
        <v>23022.52432306423</v>
      </c>
      <c r="K12" s="995">
        <v>15898.373401897499</v>
      </c>
      <c r="L12" s="995">
        <v>27584.9072020967</v>
      </c>
      <c r="M12" s="995">
        <v>15963.4533551728</v>
      </c>
      <c r="N12" s="995">
        <v>17084.629658789887</v>
      </c>
      <c r="O12" s="996">
        <v>28896.618819283209</v>
      </c>
      <c r="P12" s="994">
        <f t="shared" si="0"/>
        <v>0</v>
      </c>
    </row>
    <row r="13" spans="1:16" ht="15.75" x14ac:dyDescent="0.25">
      <c r="A13" s="988" t="s">
        <v>29</v>
      </c>
      <c r="B13" s="999">
        <v>1343</v>
      </c>
      <c r="C13" s="1014">
        <f>'Souhrn příjmů a výdajů 2018'!H15</f>
        <v>75000</v>
      </c>
      <c r="D13" s="1010">
        <v>4406.7438350224747</v>
      </c>
      <c r="E13" s="995">
        <v>4779.1884804087094</v>
      </c>
      <c r="F13" s="995">
        <v>4464.5343517993988</v>
      </c>
      <c r="G13" s="995">
        <v>5394.0387990353902</v>
      </c>
      <c r="H13" s="995">
        <v>4214.1987177592828</v>
      </c>
      <c r="I13" s="995">
        <v>14688.265019733119</v>
      </c>
      <c r="J13" s="995">
        <v>6641.1127854992965</v>
      </c>
      <c r="K13" s="995">
        <v>4586.0692505473553</v>
      </c>
      <c r="L13" s="995">
        <v>7957.1847698355868</v>
      </c>
      <c r="M13" s="995">
        <v>4604.8423139921533</v>
      </c>
      <c r="N13" s="995">
        <v>4928.2585554201605</v>
      </c>
      <c r="O13" s="996">
        <v>8335.5631209470794</v>
      </c>
      <c r="P13" s="994">
        <f t="shared" si="0"/>
        <v>0</v>
      </c>
    </row>
    <row r="14" spans="1:16" ht="15.75" x14ac:dyDescent="0.25">
      <c r="A14" s="988" t="s">
        <v>30</v>
      </c>
      <c r="B14" s="999">
        <v>1344</v>
      </c>
      <c r="C14" s="1014">
        <f>'Souhrn příjmů a výdajů 2018'!H16</f>
        <v>3000</v>
      </c>
      <c r="D14" s="1010">
        <v>176.26975340089899</v>
      </c>
      <c r="E14" s="995">
        <v>191.16753921634839</v>
      </c>
      <c r="F14" s="995">
        <v>178.58137407197597</v>
      </c>
      <c r="G14" s="995">
        <v>215.76155196141562</v>
      </c>
      <c r="H14" s="995">
        <v>168.56794871037133</v>
      </c>
      <c r="I14" s="995">
        <v>587.53060078932469</v>
      </c>
      <c r="J14" s="995">
        <v>265.64451141997188</v>
      </c>
      <c r="K14" s="995">
        <v>183.44277002189423</v>
      </c>
      <c r="L14" s="995">
        <v>318.28739079342347</v>
      </c>
      <c r="M14" s="995">
        <v>184.19369255968616</v>
      </c>
      <c r="N14" s="995">
        <v>197.13034221680641</v>
      </c>
      <c r="O14" s="996">
        <v>333.4225248378832</v>
      </c>
      <c r="P14" s="994">
        <f t="shared" si="0"/>
        <v>0</v>
      </c>
    </row>
    <row r="15" spans="1:16" ht="15.75" x14ac:dyDescent="0.25">
      <c r="A15" s="988" t="s">
        <v>31</v>
      </c>
      <c r="B15" s="999">
        <v>1345</v>
      </c>
      <c r="C15" s="1014">
        <f>'Souhrn příjmů a výdajů 2018'!H17</f>
        <v>10000</v>
      </c>
      <c r="D15" s="1010">
        <v>587.56584466966331</v>
      </c>
      <c r="E15" s="995">
        <v>637.22513072116124</v>
      </c>
      <c r="F15" s="995">
        <v>595.27124690658661</v>
      </c>
      <c r="G15" s="995">
        <v>719.20517320471879</v>
      </c>
      <c r="H15" s="995">
        <v>561.89316236790432</v>
      </c>
      <c r="I15" s="995">
        <v>1958.4353359644158</v>
      </c>
      <c r="J15" s="995">
        <v>885.48170473323955</v>
      </c>
      <c r="K15" s="995">
        <v>611.47590007298072</v>
      </c>
      <c r="L15" s="995">
        <v>1060.9579693114115</v>
      </c>
      <c r="M15" s="995">
        <v>613.97897519895389</v>
      </c>
      <c r="N15" s="995">
        <v>657.101140722688</v>
      </c>
      <c r="O15" s="996">
        <v>1111.4084161262774</v>
      </c>
      <c r="P15" s="994">
        <f t="shared" si="0"/>
        <v>0</v>
      </c>
    </row>
    <row r="16" spans="1:16" ht="15.75" x14ac:dyDescent="0.25">
      <c r="A16" s="988" t="s">
        <v>32</v>
      </c>
      <c r="B16" s="999">
        <v>1347</v>
      </c>
      <c r="C16" s="1014">
        <f>'Souhrn příjmů a výdajů 2018'!H18</f>
        <v>0</v>
      </c>
      <c r="D16" s="1010">
        <v>0</v>
      </c>
      <c r="E16" s="995">
        <v>0</v>
      </c>
      <c r="F16" s="995">
        <v>0</v>
      </c>
      <c r="G16" s="995">
        <v>0</v>
      </c>
      <c r="H16" s="995">
        <v>0</v>
      </c>
      <c r="I16" s="995">
        <v>0</v>
      </c>
      <c r="J16" s="995">
        <v>0</v>
      </c>
      <c r="K16" s="995">
        <v>0</v>
      </c>
      <c r="L16" s="995">
        <v>0</v>
      </c>
      <c r="M16" s="995">
        <v>0</v>
      </c>
      <c r="N16" s="995">
        <v>0</v>
      </c>
      <c r="O16" s="996">
        <v>0</v>
      </c>
      <c r="P16" s="994">
        <f t="shared" si="0"/>
        <v>0</v>
      </c>
    </row>
    <row r="17" spans="1:16" ht="15.75" x14ac:dyDescent="0.25">
      <c r="A17" s="988" t="s">
        <v>34</v>
      </c>
      <c r="B17" s="999" t="s">
        <v>33</v>
      </c>
      <c r="C17" s="1014">
        <f>'Souhrn příjmů a výdajů 2018'!H19</f>
        <v>100000</v>
      </c>
      <c r="D17" s="1010">
        <v>5875.6584466966333</v>
      </c>
      <c r="E17" s="995">
        <v>6372.2513072116126</v>
      </c>
      <c r="F17" s="995">
        <v>5952.7124690658657</v>
      </c>
      <c r="G17" s="995">
        <v>7192.0517320471872</v>
      </c>
      <c r="H17" s="995">
        <v>5618.9316236790437</v>
      </c>
      <c r="I17" s="995">
        <v>19584.353359644159</v>
      </c>
      <c r="J17" s="995">
        <v>8854.8170473323953</v>
      </c>
      <c r="K17" s="995">
        <v>6114.7590007298077</v>
      </c>
      <c r="L17" s="995">
        <v>10609.579693114116</v>
      </c>
      <c r="M17" s="995">
        <v>6139.7897519895387</v>
      </c>
      <c r="N17" s="995">
        <v>6571.0114072268798</v>
      </c>
      <c r="O17" s="996">
        <v>11114.084161262774</v>
      </c>
      <c r="P17" s="994">
        <f t="shared" si="0"/>
        <v>0</v>
      </c>
    </row>
    <row r="18" spans="1:16" ht="15.75" x14ac:dyDescent="0.25">
      <c r="A18" s="988" t="s">
        <v>808</v>
      </c>
      <c r="B18" s="999" t="s">
        <v>33</v>
      </c>
      <c r="C18" s="1014">
        <f>'Souhrn příjmů a výdajů 2018'!H20</f>
        <v>4000000</v>
      </c>
      <c r="D18" s="1010">
        <v>235026.33786786534</v>
      </c>
      <c r="E18" s="995">
        <v>254890.0522884645</v>
      </c>
      <c r="F18" s="995">
        <v>238108.49876263461</v>
      </c>
      <c r="G18" s="995">
        <v>287682.0692818875</v>
      </c>
      <c r="H18" s="995">
        <v>224757.26494716175</v>
      </c>
      <c r="I18" s="995">
        <v>783374.13438576635</v>
      </c>
      <c r="J18" s="995">
        <v>354192.68189329584</v>
      </c>
      <c r="K18" s="995">
        <v>244590.36002919229</v>
      </c>
      <c r="L18" s="995">
        <v>424383.18772456463</v>
      </c>
      <c r="M18" s="995">
        <v>245591.59007958154</v>
      </c>
      <c r="N18" s="995">
        <v>262840.4562890752</v>
      </c>
      <c r="O18" s="996">
        <v>444563.36645051092</v>
      </c>
      <c r="P18" s="994">
        <f t="shared" si="0"/>
        <v>0</v>
      </c>
    </row>
    <row r="19" spans="1:16" ht="15.75" x14ac:dyDescent="0.25">
      <c r="A19" s="988" t="s">
        <v>810</v>
      </c>
      <c r="B19" s="999">
        <v>1381</v>
      </c>
      <c r="C19" s="1014">
        <f>'Souhrn příjmů a výdajů 2018'!H21</f>
        <v>2000000</v>
      </c>
      <c r="D19" s="1010">
        <v>58756.584466966335</v>
      </c>
      <c r="E19" s="995">
        <v>63722.513072116126</v>
      </c>
      <c r="F19" s="995">
        <v>59527.124690658653</v>
      </c>
      <c r="G19" s="995">
        <v>71920.517320471874</v>
      </c>
      <c r="H19" s="995">
        <v>56189.316236790437</v>
      </c>
      <c r="I19" s="995">
        <v>195843.53359644159</v>
      </c>
      <c r="J19" s="995">
        <v>88548.17047332396</v>
      </c>
      <c r="K19" s="995">
        <v>61147.590007298073</v>
      </c>
      <c r="L19" s="995">
        <v>106095.79693114116</v>
      </c>
      <c r="M19" s="995">
        <v>61397.897519895385</v>
      </c>
      <c r="N19" s="995">
        <v>65710.1140722688</v>
      </c>
      <c r="O19" s="996">
        <v>111140.84161262773</v>
      </c>
      <c r="P19" s="994">
        <f t="shared" si="0"/>
        <v>-1000000</v>
      </c>
    </row>
    <row r="20" spans="1:16" ht="15.75" x14ac:dyDescent="0.25">
      <c r="A20" s="988" t="s">
        <v>36</v>
      </c>
      <c r="B20" s="999">
        <v>1381</v>
      </c>
      <c r="C20" s="1014">
        <f>'Souhrn příjmů a výdajů 2018'!H22</f>
        <v>0</v>
      </c>
      <c r="D20" s="1010">
        <v>29378.292233483167</v>
      </c>
      <c r="E20" s="995">
        <v>31861.256536058063</v>
      </c>
      <c r="F20" s="995">
        <v>29763.562345329326</v>
      </c>
      <c r="G20" s="995">
        <v>35960.258660235937</v>
      </c>
      <c r="H20" s="995">
        <v>28094.658118395218</v>
      </c>
      <c r="I20" s="995">
        <v>97921.766798220793</v>
      </c>
      <c r="J20" s="995">
        <v>44274.08523666198</v>
      </c>
      <c r="K20" s="995">
        <v>30573.795003649037</v>
      </c>
      <c r="L20" s="995">
        <v>53047.898465570579</v>
      </c>
      <c r="M20" s="995">
        <v>30698.948759947692</v>
      </c>
      <c r="N20" s="995">
        <v>32855.0570361344</v>
      </c>
      <c r="O20" s="996">
        <v>55570.420806313865</v>
      </c>
      <c r="P20" s="994">
        <f t="shared" si="0"/>
        <v>500000</v>
      </c>
    </row>
    <row r="21" spans="1:16" ht="15.75" x14ac:dyDescent="0.25">
      <c r="A21" s="988" t="s">
        <v>38</v>
      </c>
      <c r="B21" s="999" t="s">
        <v>37</v>
      </c>
      <c r="C21" s="1014">
        <f>'Souhrn příjmů a výdajů 2018'!H23</f>
        <v>1400000</v>
      </c>
      <c r="D21" s="1010">
        <v>82259.218253752872</v>
      </c>
      <c r="E21" s="1010">
        <v>89211.518300962576</v>
      </c>
      <c r="F21" s="1010">
        <v>83337.974566922116</v>
      </c>
      <c r="G21" s="1010">
        <v>100688.72424866063</v>
      </c>
      <c r="H21" s="1010">
        <v>78665.042731506619</v>
      </c>
      <c r="I21" s="1010">
        <v>274180.94703501818</v>
      </c>
      <c r="J21" s="1010">
        <v>123967.43866265354</v>
      </c>
      <c r="K21" s="1010">
        <v>85606.626010217296</v>
      </c>
      <c r="L21" s="1010">
        <v>148534.11570359761</v>
      </c>
      <c r="M21" s="1010">
        <v>85957.056527853536</v>
      </c>
      <c r="N21" s="1010">
        <v>91994.159701176322</v>
      </c>
      <c r="O21" s="1010">
        <v>155597.17825767881</v>
      </c>
      <c r="P21" s="994">
        <f t="shared" si="0"/>
        <v>0</v>
      </c>
    </row>
    <row r="22" spans="1:16" ht="16.5" thickBot="1" x14ac:dyDescent="0.3">
      <c r="A22" s="989" t="s">
        <v>39</v>
      </c>
      <c r="B22" s="1000">
        <v>1511</v>
      </c>
      <c r="C22" s="1015">
        <f>'Souhrn příjmů a výdajů 2018'!H24</f>
        <v>7400000</v>
      </c>
      <c r="D22" s="1011">
        <v>434798.72505555087</v>
      </c>
      <c r="E22" s="997">
        <v>471546.59673365933</v>
      </c>
      <c r="F22" s="997">
        <v>440500.72271087405</v>
      </c>
      <c r="G22" s="997">
        <v>532211.82817149186</v>
      </c>
      <c r="H22" s="997">
        <v>415800.94015224924</v>
      </c>
      <c r="I22" s="997">
        <v>1449242.1486136676</v>
      </c>
      <c r="J22" s="997">
        <v>655256.46150259732</v>
      </c>
      <c r="K22" s="997">
        <v>452492.16605400573</v>
      </c>
      <c r="L22" s="997">
        <v>785108.89729044458</v>
      </c>
      <c r="M22" s="997">
        <v>454344.44164722582</v>
      </c>
      <c r="N22" s="997">
        <v>486254.84413478913</v>
      </c>
      <c r="O22" s="998">
        <v>822442.22793344525</v>
      </c>
      <c r="P22" s="994">
        <f t="shared" si="0"/>
        <v>0</v>
      </c>
    </row>
    <row r="23" spans="1:16" ht="21" customHeight="1" x14ac:dyDescent="0.2">
      <c r="A23" s="990"/>
      <c r="B23" s="990"/>
      <c r="C23" s="990"/>
      <c r="D23" s="990"/>
      <c r="E23" s="990"/>
      <c r="F23" s="990"/>
      <c r="G23" s="990"/>
      <c r="H23" s="990"/>
      <c r="I23" s="990"/>
      <c r="J23" s="990"/>
      <c r="K23" s="990"/>
      <c r="L23" s="990"/>
      <c r="M23" s="990"/>
      <c r="N23" s="990"/>
      <c r="O23" s="990"/>
      <c r="P23" s="992"/>
    </row>
    <row r="24" spans="1:16" x14ac:dyDescent="0.2">
      <c r="A24" s="990"/>
      <c r="B24" s="990"/>
      <c r="C24" s="991" t="e">
        <f t="shared" ref="C24:O24" si="1">SUM(C4:C22)</f>
        <v>#REF!</v>
      </c>
      <c r="D24" s="991">
        <f t="shared" si="1"/>
        <v>6565930.8010145538</v>
      </c>
      <c r="E24" s="991">
        <f t="shared" si="1"/>
        <v>7120863.3907828331</v>
      </c>
      <c r="F24" s="991">
        <f t="shared" si="1"/>
        <v>6652037.1299317228</v>
      </c>
      <c r="G24" s="991">
        <f t="shared" si="1"/>
        <v>8036973.9695280911</v>
      </c>
      <c r="H24" s="991">
        <f t="shared" si="1"/>
        <v>6279043.7108288566</v>
      </c>
      <c r="I24" s="991">
        <f t="shared" si="1"/>
        <v>21885123.192335147</v>
      </c>
      <c r="J24" s="991">
        <f t="shared" si="1"/>
        <v>9895080.9540530052</v>
      </c>
      <c r="K24" s="991">
        <f t="shared" si="1"/>
        <v>6833120.8881355459</v>
      </c>
      <c r="L24" s="991">
        <f t="shared" si="1"/>
        <v>11855993.115461161</v>
      </c>
      <c r="M24" s="991">
        <f t="shared" si="1"/>
        <v>6861092.2520532701</v>
      </c>
      <c r="N24" s="991">
        <f t="shared" si="1"/>
        <v>7342973.8273478942</v>
      </c>
      <c r="O24" s="991">
        <f t="shared" si="1"/>
        <v>12419766.768527925</v>
      </c>
      <c r="P24" s="994" t="e">
        <f>SUM(D24:O24)-C24</f>
        <v>#REF!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I228"/>
  <sheetViews>
    <sheetView workbookViewId="0"/>
  </sheetViews>
  <sheetFormatPr defaultRowHeight="15.75" outlineLevelRow="1" x14ac:dyDescent="0.25"/>
  <cols>
    <col min="1" max="1" width="8.7109375" style="129" customWidth="1"/>
    <col min="2" max="2" width="52.28515625" style="129" bestFit="1" customWidth="1"/>
    <col min="3" max="3" width="8.42578125" style="236" bestFit="1" customWidth="1"/>
    <col min="4" max="4" width="16.5703125" style="237" customWidth="1"/>
    <col min="5" max="9" width="17.7109375" style="129" customWidth="1"/>
    <col min="10" max="16384" width="9.140625" style="129"/>
  </cols>
  <sheetData>
    <row r="2" spans="1:9" ht="31.5" x14ac:dyDescent="0.25">
      <c r="A2" s="1616" t="s">
        <v>1366</v>
      </c>
      <c r="B2" s="33"/>
      <c r="C2" s="1613" t="s">
        <v>125</v>
      </c>
      <c r="D2" s="1619" t="s">
        <v>1369</v>
      </c>
      <c r="E2" s="1619" t="s">
        <v>1513</v>
      </c>
      <c r="F2" s="1619" t="s">
        <v>1514</v>
      </c>
      <c r="G2" s="1619" t="s">
        <v>1515</v>
      </c>
      <c r="H2" s="1619" t="s">
        <v>1516</v>
      </c>
      <c r="I2" s="1619" t="s">
        <v>1517</v>
      </c>
    </row>
    <row r="4" spans="1:9" x14ac:dyDescent="0.25">
      <c r="A4" s="1620" t="s">
        <v>344</v>
      </c>
      <c r="B4" s="1621"/>
      <c r="C4" s="1621"/>
      <c r="D4" s="1621"/>
      <c r="E4" s="1621"/>
      <c r="F4" s="1621"/>
      <c r="G4" s="1621"/>
      <c r="H4" s="1621"/>
      <c r="I4" s="1621"/>
    </row>
    <row r="5" spans="1:9" s="33" customFormat="1" ht="15" customHeight="1" x14ac:dyDescent="0.25">
      <c r="A5" s="1605" t="s">
        <v>345</v>
      </c>
      <c r="B5" s="1605" t="s">
        <v>346</v>
      </c>
      <c r="C5" s="1600"/>
      <c r="D5" s="257" t="e">
        <f t="shared" ref="D5:I5" si="0">SUM(D6:D24)</f>
        <v>#REF!</v>
      </c>
      <c r="E5" s="257">
        <f>SUM(E6:E24)</f>
        <v>106640</v>
      </c>
      <c r="F5" s="257">
        <f t="shared" si="0"/>
        <v>108467.84</v>
      </c>
      <c r="G5" s="257">
        <f t="shared" si="0"/>
        <v>110332.23680000001</v>
      </c>
      <c r="H5" s="257">
        <f t="shared" si="0"/>
        <v>112233.92153600001</v>
      </c>
      <c r="I5" s="257">
        <f t="shared" si="0"/>
        <v>114173.63996672</v>
      </c>
    </row>
    <row r="6" spans="1:9" s="249" customFormat="1" ht="18" hidden="1" customHeight="1" outlineLevel="1" x14ac:dyDescent="0.25">
      <c r="B6" s="1602" t="s">
        <v>20</v>
      </c>
      <c r="C6" s="1603">
        <v>1111</v>
      </c>
      <c r="D6" s="1604">
        <f>+'Souhrn příjmů a výdajů 2018'!H7/1000</f>
        <v>21600</v>
      </c>
      <c r="E6" s="1604">
        <f>+D6*1.02</f>
        <v>22032</v>
      </c>
      <c r="F6" s="1604">
        <f>+E6*1.02</f>
        <v>22472.639999999999</v>
      </c>
      <c r="G6" s="1604">
        <f>+F6*1.02</f>
        <v>22922.092799999999</v>
      </c>
      <c r="H6" s="1604">
        <f>+G6*1.02</f>
        <v>23380.534656</v>
      </c>
      <c r="I6" s="1604">
        <f>+H6*1.02</f>
        <v>23848.145349120001</v>
      </c>
    </row>
    <row r="7" spans="1:9" s="249" customFormat="1" ht="18" hidden="1" customHeight="1" outlineLevel="1" x14ac:dyDescent="0.25">
      <c r="B7" s="1596" t="s">
        <v>21</v>
      </c>
      <c r="C7" s="1597">
        <v>1112</v>
      </c>
      <c r="D7" s="1598">
        <f>+'Souhrn příjmů a výdajů 2018'!H8/1000</f>
        <v>2100</v>
      </c>
      <c r="E7" s="1598">
        <f>+D7*1.02</f>
        <v>2142</v>
      </c>
      <c r="F7" s="1598">
        <f t="shared" ref="F7:I10" si="1">+E7*1.02</f>
        <v>2184.84</v>
      </c>
      <c r="G7" s="1598">
        <f t="shared" si="1"/>
        <v>2228.5368000000003</v>
      </c>
      <c r="H7" s="1598">
        <f t="shared" si="1"/>
        <v>2273.1075360000004</v>
      </c>
      <c r="I7" s="1598">
        <f t="shared" si="1"/>
        <v>2318.5696867200004</v>
      </c>
    </row>
    <row r="8" spans="1:9" s="249" customFormat="1" ht="18" hidden="1" customHeight="1" outlineLevel="1" x14ac:dyDescent="0.25">
      <c r="B8" s="1596" t="s">
        <v>22</v>
      </c>
      <c r="C8" s="1597">
        <v>1121</v>
      </c>
      <c r="D8" s="1598">
        <f>+'Souhrn příjmů a výdajů 2018'!H9/1000</f>
        <v>20300</v>
      </c>
      <c r="E8" s="1598">
        <f>+D8*1.02</f>
        <v>20706</v>
      </c>
      <c r="F8" s="1598">
        <f t="shared" si="1"/>
        <v>21120.12</v>
      </c>
      <c r="G8" s="1598">
        <f t="shared" si="1"/>
        <v>21542.522399999998</v>
      </c>
      <c r="H8" s="1598">
        <f t="shared" si="1"/>
        <v>21973.372847999999</v>
      </c>
      <c r="I8" s="1598">
        <f t="shared" si="1"/>
        <v>22412.840304959998</v>
      </c>
    </row>
    <row r="9" spans="1:9" s="249" customFormat="1" ht="18" hidden="1" customHeight="1" outlineLevel="1" x14ac:dyDescent="0.25">
      <c r="B9" s="1596" t="s">
        <v>809</v>
      </c>
      <c r="C9" s="1597">
        <v>1113</v>
      </c>
      <c r="D9" s="1598">
        <f>+'Souhrn příjmů a výdajů 2018'!H10/1000</f>
        <v>600</v>
      </c>
      <c r="E9" s="1598">
        <f>+D9*1.02</f>
        <v>612</v>
      </c>
      <c r="F9" s="1598">
        <f t="shared" si="1"/>
        <v>624.24</v>
      </c>
      <c r="G9" s="1598">
        <f t="shared" si="1"/>
        <v>636.72480000000007</v>
      </c>
      <c r="H9" s="1598">
        <f t="shared" si="1"/>
        <v>649.45929600000011</v>
      </c>
      <c r="I9" s="1598">
        <f t="shared" si="1"/>
        <v>662.44848192000018</v>
      </c>
    </row>
    <row r="10" spans="1:9" s="249" customFormat="1" ht="18" hidden="1" customHeight="1" outlineLevel="1" x14ac:dyDescent="0.25">
      <c r="B10" s="1596" t="s">
        <v>23</v>
      </c>
      <c r="C10" s="1597">
        <v>1211</v>
      </c>
      <c r="D10" s="1598">
        <f>+'Souhrn příjmů a výdajů 2018'!H11/1000</f>
        <v>45000</v>
      </c>
      <c r="E10" s="1598">
        <f>+D10*1.02</f>
        <v>45900</v>
      </c>
      <c r="F10" s="1598">
        <f t="shared" si="1"/>
        <v>46818</v>
      </c>
      <c r="G10" s="1598">
        <f t="shared" si="1"/>
        <v>47754.36</v>
      </c>
      <c r="H10" s="1598">
        <f t="shared" si="1"/>
        <v>48709.447200000002</v>
      </c>
      <c r="I10" s="1598">
        <f t="shared" si="1"/>
        <v>49683.636144000004</v>
      </c>
    </row>
    <row r="11" spans="1:9" ht="18" hidden="1" customHeight="1" outlineLevel="1" x14ac:dyDescent="0.25">
      <c r="B11" s="1599" t="s">
        <v>25</v>
      </c>
      <c r="C11" s="1600" t="s">
        <v>24</v>
      </c>
      <c r="D11" s="1601">
        <f>+'Souhrn příjmů a výdajů 2018'!H12/1000</f>
        <v>0</v>
      </c>
      <c r="E11" s="1601"/>
      <c r="F11" s="1601"/>
      <c r="G11" s="1601"/>
      <c r="H11" s="1601"/>
      <c r="I11" s="1601"/>
    </row>
    <row r="12" spans="1:9" ht="18" hidden="1" customHeight="1" outlineLevel="1" x14ac:dyDescent="0.25">
      <c r="B12" s="1599" t="s">
        <v>25</v>
      </c>
      <c r="C12" s="1600" t="s">
        <v>24</v>
      </c>
      <c r="D12" s="1601" t="e">
        <f>+'Souhrn příjmů a výdajů 2018'!#REF!/1000</f>
        <v>#REF!</v>
      </c>
      <c r="E12" s="1601"/>
      <c r="F12" s="1601"/>
      <c r="G12" s="1601"/>
      <c r="H12" s="1601"/>
      <c r="I12" s="1601"/>
    </row>
    <row r="13" spans="1:9" ht="18" hidden="1" customHeight="1" outlineLevel="1" x14ac:dyDescent="0.25">
      <c r="B13" s="1599" t="s">
        <v>27</v>
      </c>
      <c r="C13" s="1600" t="s">
        <v>26</v>
      </c>
      <c r="D13" s="1601">
        <f>+'Souhrn příjmů a výdajů 2018'!H13/1000</f>
        <v>4000</v>
      </c>
      <c r="E13" s="1601">
        <f t="shared" ref="E13:I19" si="2">+D13</f>
        <v>4000</v>
      </c>
      <c r="F13" s="1601">
        <f t="shared" si="2"/>
        <v>4000</v>
      </c>
      <c r="G13" s="1601">
        <f t="shared" si="2"/>
        <v>4000</v>
      </c>
      <c r="H13" s="1601">
        <f t="shared" si="2"/>
        <v>4000</v>
      </c>
      <c r="I13" s="1601">
        <f t="shared" si="2"/>
        <v>4000</v>
      </c>
    </row>
    <row r="14" spans="1:9" ht="18" hidden="1" customHeight="1" outlineLevel="1" x14ac:dyDescent="0.25">
      <c r="B14" s="1599" t="s">
        <v>28</v>
      </c>
      <c r="C14" s="1600">
        <v>1341</v>
      </c>
      <c r="D14" s="1601">
        <f>+'Souhrn příjmů a výdajů 2018'!H14/1000</f>
        <v>260</v>
      </c>
      <c r="E14" s="1601">
        <f t="shared" si="2"/>
        <v>260</v>
      </c>
      <c r="F14" s="1601">
        <f t="shared" si="2"/>
        <v>260</v>
      </c>
      <c r="G14" s="1601">
        <f t="shared" si="2"/>
        <v>260</v>
      </c>
      <c r="H14" s="1601">
        <f t="shared" si="2"/>
        <v>260</v>
      </c>
      <c r="I14" s="1601">
        <f t="shared" si="2"/>
        <v>260</v>
      </c>
    </row>
    <row r="15" spans="1:9" ht="18" hidden="1" customHeight="1" outlineLevel="1" x14ac:dyDescent="0.25">
      <c r="B15" s="1599" t="s">
        <v>29</v>
      </c>
      <c r="C15" s="1600">
        <v>1343</v>
      </c>
      <c r="D15" s="1601">
        <f>+'Souhrn příjmů a výdajů 2018'!H15/1000</f>
        <v>75</v>
      </c>
      <c r="E15" s="1601">
        <f t="shared" si="2"/>
        <v>75</v>
      </c>
      <c r="F15" s="1601">
        <f t="shared" si="2"/>
        <v>75</v>
      </c>
      <c r="G15" s="1601">
        <f t="shared" si="2"/>
        <v>75</v>
      </c>
      <c r="H15" s="1601">
        <f t="shared" si="2"/>
        <v>75</v>
      </c>
      <c r="I15" s="1601">
        <f t="shared" si="2"/>
        <v>75</v>
      </c>
    </row>
    <row r="16" spans="1:9" ht="18" hidden="1" customHeight="1" outlineLevel="1" x14ac:dyDescent="0.25">
      <c r="B16" s="1599" t="s">
        <v>30</v>
      </c>
      <c r="C16" s="1600">
        <v>1344</v>
      </c>
      <c r="D16" s="1601">
        <f>+'Souhrn příjmů a výdajů 2018'!H16/1000</f>
        <v>3</v>
      </c>
      <c r="E16" s="1601">
        <f t="shared" si="2"/>
        <v>3</v>
      </c>
      <c r="F16" s="1601">
        <f t="shared" si="2"/>
        <v>3</v>
      </c>
      <c r="G16" s="1601">
        <f t="shared" si="2"/>
        <v>3</v>
      </c>
      <c r="H16" s="1601">
        <f t="shared" si="2"/>
        <v>3</v>
      </c>
      <c r="I16" s="1601">
        <f t="shared" si="2"/>
        <v>3</v>
      </c>
    </row>
    <row r="17" spans="1:9" ht="18" hidden="1" customHeight="1" outlineLevel="1" x14ac:dyDescent="0.25">
      <c r="B17" s="1599" t="s">
        <v>31</v>
      </c>
      <c r="C17" s="1600">
        <v>1345</v>
      </c>
      <c r="D17" s="1601">
        <f>+'Souhrn příjmů a výdajů 2018'!H17/1000</f>
        <v>10</v>
      </c>
      <c r="E17" s="1601">
        <f t="shared" si="2"/>
        <v>10</v>
      </c>
      <c r="F17" s="1601">
        <f t="shared" si="2"/>
        <v>10</v>
      </c>
      <c r="G17" s="1601">
        <f t="shared" si="2"/>
        <v>10</v>
      </c>
      <c r="H17" s="1601">
        <f t="shared" si="2"/>
        <v>10</v>
      </c>
      <c r="I17" s="1601">
        <f t="shared" si="2"/>
        <v>10</v>
      </c>
    </row>
    <row r="18" spans="1:9" ht="18" hidden="1" customHeight="1" outlineLevel="1" x14ac:dyDescent="0.25">
      <c r="B18" s="1599" t="s">
        <v>32</v>
      </c>
      <c r="C18" s="1600">
        <v>1347</v>
      </c>
      <c r="D18" s="1601">
        <f>+'Souhrn příjmů a výdajů 2018'!H18/1000</f>
        <v>0</v>
      </c>
      <c r="E18" s="1601">
        <f t="shared" si="2"/>
        <v>0</v>
      </c>
      <c r="F18" s="1601">
        <f t="shared" si="2"/>
        <v>0</v>
      </c>
      <c r="G18" s="1601">
        <f t="shared" si="2"/>
        <v>0</v>
      </c>
      <c r="H18" s="1601">
        <f t="shared" si="2"/>
        <v>0</v>
      </c>
      <c r="I18" s="1601">
        <f t="shared" si="2"/>
        <v>0</v>
      </c>
    </row>
    <row r="19" spans="1:9" ht="18" hidden="1" customHeight="1" outlineLevel="1" x14ac:dyDescent="0.25">
      <c r="B19" s="1599" t="s">
        <v>34</v>
      </c>
      <c r="C19" s="1600" t="s">
        <v>33</v>
      </c>
      <c r="D19" s="1601">
        <f>+'Souhrn příjmů a výdajů 2018'!H19/1000</f>
        <v>100</v>
      </c>
      <c r="E19" s="1601">
        <f t="shared" si="2"/>
        <v>100</v>
      </c>
      <c r="F19" s="1601">
        <f t="shared" si="2"/>
        <v>100</v>
      </c>
      <c r="G19" s="1601">
        <f t="shared" si="2"/>
        <v>100</v>
      </c>
      <c r="H19" s="1601">
        <f t="shared" si="2"/>
        <v>100</v>
      </c>
      <c r="I19" s="1601">
        <f t="shared" si="2"/>
        <v>100</v>
      </c>
    </row>
    <row r="20" spans="1:9" ht="18" hidden="1" customHeight="1" outlineLevel="1" x14ac:dyDescent="0.25">
      <c r="B20" s="1599" t="s">
        <v>808</v>
      </c>
      <c r="C20" s="1600" t="s">
        <v>33</v>
      </c>
      <c r="D20" s="1601">
        <f>+'Souhrn příjmů a výdajů 2018'!H20/1000</f>
        <v>4000</v>
      </c>
      <c r="E20" s="1611"/>
      <c r="F20" s="1611"/>
      <c r="G20" s="1611"/>
      <c r="H20" s="1611"/>
      <c r="I20" s="1611"/>
    </row>
    <row r="21" spans="1:9" ht="18" hidden="1" customHeight="1" outlineLevel="1" x14ac:dyDescent="0.25">
      <c r="B21" s="1599" t="s">
        <v>810</v>
      </c>
      <c r="C21" s="1600">
        <v>1355</v>
      </c>
      <c r="D21" s="1601">
        <f>+'Souhrn příjmů a výdajů 2018'!H21/1000</f>
        <v>2000</v>
      </c>
      <c r="E21" s="1601">
        <f t="shared" ref="E21:I24" si="3">+D21</f>
        <v>2000</v>
      </c>
      <c r="F21" s="1601">
        <f t="shared" si="3"/>
        <v>2000</v>
      </c>
      <c r="G21" s="1601">
        <f t="shared" si="3"/>
        <v>2000</v>
      </c>
      <c r="H21" s="1601">
        <f t="shared" si="3"/>
        <v>2000</v>
      </c>
      <c r="I21" s="1601">
        <f t="shared" si="3"/>
        <v>2000</v>
      </c>
    </row>
    <row r="22" spans="1:9" ht="18" hidden="1" customHeight="1" outlineLevel="1" x14ac:dyDescent="0.25">
      <c r="B22" s="1599" t="s">
        <v>36</v>
      </c>
      <c r="C22" s="1600" t="s">
        <v>35</v>
      </c>
      <c r="D22" s="1601">
        <f>+'Souhrn příjmů a výdajů 2018'!H22/1000</f>
        <v>0</v>
      </c>
      <c r="E22" s="1601">
        <f t="shared" si="3"/>
        <v>0</v>
      </c>
      <c r="F22" s="1601">
        <f t="shared" si="3"/>
        <v>0</v>
      </c>
      <c r="G22" s="1601">
        <f t="shared" si="3"/>
        <v>0</v>
      </c>
      <c r="H22" s="1601">
        <f t="shared" si="3"/>
        <v>0</v>
      </c>
      <c r="I22" s="1601">
        <f t="shared" si="3"/>
        <v>0</v>
      </c>
    </row>
    <row r="23" spans="1:9" ht="18" hidden="1" customHeight="1" outlineLevel="1" x14ac:dyDescent="0.25">
      <c r="B23" s="1599" t="s">
        <v>38</v>
      </c>
      <c r="C23" s="1600" t="s">
        <v>37</v>
      </c>
      <c r="D23" s="1601">
        <f>+'Souhrn příjmů a výdajů 2018'!H23/1000</f>
        <v>1400</v>
      </c>
      <c r="E23" s="1601">
        <f t="shared" si="3"/>
        <v>1400</v>
      </c>
      <c r="F23" s="1601">
        <f t="shared" si="3"/>
        <v>1400</v>
      </c>
      <c r="G23" s="1601">
        <f t="shared" si="3"/>
        <v>1400</v>
      </c>
      <c r="H23" s="1601">
        <f t="shared" si="3"/>
        <v>1400</v>
      </c>
      <c r="I23" s="1601">
        <f t="shared" si="3"/>
        <v>1400</v>
      </c>
    </row>
    <row r="24" spans="1:9" ht="18" hidden="1" customHeight="1" outlineLevel="1" x14ac:dyDescent="0.25">
      <c r="B24" s="1606" t="s">
        <v>39</v>
      </c>
      <c r="C24" s="1607">
        <v>1511</v>
      </c>
      <c r="D24" s="1608">
        <f>+'Souhrn příjmů a výdajů 2018'!H24/1000</f>
        <v>7400</v>
      </c>
      <c r="E24" s="1608">
        <f t="shared" si="3"/>
        <v>7400</v>
      </c>
      <c r="F24" s="1608">
        <f t="shared" si="3"/>
        <v>7400</v>
      </c>
      <c r="G24" s="1608">
        <f t="shared" si="3"/>
        <v>7400</v>
      </c>
      <c r="H24" s="1608">
        <f t="shared" si="3"/>
        <v>7400</v>
      </c>
      <c r="I24" s="1608">
        <f t="shared" si="3"/>
        <v>7400</v>
      </c>
    </row>
    <row r="25" spans="1:9" s="33" customFormat="1" collapsed="1" x14ac:dyDescent="0.25">
      <c r="A25" s="1605" t="s">
        <v>347</v>
      </c>
      <c r="B25" s="1605" t="s">
        <v>348</v>
      </c>
      <c r="C25" s="1600"/>
      <c r="D25" s="257">
        <f t="shared" ref="D25:I25" si="4">SUM(D26:D88)</f>
        <v>19045.2</v>
      </c>
      <c r="E25" s="257">
        <f t="shared" si="4"/>
        <v>20033.2</v>
      </c>
      <c r="F25" s="257">
        <f t="shared" si="4"/>
        <v>21072.2</v>
      </c>
      <c r="G25" s="257">
        <f t="shared" si="4"/>
        <v>21072.2</v>
      </c>
      <c r="H25" s="257">
        <f t="shared" si="4"/>
        <v>21072.2</v>
      </c>
      <c r="I25" s="257">
        <f t="shared" si="4"/>
        <v>21072.2</v>
      </c>
    </row>
    <row r="26" spans="1:9" ht="16.5" hidden="1" customHeight="1" outlineLevel="1" x14ac:dyDescent="0.25">
      <c r="B26" s="1599" t="s">
        <v>41</v>
      </c>
      <c r="C26" s="1600" t="s">
        <v>40</v>
      </c>
      <c r="D26" s="1601">
        <f>'Sumář příjmů kapitol'!I28</f>
        <v>0</v>
      </c>
      <c r="E26" s="1601">
        <f>'Sumář příjmů kapitol'!L28</f>
        <v>0</v>
      </c>
      <c r="F26" s="1601">
        <f>'Sumář příjmů kapitol'!M28</f>
        <v>0</v>
      </c>
      <c r="G26" s="1601">
        <f>'Sumář příjmů kapitol'!N28</f>
        <v>0</v>
      </c>
      <c r="H26" s="1601">
        <f>'Sumář příjmů kapitol'!O28</f>
        <v>0</v>
      </c>
      <c r="I26" s="1601">
        <f>'Sumář příjmů kapitol'!P28</f>
        <v>0</v>
      </c>
    </row>
    <row r="27" spans="1:9" ht="17.25" hidden="1" customHeight="1" outlineLevel="1" x14ac:dyDescent="0.25">
      <c r="B27" s="1599" t="s">
        <v>1349</v>
      </c>
      <c r="C27" s="1600" t="s">
        <v>42</v>
      </c>
      <c r="D27" s="1601">
        <f>+'Souhrn příjmů a výdajů 2018'!H28/1000</f>
        <v>0</v>
      </c>
      <c r="E27" s="1601">
        <f t="shared" ref="E27:I35" si="5">+D27</f>
        <v>0</v>
      </c>
      <c r="F27" s="1601">
        <f t="shared" si="5"/>
        <v>0</v>
      </c>
      <c r="G27" s="1601">
        <f t="shared" si="5"/>
        <v>0</v>
      </c>
      <c r="H27" s="1601">
        <f t="shared" si="5"/>
        <v>0</v>
      </c>
      <c r="I27" s="1601">
        <f t="shared" si="5"/>
        <v>0</v>
      </c>
    </row>
    <row r="28" spans="1:9" ht="17.25" hidden="1" customHeight="1" outlineLevel="1" x14ac:dyDescent="0.25">
      <c r="B28" s="1599" t="s">
        <v>45</v>
      </c>
      <c r="C28" s="1600" t="s">
        <v>44</v>
      </c>
      <c r="D28" s="1601">
        <f>+'Souhrn příjmů a výdajů 2018'!H29/1000</f>
        <v>0</v>
      </c>
      <c r="E28" s="1601">
        <f t="shared" si="5"/>
        <v>0</v>
      </c>
      <c r="F28" s="1601">
        <f t="shared" si="5"/>
        <v>0</v>
      </c>
      <c r="G28" s="1601">
        <f t="shared" si="5"/>
        <v>0</v>
      </c>
      <c r="H28" s="1601">
        <f t="shared" si="5"/>
        <v>0</v>
      </c>
      <c r="I28" s="1601">
        <f t="shared" si="5"/>
        <v>0</v>
      </c>
    </row>
    <row r="29" spans="1:9" ht="17.25" hidden="1" customHeight="1" outlineLevel="1" x14ac:dyDescent="0.25">
      <c r="B29" s="1599" t="s">
        <v>288</v>
      </c>
      <c r="C29" s="1600">
        <v>2460</v>
      </c>
      <c r="D29" s="1601">
        <f>+'Souhrn příjmů a výdajů 2018'!H30/1000</f>
        <v>0</v>
      </c>
      <c r="E29" s="1601">
        <f t="shared" si="5"/>
        <v>0</v>
      </c>
      <c r="F29" s="1601">
        <f t="shared" si="5"/>
        <v>0</v>
      </c>
      <c r="G29" s="1601">
        <f t="shared" si="5"/>
        <v>0</v>
      </c>
      <c r="H29" s="1601">
        <f t="shared" si="5"/>
        <v>0</v>
      </c>
      <c r="I29" s="1601">
        <f t="shared" si="5"/>
        <v>0</v>
      </c>
    </row>
    <row r="30" spans="1:9" ht="17.25" hidden="1" customHeight="1" outlineLevel="1" x14ac:dyDescent="0.25">
      <c r="B30" s="1599" t="s">
        <v>289</v>
      </c>
      <c r="C30" s="1600">
        <v>2481</v>
      </c>
      <c r="D30" s="1601">
        <f>+'Souhrn příjmů a výdajů 2018'!H31/1000</f>
        <v>0</v>
      </c>
      <c r="E30" s="1601">
        <f t="shared" si="5"/>
        <v>0</v>
      </c>
      <c r="F30" s="1601">
        <f t="shared" si="5"/>
        <v>0</v>
      </c>
      <c r="G30" s="1601">
        <f t="shared" si="5"/>
        <v>0</v>
      </c>
      <c r="H30" s="1601">
        <f t="shared" si="5"/>
        <v>0</v>
      </c>
      <c r="I30" s="1601">
        <f t="shared" si="5"/>
        <v>0</v>
      </c>
    </row>
    <row r="31" spans="1:9" ht="17.25" hidden="1" customHeight="1" outlineLevel="1" x14ac:dyDescent="0.25">
      <c r="B31" s="1599" t="s">
        <v>73</v>
      </c>
      <c r="C31" s="1600" t="s">
        <v>72</v>
      </c>
      <c r="D31" s="1601">
        <f>+'Souhrn příjmů a výdajů 2018'!H32/1000</f>
        <v>0</v>
      </c>
      <c r="E31" s="1601">
        <f t="shared" si="5"/>
        <v>0</v>
      </c>
      <c r="F31" s="1601">
        <f t="shared" si="5"/>
        <v>0</v>
      </c>
      <c r="G31" s="1601">
        <f t="shared" si="5"/>
        <v>0</v>
      </c>
      <c r="H31" s="1601">
        <f t="shared" si="5"/>
        <v>0</v>
      </c>
      <c r="I31" s="1601">
        <f t="shared" si="5"/>
        <v>0</v>
      </c>
    </row>
    <row r="32" spans="1:9" ht="17.25" hidden="1" customHeight="1" outlineLevel="1" x14ac:dyDescent="0.25">
      <c r="B32" s="1599" t="s">
        <v>349</v>
      </c>
      <c r="C32" s="1600" t="s">
        <v>72</v>
      </c>
      <c r="D32" s="1601">
        <f>+'Souhrn příjmů a výdajů 2018'!H33/1000</f>
        <v>0</v>
      </c>
      <c r="E32" s="1601">
        <f t="shared" si="5"/>
        <v>0</v>
      </c>
      <c r="F32" s="1601">
        <f t="shared" si="5"/>
        <v>0</v>
      </c>
      <c r="G32" s="1601">
        <f t="shared" si="5"/>
        <v>0</v>
      </c>
      <c r="H32" s="1601">
        <f t="shared" si="5"/>
        <v>0</v>
      </c>
      <c r="I32" s="1601">
        <f t="shared" si="5"/>
        <v>0</v>
      </c>
    </row>
    <row r="33" spans="2:9" ht="17.25" hidden="1" customHeight="1" outlineLevel="1" x14ac:dyDescent="0.25">
      <c r="B33" s="1599" t="s">
        <v>75</v>
      </c>
      <c r="C33" s="1600" t="s">
        <v>72</v>
      </c>
      <c r="D33" s="1601">
        <f>+'Souhrn příjmů a výdajů 2018'!H34/1000</f>
        <v>0</v>
      </c>
      <c r="E33" s="1601">
        <f t="shared" si="5"/>
        <v>0</v>
      </c>
      <c r="F33" s="1601">
        <f t="shared" si="5"/>
        <v>0</v>
      </c>
      <c r="G33" s="1601">
        <f t="shared" si="5"/>
        <v>0</v>
      </c>
      <c r="H33" s="1601">
        <f t="shared" si="5"/>
        <v>0</v>
      </c>
      <c r="I33" s="1601">
        <f t="shared" si="5"/>
        <v>0</v>
      </c>
    </row>
    <row r="34" spans="2:9" ht="17.25" hidden="1" customHeight="1" outlineLevel="1" x14ac:dyDescent="0.25">
      <c r="B34" s="1599" t="s">
        <v>349</v>
      </c>
      <c r="C34" s="1600" t="s">
        <v>72</v>
      </c>
      <c r="D34" s="1601">
        <f>+'Souhrn příjmů a výdajů 2018'!H35/1000</f>
        <v>0</v>
      </c>
      <c r="E34" s="1601">
        <f t="shared" si="5"/>
        <v>0</v>
      </c>
      <c r="F34" s="1601">
        <f t="shared" si="5"/>
        <v>0</v>
      </c>
      <c r="G34" s="1601">
        <f t="shared" si="5"/>
        <v>0</v>
      </c>
      <c r="H34" s="1601">
        <f t="shared" si="5"/>
        <v>0</v>
      </c>
      <c r="I34" s="1601">
        <f t="shared" si="5"/>
        <v>0</v>
      </c>
    </row>
    <row r="35" spans="2:9" ht="17.25" hidden="1" customHeight="1" outlineLevel="1" x14ac:dyDescent="0.25">
      <c r="B35" s="1599" t="s">
        <v>629</v>
      </c>
      <c r="C35" s="1600">
        <v>2132</v>
      </c>
      <c r="D35" s="1601">
        <f>+'Souhrn příjmů a výdajů 2018'!H36/1000</f>
        <v>0</v>
      </c>
      <c r="E35" s="1601">
        <f t="shared" si="5"/>
        <v>0</v>
      </c>
      <c r="F35" s="1601">
        <f t="shared" si="5"/>
        <v>0</v>
      </c>
      <c r="G35" s="1601">
        <f t="shared" si="5"/>
        <v>0</v>
      </c>
      <c r="H35" s="1601">
        <f t="shared" si="5"/>
        <v>0</v>
      </c>
      <c r="I35" s="1601">
        <f t="shared" si="5"/>
        <v>0</v>
      </c>
    </row>
    <row r="36" spans="2:9" ht="17.25" hidden="1" customHeight="1" outlineLevel="1" x14ac:dyDescent="0.25">
      <c r="B36" s="1599" t="s">
        <v>77</v>
      </c>
      <c r="C36" s="1600" t="s">
        <v>76</v>
      </c>
      <c r="D36" s="1598">
        <f>+'Souhrn příjmů a výdajů 2018'!H37/1000</f>
        <v>3075</v>
      </c>
      <c r="E36" s="1601">
        <f>'Sumář příjmů kapitol'!T71/1000</f>
        <v>3512</v>
      </c>
      <c r="F36" s="1601">
        <f>'Sumář příjmů kapitol'!U71/1000</f>
        <v>3972</v>
      </c>
      <c r="G36" s="1601">
        <f t="shared" ref="G36:I55" si="6">+F36</f>
        <v>3972</v>
      </c>
      <c r="H36" s="1601">
        <f t="shared" si="6"/>
        <v>3972</v>
      </c>
      <c r="I36" s="1601">
        <f t="shared" si="6"/>
        <v>3972</v>
      </c>
    </row>
    <row r="37" spans="2:9" ht="17.25" hidden="1" customHeight="1" outlineLevel="1" x14ac:dyDescent="0.25">
      <c r="B37" s="1599" t="s">
        <v>79</v>
      </c>
      <c r="C37" s="1600" t="s">
        <v>76</v>
      </c>
      <c r="D37" s="1598">
        <f>+'Souhrn příjmů a výdajů 2018'!H38/1000</f>
        <v>6016</v>
      </c>
      <c r="E37" s="1601">
        <f>'Sumář příjmů kapitol'!T72/1000</f>
        <v>6567</v>
      </c>
      <c r="F37" s="1601">
        <f>'Sumář příjmů kapitol'!U72/1000</f>
        <v>7146</v>
      </c>
      <c r="G37" s="1601">
        <f t="shared" si="6"/>
        <v>7146</v>
      </c>
      <c r="H37" s="1601">
        <f t="shared" si="6"/>
        <v>7146</v>
      </c>
      <c r="I37" s="1601">
        <f t="shared" si="6"/>
        <v>7146</v>
      </c>
    </row>
    <row r="38" spans="2:9" ht="17.25" hidden="1" customHeight="1" outlineLevel="1" x14ac:dyDescent="0.25">
      <c r="B38" s="1599" t="s">
        <v>81</v>
      </c>
      <c r="C38" s="1600" t="s">
        <v>80</v>
      </c>
      <c r="D38" s="1601">
        <f>+'Souhrn příjmů a výdajů 2018'!H40/1000</f>
        <v>50</v>
      </c>
      <c r="E38" s="1601">
        <f t="shared" ref="E38:F57" si="7">+D38</f>
        <v>50</v>
      </c>
      <c r="F38" s="1601">
        <f t="shared" si="7"/>
        <v>50</v>
      </c>
      <c r="G38" s="1601">
        <f t="shared" si="6"/>
        <v>50</v>
      </c>
      <c r="H38" s="1601">
        <f t="shared" si="6"/>
        <v>50</v>
      </c>
      <c r="I38" s="1601">
        <f t="shared" si="6"/>
        <v>50</v>
      </c>
    </row>
    <row r="39" spans="2:9" ht="17.25" hidden="1" customHeight="1" outlineLevel="1" x14ac:dyDescent="0.25">
      <c r="B39" s="1599" t="s">
        <v>82</v>
      </c>
      <c r="C39" s="1600" t="s">
        <v>76</v>
      </c>
      <c r="D39" s="1601">
        <f>+'Souhrn příjmů a výdajů 2018'!H41/1000</f>
        <v>154</v>
      </c>
      <c r="E39" s="1601">
        <f t="shared" si="7"/>
        <v>154</v>
      </c>
      <c r="F39" s="1601">
        <f t="shared" si="7"/>
        <v>154</v>
      </c>
      <c r="G39" s="1601">
        <f t="shared" si="6"/>
        <v>154</v>
      </c>
      <c r="H39" s="1601">
        <f t="shared" si="6"/>
        <v>154</v>
      </c>
      <c r="I39" s="1601">
        <f t="shared" si="6"/>
        <v>154</v>
      </c>
    </row>
    <row r="40" spans="2:9" ht="17.25" hidden="1" customHeight="1" outlineLevel="1" x14ac:dyDescent="0.25">
      <c r="B40" s="1599" t="s">
        <v>83</v>
      </c>
      <c r="C40" s="1600">
        <v>2111</v>
      </c>
      <c r="D40" s="1601">
        <f>+'Souhrn příjmů a výdajů 2018'!H42/1000</f>
        <v>0</v>
      </c>
      <c r="E40" s="1601">
        <f t="shared" si="7"/>
        <v>0</v>
      </c>
      <c r="F40" s="1601">
        <f t="shared" si="7"/>
        <v>0</v>
      </c>
      <c r="G40" s="1601">
        <f t="shared" si="6"/>
        <v>0</v>
      </c>
      <c r="H40" s="1601">
        <f t="shared" si="6"/>
        <v>0</v>
      </c>
      <c r="I40" s="1601">
        <f t="shared" si="6"/>
        <v>0</v>
      </c>
    </row>
    <row r="41" spans="2:9" ht="17.25" hidden="1" customHeight="1" outlineLevel="1" x14ac:dyDescent="0.25">
      <c r="B41" s="1599" t="s">
        <v>84</v>
      </c>
      <c r="C41" s="1600">
        <v>2132</v>
      </c>
      <c r="D41" s="1601">
        <f>+'Souhrn příjmů a výdajů 2018'!H43/1000</f>
        <v>0</v>
      </c>
      <c r="E41" s="1601">
        <f t="shared" si="7"/>
        <v>0</v>
      </c>
      <c r="F41" s="1601">
        <f t="shared" si="7"/>
        <v>0</v>
      </c>
      <c r="G41" s="1601">
        <f t="shared" si="6"/>
        <v>0</v>
      </c>
      <c r="H41" s="1601">
        <f t="shared" si="6"/>
        <v>0</v>
      </c>
      <c r="I41" s="1601">
        <f t="shared" si="6"/>
        <v>0</v>
      </c>
    </row>
    <row r="42" spans="2:9" ht="17.25" hidden="1" customHeight="1" outlineLevel="1" x14ac:dyDescent="0.25">
      <c r="B42" s="1599" t="s">
        <v>615</v>
      </c>
      <c r="C42" s="1600">
        <v>2322</v>
      </c>
      <c r="D42" s="1601">
        <f>+'Souhrn příjmů a výdajů 2018'!H44/1000</f>
        <v>0</v>
      </c>
      <c r="E42" s="1601">
        <f t="shared" si="7"/>
        <v>0</v>
      </c>
      <c r="F42" s="1601">
        <f t="shared" si="7"/>
        <v>0</v>
      </c>
      <c r="G42" s="1601">
        <f t="shared" si="6"/>
        <v>0</v>
      </c>
      <c r="H42" s="1601">
        <f t="shared" si="6"/>
        <v>0</v>
      </c>
      <c r="I42" s="1601">
        <f t="shared" si="6"/>
        <v>0</v>
      </c>
    </row>
    <row r="43" spans="2:9" ht="17.25" hidden="1" customHeight="1" outlineLevel="1" x14ac:dyDescent="0.25">
      <c r="B43" s="1599" t="s">
        <v>85</v>
      </c>
      <c r="C43" s="1600">
        <v>2111</v>
      </c>
      <c r="D43" s="1601">
        <f>+'Souhrn příjmů a výdajů 2018'!H45/1000</f>
        <v>50</v>
      </c>
      <c r="E43" s="1601">
        <f t="shared" si="7"/>
        <v>50</v>
      </c>
      <c r="F43" s="1601">
        <f t="shared" si="7"/>
        <v>50</v>
      </c>
      <c r="G43" s="1601">
        <f t="shared" si="6"/>
        <v>50</v>
      </c>
      <c r="H43" s="1601">
        <f t="shared" si="6"/>
        <v>50</v>
      </c>
      <c r="I43" s="1601">
        <f t="shared" si="6"/>
        <v>50</v>
      </c>
    </row>
    <row r="44" spans="2:9" ht="17.25" hidden="1" customHeight="1" outlineLevel="1" x14ac:dyDescent="0.25">
      <c r="B44" s="1599" t="s">
        <v>86</v>
      </c>
      <c r="C44" s="1600">
        <v>2111</v>
      </c>
      <c r="D44" s="1601">
        <f>+'Souhrn příjmů a výdajů 2018'!H46/1000</f>
        <v>250</v>
      </c>
      <c r="E44" s="1601">
        <f t="shared" si="7"/>
        <v>250</v>
      </c>
      <c r="F44" s="1601">
        <f t="shared" si="7"/>
        <v>250</v>
      </c>
      <c r="G44" s="1601">
        <f t="shared" si="6"/>
        <v>250</v>
      </c>
      <c r="H44" s="1601">
        <f t="shared" si="6"/>
        <v>250</v>
      </c>
      <c r="I44" s="1601">
        <f t="shared" si="6"/>
        <v>250</v>
      </c>
    </row>
    <row r="45" spans="2:9" ht="17.25" hidden="1" customHeight="1" outlineLevel="1" x14ac:dyDescent="0.25">
      <c r="B45" s="1599" t="s">
        <v>87</v>
      </c>
      <c r="C45" s="1600" t="s">
        <v>80</v>
      </c>
      <c r="D45" s="1601">
        <f>+'Souhrn příjmů a výdajů 2018'!H47/1000</f>
        <v>70</v>
      </c>
      <c r="E45" s="1601">
        <f t="shared" si="7"/>
        <v>70</v>
      </c>
      <c r="F45" s="1601">
        <f t="shared" si="7"/>
        <v>70</v>
      </c>
      <c r="G45" s="1601">
        <f t="shared" si="6"/>
        <v>70</v>
      </c>
      <c r="H45" s="1601">
        <f t="shared" si="6"/>
        <v>70</v>
      </c>
      <c r="I45" s="1601">
        <f t="shared" si="6"/>
        <v>70</v>
      </c>
    </row>
    <row r="46" spans="2:9" ht="17.25" hidden="1" customHeight="1" outlineLevel="1" x14ac:dyDescent="0.25">
      <c r="B46" s="1599" t="s">
        <v>88</v>
      </c>
      <c r="C46" s="1600" t="s">
        <v>78</v>
      </c>
      <c r="D46" s="1601">
        <f>+'Souhrn příjmů a výdajů 2018'!H49/1000</f>
        <v>0</v>
      </c>
      <c r="E46" s="1601">
        <f t="shared" si="7"/>
        <v>0</v>
      </c>
      <c r="F46" s="1601">
        <f t="shared" si="7"/>
        <v>0</v>
      </c>
      <c r="G46" s="1601">
        <f t="shared" si="6"/>
        <v>0</v>
      </c>
      <c r="H46" s="1601">
        <f t="shared" si="6"/>
        <v>0</v>
      </c>
      <c r="I46" s="1601">
        <f t="shared" si="6"/>
        <v>0</v>
      </c>
    </row>
    <row r="47" spans="2:9" ht="17.25" hidden="1" customHeight="1" outlineLevel="1" x14ac:dyDescent="0.25">
      <c r="B47" s="1599" t="s">
        <v>89</v>
      </c>
      <c r="C47" s="1600">
        <v>2132</v>
      </c>
      <c r="D47" s="1601">
        <f>+'Souhrn příjmů a výdajů 2018'!H50/1000</f>
        <v>0</v>
      </c>
      <c r="E47" s="1601">
        <f t="shared" si="7"/>
        <v>0</v>
      </c>
      <c r="F47" s="1601">
        <f t="shared" si="7"/>
        <v>0</v>
      </c>
      <c r="G47" s="1601">
        <f t="shared" si="6"/>
        <v>0</v>
      </c>
      <c r="H47" s="1601">
        <f t="shared" si="6"/>
        <v>0</v>
      </c>
      <c r="I47" s="1601">
        <f t="shared" si="6"/>
        <v>0</v>
      </c>
    </row>
    <row r="48" spans="2:9" ht="17.25" hidden="1" customHeight="1" outlineLevel="1" x14ac:dyDescent="0.25">
      <c r="B48" s="1609" t="s">
        <v>90</v>
      </c>
      <c r="C48" s="1610" t="s">
        <v>80</v>
      </c>
      <c r="D48" s="1601">
        <f>+'Souhrn příjmů a výdajů 2018'!H51/1000</f>
        <v>0</v>
      </c>
      <c r="E48" s="1601">
        <f t="shared" si="7"/>
        <v>0</v>
      </c>
      <c r="F48" s="1601">
        <f t="shared" si="7"/>
        <v>0</v>
      </c>
      <c r="G48" s="1601">
        <f t="shared" si="6"/>
        <v>0</v>
      </c>
      <c r="H48" s="1601">
        <f t="shared" si="6"/>
        <v>0</v>
      </c>
      <c r="I48" s="1601">
        <f t="shared" si="6"/>
        <v>0</v>
      </c>
    </row>
    <row r="49" spans="2:9" ht="17.25" hidden="1" customHeight="1" outlineLevel="1" x14ac:dyDescent="0.25">
      <c r="B49" s="1609" t="s">
        <v>91</v>
      </c>
      <c r="C49" s="1610" t="s">
        <v>76</v>
      </c>
      <c r="D49" s="1601">
        <f>+'Souhrn příjmů a výdajů 2018'!H52/1000</f>
        <v>0</v>
      </c>
      <c r="E49" s="1601">
        <f t="shared" si="7"/>
        <v>0</v>
      </c>
      <c r="F49" s="1601">
        <f t="shared" si="7"/>
        <v>0</v>
      </c>
      <c r="G49" s="1601">
        <f t="shared" si="6"/>
        <v>0</v>
      </c>
      <c r="H49" s="1601">
        <f t="shared" si="6"/>
        <v>0</v>
      </c>
      <c r="I49" s="1601">
        <f t="shared" si="6"/>
        <v>0</v>
      </c>
    </row>
    <row r="50" spans="2:9" ht="17.25" hidden="1" customHeight="1" outlineLevel="1" x14ac:dyDescent="0.25">
      <c r="B50" s="1599" t="s">
        <v>93</v>
      </c>
      <c r="C50" s="1600" t="s">
        <v>92</v>
      </c>
      <c r="D50" s="1601">
        <f>+'Souhrn příjmů a výdajů 2018'!H53/1000</f>
        <v>0</v>
      </c>
      <c r="E50" s="1601">
        <f t="shared" si="7"/>
        <v>0</v>
      </c>
      <c r="F50" s="1601">
        <f t="shared" si="7"/>
        <v>0</v>
      </c>
      <c r="G50" s="1601">
        <f t="shared" si="6"/>
        <v>0</v>
      </c>
      <c r="H50" s="1601">
        <f t="shared" si="6"/>
        <v>0</v>
      </c>
      <c r="I50" s="1601">
        <f t="shared" si="6"/>
        <v>0</v>
      </c>
    </row>
    <row r="51" spans="2:9" ht="17.25" hidden="1" customHeight="1" outlineLevel="1" x14ac:dyDescent="0.25">
      <c r="B51" s="1599" t="s">
        <v>94</v>
      </c>
      <c r="C51" s="1600">
        <v>2111</v>
      </c>
      <c r="D51" s="1601">
        <f>+'Souhrn příjmů a výdajů 2018'!H54/1000</f>
        <v>0</v>
      </c>
      <c r="E51" s="1601">
        <f t="shared" si="7"/>
        <v>0</v>
      </c>
      <c r="F51" s="1601">
        <f t="shared" si="7"/>
        <v>0</v>
      </c>
      <c r="G51" s="1601">
        <f t="shared" si="6"/>
        <v>0</v>
      </c>
      <c r="H51" s="1601">
        <f t="shared" si="6"/>
        <v>0</v>
      </c>
      <c r="I51" s="1601">
        <f t="shared" si="6"/>
        <v>0</v>
      </c>
    </row>
    <row r="52" spans="2:9" ht="17.25" hidden="1" customHeight="1" outlineLevel="1" x14ac:dyDescent="0.25">
      <c r="B52" s="1599" t="s">
        <v>95</v>
      </c>
      <c r="C52" s="1600">
        <v>2132</v>
      </c>
      <c r="D52" s="1601">
        <f>+'Souhrn příjmů a výdajů 2018'!H55/1000</f>
        <v>775.8</v>
      </c>
      <c r="E52" s="1601">
        <f t="shared" si="7"/>
        <v>775.8</v>
      </c>
      <c r="F52" s="1601">
        <f t="shared" si="7"/>
        <v>775.8</v>
      </c>
      <c r="G52" s="1601">
        <f t="shared" si="6"/>
        <v>775.8</v>
      </c>
      <c r="H52" s="1601">
        <f t="shared" si="6"/>
        <v>775.8</v>
      </c>
      <c r="I52" s="1601">
        <f t="shared" si="6"/>
        <v>775.8</v>
      </c>
    </row>
    <row r="53" spans="2:9" ht="17.25" hidden="1" customHeight="1" outlineLevel="1" x14ac:dyDescent="0.25">
      <c r="B53" s="1599" t="s">
        <v>96</v>
      </c>
      <c r="C53" s="1600" t="s">
        <v>92</v>
      </c>
      <c r="D53" s="1601">
        <f>+'Souhrn příjmů a výdajů 2018'!H56/1000</f>
        <v>0</v>
      </c>
      <c r="E53" s="1601">
        <f t="shared" si="7"/>
        <v>0</v>
      </c>
      <c r="F53" s="1601">
        <f t="shared" si="7"/>
        <v>0</v>
      </c>
      <c r="G53" s="1601">
        <f t="shared" si="6"/>
        <v>0</v>
      </c>
      <c r="H53" s="1601">
        <f t="shared" si="6"/>
        <v>0</v>
      </c>
      <c r="I53" s="1601">
        <f t="shared" si="6"/>
        <v>0</v>
      </c>
    </row>
    <row r="54" spans="2:9" ht="17.25" hidden="1" customHeight="1" outlineLevel="1" x14ac:dyDescent="0.25">
      <c r="B54" s="1599" t="s">
        <v>97</v>
      </c>
      <c r="C54" s="1600">
        <v>2111</v>
      </c>
      <c r="D54" s="1601">
        <f>+'Souhrn příjmů a výdajů 2018'!H57/1000</f>
        <v>1600</v>
      </c>
      <c r="E54" s="1601">
        <f t="shared" si="7"/>
        <v>1600</v>
      </c>
      <c r="F54" s="1601">
        <f t="shared" si="7"/>
        <v>1600</v>
      </c>
      <c r="G54" s="1601">
        <f t="shared" si="6"/>
        <v>1600</v>
      </c>
      <c r="H54" s="1601">
        <f t="shared" si="6"/>
        <v>1600</v>
      </c>
      <c r="I54" s="1601">
        <f t="shared" si="6"/>
        <v>1600</v>
      </c>
    </row>
    <row r="55" spans="2:9" ht="17.25" hidden="1" customHeight="1" outlineLevel="1" x14ac:dyDescent="0.25">
      <c r="B55" s="1599" t="s">
        <v>98</v>
      </c>
      <c r="C55" s="1600">
        <v>2132</v>
      </c>
      <c r="D55" s="1601">
        <f>+'Souhrn příjmů a výdajů 2018'!H58/1000</f>
        <v>3031</v>
      </c>
      <c r="E55" s="1601">
        <f t="shared" si="7"/>
        <v>3031</v>
      </c>
      <c r="F55" s="1601">
        <f t="shared" si="7"/>
        <v>3031</v>
      </c>
      <c r="G55" s="1601">
        <f t="shared" si="6"/>
        <v>3031</v>
      </c>
      <c r="H55" s="1601">
        <f t="shared" si="6"/>
        <v>3031</v>
      </c>
      <c r="I55" s="1601">
        <f t="shared" si="6"/>
        <v>3031</v>
      </c>
    </row>
    <row r="56" spans="2:9" ht="17.25" hidden="1" customHeight="1" outlineLevel="1" x14ac:dyDescent="0.25">
      <c r="B56" s="1599" t="s">
        <v>100</v>
      </c>
      <c r="C56" s="1600" t="s">
        <v>99</v>
      </c>
      <c r="D56" s="1601">
        <f>+'Souhrn příjmů a výdajů 2018'!H59/1000</f>
        <v>0</v>
      </c>
      <c r="E56" s="1601">
        <f t="shared" si="7"/>
        <v>0</v>
      </c>
      <c r="F56" s="1601">
        <f t="shared" si="7"/>
        <v>0</v>
      </c>
      <c r="G56" s="1601">
        <f t="shared" ref="G56:I75" si="8">+F56</f>
        <v>0</v>
      </c>
      <c r="H56" s="1601">
        <f t="shared" si="8"/>
        <v>0</v>
      </c>
      <c r="I56" s="1601">
        <f t="shared" si="8"/>
        <v>0</v>
      </c>
    </row>
    <row r="57" spans="2:9" ht="17.25" hidden="1" customHeight="1" outlineLevel="1" x14ac:dyDescent="0.25">
      <c r="B57" s="1599" t="s">
        <v>101</v>
      </c>
      <c r="C57" s="1600" t="s">
        <v>78</v>
      </c>
      <c r="D57" s="1601">
        <f>+'Souhrn příjmů a výdajů 2018'!H60/1000</f>
        <v>0</v>
      </c>
      <c r="E57" s="1601">
        <f t="shared" si="7"/>
        <v>0</v>
      </c>
      <c r="F57" s="1601">
        <f t="shared" si="7"/>
        <v>0</v>
      </c>
      <c r="G57" s="1601">
        <f t="shared" si="8"/>
        <v>0</v>
      </c>
      <c r="H57" s="1601">
        <f t="shared" si="8"/>
        <v>0</v>
      </c>
      <c r="I57" s="1601">
        <f t="shared" si="8"/>
        <v>0</v>
      </c>
    </row>
    <row r="58" spans="2:9" ht="17.25" hidden="1" customHeight="1" outlineLevel="1" x14ac:dyDescent="0.25">
      <c r="B58" s="1599" t="s">
        <v>102</v>
      </c>
      <c r="C58" s="1600" t="s">
        <v>80</v>
      </c>
      <c r="D58" s="1601">
        <f>+'Souhrn příjmů a výdajů 2018'!H61/1000</f>
        <v>81</v>
      </c>
      <c r="E58" s="1601">
        <f t="shared" ref="E58:F77" si="9">+D58</f>
        <v>81</v>
      </c>
      <c r="F58" s="1601">
        <f t="shared" si="9"/>
        <v>81</v>
      </c>
      <c r="G58" s="1601">
        <f t="shared" si="8"/>
        <v>81</v>
      </c>
      <c r="H58" s="1601">
        <f t="shared" si="8"/>
        <v>81</v>
      </c>
      <c r="I58" s="1601">
        <f t="shared" si="8"/>
        <v>81</v>
      </c>
    </row>
    <row r="59" spans="2:9" ht="17.25" hidden="1" customHeight="1" outlineLevel="1" x14ac:dyDescent="0.25">
      <c r="B59" s="1599" t="s">
        <v>804</v>
      </c>
      <c r="C59" s="1600">
        <v>2322</v>
      </c>
      <c r="D59" s="1601">
        <f>+'Souhrn příjmů a výdajů 2018'!H62/1000</f>
        <v>0</v>
      </c>
      <c r="E59" s="1601">
        <f t="shared" si="9"/>
        <v>0</v>
      </c>
      <c r="F59" s="1601">
        <f t="shared" si="9"/>
        <v>0</v>
      </c>
      <c r="G59" s="1601">
        <f t="shared" si="8"/>
        <v>0</v>
      </c>
      <c r="H59" s="1601">
        <f t="shared" si="8"/>
        <v>0</v>
      </c>
      <c r="I59" s="1601">
        <f t="shared" si="8"/>
        <v>0</v>
      </c>
    </row>
    <row r="60" spans="2:9" ht="17.25" hidden="1" customHeight="1" outlineLevel="1" x14ac:dyDescent="0.25">
      <c r="B60" s="1599" t="s">
        <v>965</v>
      </c>
      <c r="C60" s="1600">
        <v>2132</v>
      </c>
      <c r="D60" s="1601">
        <f>+'Souhrn příjmů a výdajů 2018'!H63/1000</f>
        <v>240</v>
      </c>
      <c r="E60" s="1601">
        <f t="shared" si="9"/>
        <v>240</v>
      </c>
      <c r="F60" s="1601">
        <f t="shared" si="9"/>
        <v>240</v>
      </c>
      <c r="G60" s="1601">
        <f t="shared" si="8"/>
        <v>240</v>
      </c>
      <c r="H60" s="1601">
        <f t="shared" si="8"/>
        <v>240</v>
      </c>
      <c r="I60" s="1601">
        <f t="shared" si="8"/>
        <v>240</v>
      </c>
    </row>
    <row r="61" spans="2:9" ht="17.25" hidden="1" customHeight="1" outlineLevel="1" x14ac:dyDescent="0.25">
      <c r="B61" s="1599" t="s">
        <v>966</v>
      </c>
      <c r="C61" s="1600">
        <v>2111</v>
      </c>
      <c r="D61" s="1601">
        <f>+'Souhrn příjmů a výdajů 2018'!H64/1000</f>
        <v>78</v>
      </c>
      <c r="E61" s="1601">
        <f t="shared" si="9"/>
        <v>78</v>
      </c>
      <c r="F61" s="1601">
        <f t="shared" si="9"/>
        <v>78</v>
      </c>
      <c r="G61" s="1601">
        <f t="shared" si="8"/>
        <v>78</v>
      </c>
      <c r="H61" s="1601">
        <f t="shared" si="8"/>
        <v>78</v>
      </c>
      <c r="I61" s="1601">
        <f t="shared" si="8"/>
        <v>78</v>
      </c>
    </row>
    <row r="62" spans="2:9" ht="17.25" hidden="1" customHeight="1" outlineLevel="1" x14ac:dyDescent="0.25">
      <c r="B62" s="1599" t="s">
        <v>103</v>
      </c>
      <c r="C62" s="1600">
        <v>2132</v>
      </c>
      <c r="D62" s="1601">
        <f>+'Souhrn příjmů a výdajů 2018'!H65/1000</f>
        <v>400</v>
      </c>
      <c r="E62" s="1601">
        <f t="shared" si="9"/>
        <v>400</v>
      </c>
      <c r="F62" s="1601">
        <f t="shared" si="9"/>
        <v>400</v>
      </c>
      <c r="G62" s="1601">
        <f t="shared" si="8"/>
        <v>400</v>
      </c>
      <c r="H62" s="1601">
        <f t="shared" si="8"/>
        <v>400</v>
      </c>
      <c r="I62" s="1601">
        <f t="shared" si="8"/>
        <v>400</v>
      </c>
    </row>
    <row r="63" spans="2:9" ht="17.25" hidden="1" customHeight="1" outlineLevel="1" x14ac:dyDescent="0.25">
      <c r="B63" s="1599" t="s">
        <v>824</v>
      </c>
      <c r="C63" s="1600">
        <v>2132</v>
      </c>
      <c r="D63" s="1598">
        <f>+'Souhrn příjmů a výdajů 2018'!H66/1000</f>
        <v>1063</v>
      </c>
      <c r="E63" s="1601">
        <f t="shared" si="9"/>
        <v>1063</v>
      </c>
      <c r="F63" s="1601">
        <f t="shared" si="9"/>
        <v>1063</v>
      </c>
      <c r="G63" s="1601">
        <f t="shared" si="8"/>
        <v>1063</v>
      </c>
      <c r="H63" s="1601">
        <f t="shared" si="8"/>
        <v>1063</v>
      </c>
      <c r="I63" s="1601">
        <f t="shared" si="8"/>
        <v>1063</v>
      </c>
    </row>
    <row r="64" spans="2:9" ht="17.25" hidden="1" customHeight="1" outlineLevel="1" x14ac:dyDescent="0.25">
      <c r="B64" s="1599" t="s">
        <v>104</v>
      </c>
      <c r="C64" s="1600">
        <v>2111</v>
      </c>
      <c r="D64" s="1601">
        <f>+'Souhrn příjmů a výdajů 2018'!H67/1000</f>
        <v>250</v>
      </c>
      <c r="E64" s="1601">
        <f t="shared" si="9"/>
        <v>250</v>
      </c>
      <c r="F64" s="1601">
        <f t="shared" si="9"/>
        <v>250</v>
      </c>
      <c r="G64" s="1601">
        <f t="shared" si="8"/>
        <v>250</v>
      </c>
      <c r="H64" s="1601">
        <f t="shared" si="8"/>
        <v>250</v>
      </c>
      <c r="I64" s="1601">
        <f t="shared" si="8"/>
        <v>250</v>
      </c>
    </row>
    <row r="65" spans="2:9" ht="17.25" hidden="1" customHeight="1" outlineLevel="1" x14ac:dyDescent="0.25">
      <c r="B65" s="1599" t="s">
        <v>106</v>
      </c>
      <c r="C65" s="1600" t="s">
        <v>80</v>
      </c>
      <c r="D65" s="1601">
        <f>+'Souhrn příjmů a výdajů 2018'!H68/1000</f>
        <v>0</v>
      </c>
      <c r="E65" s="1601">
        <f t="shared" si="9"/>
        <v>0</v>
      </c>
      <c r="F65" s="1601">
        <f t="shared" si="9"/>
        <v>0</v>
      </c>
      <c r="G65" s="1601">
        <f t="shared" si="8"/>
        <v>0</v>
      </c>
      <c r="H65" s="1601">
        <f t="shared" si="8"/>
        <v>0</v>
      </c>
      <c r="I65" s="1601">
        <f t="shared" si="8"/>
        <v>0</v>
      </c>
    </row>
    <row r="66" spans="2:9" ht="17.25" hidden="1" customHeight="1" outlineLevel="1" x14ac:dyDescent="0.25">
      <c r="B66" s="1599" t="s">
        <v>105</v>
      </c>
      <c r="C66" s="1600" t="s">
        <v>76</v>
      </c>
      <c r="D66" s="1611">
        <f>+'Souhrn příjmů a výdajů 2018'!H69/1000</f>
        <v>0</v>
      </c>
      <c r="E66" s="1601">
        <f t="shared" si="9"/>
        <v>0</v>
      </c>
      <c r="F66" s="1601">
        <f t="shared" si="9"/>
        <v>0</v>
      </c>
      <c r="G66" s="1601">
        <f t="shared" si="8"/>
        <v>0</v>
      </c>
      <c r="H66" s="1601">
        <f t="shared" si="8"/>
        <v>0</v>
      </c>
      <c r="I66" s="1601">
        <f t="shared" si="8"/>
        <v>0</v>
      </c>
    </row>
    <row r="67" spans="2:9" ht="17.25" hidden="1" customHeight="1" outlineLevel="1" x14ac:dyDescent="0.25">
      <c r="B67" s="1599" t="s">
        <v>107</v>
      </c>
      <c r="C67" s="1600" t="s">
        <v>80</v>
      </c>
      <c r="D67" s="1601">
        <f>+'Souhrn příjmů a výdajů 2018'!H70/1000</f>
        <v>800</v>
      </c>
      <c r="E67" s="1601">
        <f t="shared" si="9"/>
        <v>800</v>
      </c>
      <c r="F67" s="1601">
        <f t="shared" si="9"/>
        <v>800</v>
      </c>
      <c r="G67" s="1601">
        <f t="shared" si="8"/>
        <v>800</v>
      </c>
      <c r="H67" s="1601">
        <f t="shared" si="8"/>
        <v>800</v>
      </c>
      <c r="I67" s="1601">
        <f t="shared" si="8"/>
        <v>800</v>
      </c>
    </row>
    <row r="68" spans="2:9" ht="17.25" hidden="1" customHeight="1" outlineLevel="1" x14ac:dyDescent="0.25">
      <c r="B68" s="1599" t="s">
        <v>108</v>
      </c>
      <c r="C68" s="1600" t="s">
        <v>80</v>
      </c>
      <c r="D68" s="1601">
        <f>+'Souhrn příjmů a výdajů 2018'!H71/1000</f>
        <v>350</v>
      </c>
      <c r="E68" s="1601">
        <f t="shared" si="9"/>
        <v>350</v>
      </c>
      <c r="F68" s="1601">
        <f t="shared" si="9"/>
        <v>350</v>
      </c>
      <c r="G68" s="1601">
        <f t="shared" si="8"/>
        <v>350</v>
      </c>
      <c r="H68" s="1601">
        <f t="shared" si="8"/>
        <v>350</v>
      </c>
      <c r="I68" s="1601">
        <f t="shared" si="8"/>
        <v>350</v>
      </c>
    </row>
    <row r="69" spans="2:9" ht="17.25" hidden="1" customHeight="1" outlineLevel="1" x14ac:dyDescent="0.25">
      <c r="B69" s="1599" t="s">
        <v>630</v>
      </c>
      <c r="C69" s="1600">
        <v>2321</v>
      </c>
      <c r="D69" s="1601">
        <f>+'Souhrn příjmů a výdajů 2018'!H72/1000</f>
        <v>0</v>
      </c>
      <c r="E69" s="1601">
        <f t="shared" si="9"/>
        <v>0</v>
      </c>
      <c r="F69" s="1601">
        <f t="shared" si="9"/>
        <v>0</v>
      </c>
      <c r="G69" s="1601">
        <f t="shared" si="8"/>
        <v>0</v>
      </c>
      <c r="H69" s="1601">
        <f t="shared" si="8"/>
        <v>0</v>
      </c>
      <c r="I69" s="1601">
        <f t="shared" si="8"/>
        <v>0</v>
      </c>
    </row>
    <row r="70" spans="2:9" ht="17.25" hidden="1" customHeight="1" outlineLevel="1" x14ac:dyDescent="0.25">
      <c r="B70" s="1599" t="s">
        <v>109</v>
      </c>
      <c r="C70" s="1600">
        <v>2111</v>
      </c>
      <c r="D70" s="1601">
        <f>+'Souhrn příjmů a výdajů 2018'!H73/1000</f>
        <v>20</v>
      </c>
      <c r="E70" s="1601">
        <f t="shared" si="9"/>
        <v>20</v>
      </c>
      <c r="F70" s="1601">
        <f t="shared" si="9"/>
        <v>20</v>
      </c>
      <c r="G70" s="1601">
        <f t="shared" si="8"/>
        <v>20</v>
      </c>
      <c r="H70" s="1601">
        <f t="shared" si="8"/>
        <v>20</v>
      </c>
      <c r="I70" s="1601">
        <f t="shared" si="8"/>
        <v>20</v>
      </c>
    </row>
    <row r="71" spans="2:9" ht="17.25" hidden="1" customHeight="1" outlineLevel="1" x14ac:dyDescent="0.25">
      <c r="B71" s="1599" t="s">
        <v>350</v>
      </c>
      <c r="C71" s="1600" t="s">
        <v>92</v>
      </c>
      <c r="D71" s="1601">
        <f>+'Souhrn příjmů a výdajů 2018'!H74/1000</f>
        <v>0</v>
      </c>
      <c r="E71" s="1601">
        <f t="shared" si="9"/>
        <v>0</v>
      </c>
      <c r="F71" s="1601">
        <f t="shared" si="9"/>
        <v>0</v>
      </c>
      <c r="G71" s="1601">
        <f t="shared" si="8"/>
        <v>0</v>
      </c>
      <c r="H71" s="1601">
        <f t="shared" si="8"/>
        <v>0</v>
      </c>
      <c r="I71" s="1601">
        <f t="shared" si="8"/>
        <v>0</v>
      </c>
    </row>
    <row r="72" spans="2:9" ht="17.25" hidden="1" customHeight="1" outlineLevel="1" x14ac:dyDescent="0.25">
      <c r="B72" s="1599" t="s">
        <v>110</v>
      </c>
      <c r="C72" s="1600">
        <v>2132</v>
      </c>
      <c r="D72" s="1601">
        <f>+'Souhrn příjmů a výdajů 2018'!H75/1000</f>
        <v>24</v>
      </c>
      <c r="E72" s="1601">
        <f t="shared" si="9"/>
        <v>24</v>
      </c>
      <c r="F72" s="1601">
        <f t="shared" si="9"/>
        <v>24</v>
      </c>
      <c r="G72" s="1601">
        <f t="shared" si="8"/>
        <v>24</v>
      </c>
      <c r="H72" s="1601">
        <f t="shared" si="8"/>
        <v>24</v>
      </c>
      <c r="I72" s="1601">
        <f t="shared" si="8"/>
        <v>24</v>
      </c>
    </row>
    <row r="73" spans="2:9" ht="17.25" hidden="1" customHeight="1" outlineLevel="1" x14ac:dyDescent="0.25">
      <c r="B73" s="1599" t="s">
        <v>111</v>
      </c>
      <c r="C73" s="1600" t="s">
        <v>99</v>
      </c>
      <c r="D73" s="1601">
        <f>+'Souhrn příjmů a výdajů 2018'!H76/1000</f>
        <v>0</v>
      </c>
      <c r="E73" s="1601">
        <f t="shared" si="9"/>
        <v>0</v>
      </c>
      <c r="F73" s="1601">
        <f t="shared" si="9"/>
        <v>0</v>
      </c>
      <c r="G73" s="1601">
        <f t="shared" si="8"/>
        <v>0</v>
      </c>
      <c r="H73" s="1601">
        <f t="shared" si="8"/>
        <v>0</v>
      </c>
      <c r="I73" s="1601">
        <f t="shared" si="8"/>
        <v>0</v>
      </c>
    </row>
    <row r="74" spans="2:9" ht="17.25" hidden="1" customHeight="1" outlineLevel="1" x14ac:dyDescent="0.25">
      <c r="B74" s="1599" t="s">
        <v>112</v>
      </c>
      <c r="C74" s="1600" t="s">
        <v>78</v>
      </c>
      <c r="D74" s="1601">
        <f>+'Souhrn příjmů a výdajů 2018'!H77/1000</f>
        <v>0</v>
      </c>
      <c r="E74" s="1601">
        <f t="shared" si="9"/>
        <v>0</v>
      </c>
      <c r="F74" s="1601">
        <f t="shared" si="9"/>
        <v>0</v>
      </c>
      <c r="G74" s="1601">
        <f t="shared" si="8"/>
        <v>0</v>
      </c>
      <c r="H74" s="1601">
        <f t="shared" si="8"/>
        <v>0</v>
      </c>
      <c r="I74" s="1601">
        <f t="shared" si="8"/>
        <v>0</v>
      </c>
    </row>
    <row r="75" spans="2:9" ht="17.25" hidden="1" customHeight="1" outlineLevel="1" x14ac:dyDescent="0.25">
      <c r="B75" s="1599" t="s">
        <v>113</v>
      </c>
      <c r="C75" s="1600" t="s">
        <v>80</v>
      </c>
      <c r="D75" s="1601">
        <f>+'Souhrn příjmů a výdajů 2018'!H78/1000</f>
        <v>0</v>
      </c>
      <c r="E75" s="1601">
        <f t="shared" si="9"/>
        <v>0</v>
      </c>
      <c r="F75" s="1601">
        <f t="shared" si="9"/>
        <v>0</v>
      </c>
      <c r="G75" s="1601">
        <f t="shared" si="8"/>
        <v>0</v>
      </c>
      <c r="H75" s="1601">
        <f t="shared" si="8"/>
        <v>0</v>
      </c>
      <c r="I75" s="1601">
        <f t="shared" si="8"/>
        <v>0</v>
      </c>
    </row>
    <row r="76" spans="2:9" ht="17.25" hidden="1" customHeight="1" outlineLevel="1" x14ac:dyDescent="0.25">
      <c r="B76" s="1599" t="s">
        <v>112</v>
      </c>
      <c r="C76" s="1600" t="s">
        <v>78</v>
      </c>
      <c r="D76" s="1601">
        <f>+'Souhrn příjmů a výdajů 2018'!H79/1000</f>
        <v>0</v>
      </c>
      <c r="E76" s="1601">
        <f t="shared" si="9"/>
        <v>0</v>
      </c>
      <c r="F76" s="1601">
        <f t="shared" si="9"/>
        <v>0</v>
      </c>
      <c r="G76" s="1601">
        <f t="shared" ref="G76:I88" si="10">+F76</f>
        <v>0</v>
      </c>
      <c r="H76" s="1601">
        <f t="shared" si="10"/>
        <v>0</v>
      </c>
      <c r="I76" s="1601">
        <f t="shared" si="10"/>
        <v>0</v>
      </c>
    </row>
    <row r="77" spans="2:9" ht="17.25" hidden="1" customHeight="1" outlineLevel="1" x14ac:dyDescent="0.25">
      <c r="B77" s="1599" t="s">
        <v>113</v>
      </c>
      <c r="C77" s="1600" t="s">
        <v>80</v>
      </c>
      <c r="D77" s="1601">
        <f>+'Souhrn příjmů a výdajů 2018'!H80/1000</f>
        <v>0</v>
      </c>
      <c r="E77" s="1601">
        <f t="shared" si="9"/>
        <v>0</v>
      </c>
      <c r="F77" s="1601">
        <f t="shared" si="9"/>
        <v>0</v>
      </c>
      <c r="G77" s="1601">
        <f t="shared" si="10"/>
        <v>0</v>
      </c>
      <c r="H77" s="1601">
        <f t="shared" si="10"/>
        <v>0</v>
      </c>
      <c r="I77" s="1601">
        <f t="shared" si="10"/>
        <v>0</v>
      </c>
    </row>
    <row r="78" spans="2:9" ht="17.25" hidden="1" customHeight="1" outlineLevel="1" x14ac:dyDescent="0.25">
      <c r="B78" s="1599" t="s">
        <v>114</v>
      </c>
      <c r="C78" s="1600">
        <v>2111</v>
      </c>
      <c r="D78" s="1601">
        <f>+'Souhrn příjmů a výdajů 2018'!H81/1000</f>
        <v>3</v>
      </c>
      <c r="E78" s="1601">
        <f t="shared" ref="E78:F88" si="11">+D78</f>
        <v>3</v>
      </c>
      <c r="F78" s="1601">
        <f t="shared" si="11"/>
        <v>3</v>
      </c>
      <c r="G78" s="1601">
        <f t="shared" si="10"/>
        <v>3</v>
      </c>
      <c r="H78" s="1601">
        <f t="shared" si="10"/>
        <v>3</v>
      </c>
      <c r="I78" s="1601">
        <f t="shared" si="10"/>
        <v>3</v>
      </c>
    </row>
    <row r="79" spans="2:9" ht="17.25" hidden="1" customHeight="1" outlineLevel="1" x14ac:dyDescent="0.25">
      <c r="B79" s="1599" t="s">
        <v>115</v>
      </c>
      <c r="C79" s="1600">
        <v>2141</v>
      </c>
      <c r="D79" s="1601">
        <f>+'Souhrn příjmů a výdajů 2018'!H82/1000</f>
        <v>10</v>
      </c>
      <c r="E79" s="1601">
        <f t="shared" si="11"/>
        <v>10</v>
      </c>
      <c r="F79" s="1601">
        <f t="shared" si="11"/>
        <v>10</v>
      </c>
      <c r="G79" s="1601">
        <f t="shared" si="10"/>
        <v>10</v>
      </c>
      <c r="H79" s="1601">
        <f t="shared" si="10"/>
        <v>10</v>
      </c>
      <c r="I79" s="1601">
        <f t="shared" si="10"/>
        <v>10</v>
      </c>
    </row>
    <row r="80" spans="2:9" ht="17.25" hidden="1" customHeight="1" outlineLevel="1" x14ac:dyDescent="0.25">
      <c r="B80" s="1599" t="s">
        <v>814</v>
      </c>
      <c r="C80" s="1600">
        <v>2212</v>
      </c>
      <c r="D80" s="1601">
        <f>+'Souhrn příjmů a výdajů 2018'!H83/1000</f>
        <v>0</v>
      </c>
      <c r="E80" s="1601">
        <f t="shared" si="11"/>
        <v>0</v>
      </c>
      <c r="F80" s="1601">
        <f t="shared" si="11"/>
        <v>0</v>
      </c>
      <c r="G80" s="1601">
        <f t="shared" si="10"/>
        <v>0</v>
      </c>
      <c r="H80" s="1601">
        <f t="shared" si="10"/>
        <v>0</v>
      </c>
      <c r="I80" s="1601">
        <f t="shared" si="10"/>
        <v>0</v>
      </c>
    </row>
    <row r="81" spans="1:9" ht="17.25" hidden="1" customHeight="1" outlineLevel="1" x14ac:dyDescent="0.25">
      <c r="B81" s="1599" t="s">
        <v>813</v>
      </c>
      <c r="C81" s="1600">
        <v>2212</v>
      </c>
      <c r="D81" s="1601">
        <f>+'Souhrn příjmů a výdajů 2018'!H84/1000</f>
        <v>0</v>
      </c>
      <c r="E81" s="1601">
        <f t="shared" si="11"/>
        <v>0</v>
      </c>
      <c r="F81" s="1601">
        <f t="shared" si="11"/>
        <v>0</v>
      </c>
      <c r="G81" s="1601">
        <f t="shared" si="10"/>
        <v>0</v>
      </c>
      <c r="H81" s="1601">
        <f t="shared" si="10"/>
        <v>0</v>
      </c>
      <c r="I81" s="1601">
        <f t="shared" si="10"/>
        <v>0</v>
      </c>
    </row>
    <row r="82" spans="1:9" ht="17.25" hidden="1" customHeight="1" outlineLevel="1" x14ac:dyDescent="0.25">
      <c r="B82" s="1599" t="s">
        <v>617</v>
      </c>
      <c r="C82" s="1600">
        <v>2132</v>
      </c>
      <c r="D82" s="1601">
        <f>+'Souhrn příjmů a výdajů 2018'!H85/1000</f>
        <v>4.4000000000000004</v>
      </c>
      <c r="E82" s="1601">
        <f t="shared" si="11"/>
        <v>4.4000000000000004</v>
      </c>
      <c r="F82" s="1601">
        <f t="shared" si="11"/>
        <v>4.4000000000000004</v>
      </c>
      <c r="G82" s="1601">
        <f t="shared" si="10"/>
        <v>4.4000000000000004</v>
      </c>
      <c r="H82" s="1601">
        <f t="shared" si="10"/>
        <v>4.4000000000000004</v>
      </c>
      <c r="I82" s="1601">
        <f t="shared" si="10"/>
        <v>4.4000000000000004</v>
      </c>
    </row>
    <row r="83" spans="1:9" ht="17.25" hidden="1" customHeight="1" outlineLevel="1" x14ac:dyDescent="0.25">
      <c r="B83" s="1599" t="s">
        <v>803</v>
      </c>
      <c r="C83" s="1600">
        <v>3122</v>
      </c>
      <c r="D83" s="1601">
        <f>+'Souhrn příjmů a výdajů 2018'!H86/1000</f>
        <v>200</v>
      </c>
      <c r="E83" s="1601">
        <f t="shared" si="11"/>
        <v>200</v>
      </c>
      <c r="F83" s="1601">
        <f t="shared" si="11"/>
        <v>200</v>
      </c>
      <c r="G83" s="1601">
        <f t="shared" si="10"/>
        <v>200</v>
      </c>
      <c r="H83" s="1601">
        <f t="shared" si="10"/>
        <v>200</v>
      </c>
      <c r="I83" s="1601">
        <f t="shared" si="10"/>
        <v>200</v>
      </c>
    </row>
    <row r="84" spans="1:9" ht="17.25" hidden="1" customHeight="1" outlineLevel="1" x14ac:dyDescent="0.25">
      <c r="B84" s="1599" t="s">
        <v>640</v>
      </c>
      <c r="C84" s="1600">
        <v>3122</v>
      </c>
      <c r="D84" s="1601">
        <f>+'Souhrn příjmů a výdajů 2018'!H87/1000</f>
        <v>50</v>
      </c>
      <c r="E84" s="1601">
        <f t="shared" si="11"/>
        <v>50</v>
      </c>
      <c r="F84" s="1601">
        <f t="shared" si="11"/>
        <v>50</v>
      </c>
      <c r="G84" s="1601">
        <f t="shared" si="10"/>
        <v>50</v>
      </c>
      <c r="H84" s="1601">
        <f t="shared" si="10"/>
        <v>50</v>
      </c>
      <c r="I84" s="1601">
        <f t="shared" si="10"/>
        <v>50</v>
      </c>
    </row>
    <row r="85" spans="1:9" ht="17.25" hidden="1" customHeight="1" outlineLevel="1" x14ac:dyDescent="0.25">
      <c r="B85" s="1599" t="s">
        <v>641</v>
      </c>
      <c r="C85" s="1600">
        <v>3122</v>
      </c>
      <c r="D85" s="1601">
        <f>+'Souhrn příjmů a výdajů 2018'!H88/1000</f>
        <v>0</v>
      </c>
      <c r="E85" s="1601">
        <f t="shared" si="11"/>
        <v>0</v>
      </c>
      <c r="F85" s="1601">
        <f t="shared" si="11"/>
        <v>0</v>
      </c>
      <c r="G85" s="1601">
        <f t="shared" si="10"/>
        <v>0</v>
      </c>
      <c r="H85" s="1601">
        <f t="shared" si="10"/>
        <v>0</v>
      </c>
      <c r="I85" s="1601">
        <f t="shared" si="10"/>
        <v>0</v>
      </c>
    </row>
    <row r="86" spans="1:9" ht="17.25" hidden="1" customHeight="1" outlineLevel="1" x14ac:dyDescent="0.25">
      <c r="B86" s="1599" t="s">
        <v>118</v>
      </c>
      <c r="C86" s="1600" t="s">
        <v>117</v>
      </c>
      <c r="D86" s="1601">
        <f>+'Souhrn příjmů a výdajů 2018'!H89/1000</f>
        <v>0</v>
      </c>
      <c r="E86" s="1601">
        <f t="shared" si="11"/>
        <v>0</v>
      </c>
      <c r="F86" s="1601">
        <f t="shared" si="11"/>
        <v>0</v>
      </c>
      <c r="G86" s="1601">
        <f t="shared" si="10"/>
        <v>0</v>
      </c>
      <c r="H86" s="1601">
        <f t="shared" si="10"/>
        <v>0</v>
      </c>
      <c r="I86" s="1601">
        <f t="shared" si="10"/>
        <v>0</v>
      </c>
    </row>
    <row r="87" spans="1:9" ht="17.25" hidden="1" customHeight="1" outlineLevel="1" x14ac:dyDescent="0.25">
      <c r="B87" s="1599" t="s">
        <v>618</v>
      </c>
      <c r="C87" s="1600">
        <v>2229</v>
      </c>
      <c r="D87" s="1601">
        <f>+'Souhrn příjmů a výdajů 2018'!H90/1000</f>
        <v>0</v>
      </c>
      <c r="E87" s="1601">
        <f t="shared" si="11"/>
        <v>0</v>
      </c>
      <c r="F87" s="1601">
        <f t="shared" si="11"/>
        <v>0</v>
      </c>
      <c r="G87" s="1601">
        <f t="shared" si="10"/>
        <v>0</v>
      </c>
      <c r="H87" s="1601">
        <f t="shared" si="10"/>
        <v>0</v>
      </c>
      <c r="I87" s="1601">
        <f t="shared" si="10"/>
        <v>0</v>
      </c>
    </row>
    <row r="88" spans="1:9" hidden="1" outlineLevel="1" x14ac:dyDescent="0.25">
      <c r="B88" s="1606" t="s">
        <v>354</v>
      </c>
      <c r="C88" s="1607">
        <v>2119</v>
      </c>
      <c r="D88" s="1608">
        <f>+'Souhrn příjmů a výdajů 2018'!H92/1000</f>
        <v>400</v>
      </c>
      <c r="E88" s="1608">
        <f t="shared" si="11"/>
        <v>400</v>
      </c>
      <c r="F88" s="1608">
        <f t="shared" si="11"/>
        <v>400</v>
      </c>
      <c r="G88" s="1608">
        <f t="shared" si="10"/>
        <v>400</v>
      </c>
      <c r="H88" s="1608">
        <f t="shared" si="10"/>
        <v>400</v>
      </c>
      <c r="I88" s="1608">
        <f t="shared" si="10"/>
        <v>400</v>
      </c>
    </row>
    <row r="89" spans="1:9" s="33" customFormat="1" collapsed="1" x14ac:dyDescent="0.25">
      <c r="A89" s="1605" t="s">
        <v>351</v>
      </c>
      <c r="B89" s="1605" t="s">
        <v>352</v>
      </c>
      <c r="C89" s="1600"/>
      <c r="D89" s="257">
        <f t="shared" ref="D89:I89" si="12">SUM(D90:D93)</f>
        <v>60</v>
      </c>
      <c r="E89" s="257">
        <f t="shared" si="12"/>
        <v>60</v>
      </c>
      <c r="F89" s="257">
        <f t="shared" si="12"/>
        <v>60</v>
      </c>
      <c r="G89" s="257">
        <f t="shared" si="12"/>
        <v>60</v>
      </c>
      <c r="H89" s="257">
        <f t="shared" si="12"/>
        <v>60</v>
      </c>
      <c r="I89" s="257">
        <f t="shared" si="12"/>
        <v>60</v>
      </c>
    </row>
    <row r="90" spans="1:9" ht="16.5" hidden="1" customHeight="1" outlineLevel="1" x14ac:dyDescent="0.25">
      <c r="B90" s="1599" t="s">
        <v>353</v>
      </c>
      <c r="C90" s="1600">
        <v>3111</v>
      </c>
      <c r="D90" s="1601">
        <f>+'Souhrn příjmů a výdajů 2018'!H95/1000</f>
        <v>26</v>
      </c>
      <c r="E90" s="1601">
        <f t="shared" ref="E90:I92" si="13">+D90</f>
        <v>26</v>
      </c>
      <c r="F90" s="1601">
        <f t="shared" si="13"/>
        <v>26</v>
      </c>
      <c r="G90" s="1601">
        <f t="shared" si="13"/>
        <v>26</v>
      </c>
      <c r="H90" s="1601">
        <f t="shared" si="13"/>
        <v>26</v>
      </c>
      <c r="I90" s="1601">
        <f t="shared" si="13"/>
        <v>26</v>
      </c>
    </row>
    <row r="91" spans="1:9" ht="16.5" hidden="1" customHeight="1" outlineLevel="1" x14ac:dyDescent="0.25">
      <c r="B91" s="1599" t="s">
        <v>354</v>
      </c>
      <c r="C91" s="1600" t="s">
        <v>290</v>
      </c>
      <c r="D91" s="1601">
        <f>+'Souhrn příjmů a výdajů 2018'!H96/1000</f>
        <v>0</v>
      </c>
      <c r="E91" s="1601">
        <f t="shared" si="13"/>
        <v>0</v>
      </c>
      <c r="F91" s="1601">
        <f t="shared" si="13"/>
        <v>0</v>
      </c>
      <c r="G91" s="1601">
        <f t="shared" si="13"/>
        <v>0</v>
      </c>
      <c r="H91" s="1601">
        <f t="shared" si="13"/>
        <v>0</v>
      </c>
      <c r="I91" s="1601">
        <f t="shared" si="13"/>
        <v>0</v>
      </c>
    </row>
    <row r="92" spans="1:9" ht="16.5" hidden="1" customHeight="1" outlineLevel="1" x14ac:dyDescent="0.25">
      <c r="B92" s="1599" t="s">
        <v>120</v>
      </c>
      <c r="C92" s="1600" t="s">
        <v>119</v>
      </c>
      <c r="D92" s="1601">
        <f>+'Souhrn příjmů a výdajů 2018'!H97/1000</f>
        <v>34</v>
      </c>
      <c r="E92" s="1601">
        <f t="shared" si="13"/>
        <v>34</v>
      </c>
      <c r="F92" s="1601">
        <f t="shared" si="13"/>
        <v>34</v>
      </c>
      <c r="G92" s="1601">
        <f t="shared" si="13"/>
        <v>34</v>
      </c>
      <c r="H92" s="1601">
        <f t="shared" si="13"/>
        <v>34</v>
      </c>
      <c r="I92" s="1601">
        <f t="shared" si="13"/>
        <v>34</v>
      </c>
    </row>
    <row r="93" spans="1:9" ht="16.5" hidden="1" customHeight="1" outlineLevel="1" x14ac:dyDescent="0.25">
      <c r="B93" s="1606" t="s">
        <v>355</v>
      </c>
      <c r="C93" s="1607">
        <v>2132</v>
      </c>
      <c r="D93" s="1608"/>
      <c r="E93" s="1608"/>
      <c r="F93" s="1608"/>
      <c r="G93" s="1608"/>
      <c r="H93" s="1608"/>
      <c r="I93" s="1608"/>
    </row>
    <row r="94" spans="1:9" s="33" customFormat="1" collapsed="1" x14ac:dyDescent="0.25">
      <c r="A94" s="1605" t="s">
        <v>356</v>
      </c>
      <c r="B94" s="1605" t="s">
        <v>357</v>
      </c>
      <c r="C94" s="1600"/>
      <c r="D94" s="257">
        <f t="shared" ref="D94:I94" si="14">SUM(D95:D137)</f>
        <v>20393.067000000003</v>
      </c>
      <c r="E94" s="257">
        <f t="shared" si="14"/>
        <v>10063.632000000001</v>
      </c>
      <c r="F94" s="257">
        <f t="shared" si="14"/>
        <v>10228.904640000001</v>
      </c>
      <c r="G94" s="257">
        <f t="shared" si="14"/>
        <v>10397.482732800001</v>
      </c>
      <c r="H94" s="257">
        <f t="shared" si="14"/>
        <v>10569.432387456001</v>
      </c>
      <c r="I94" s="257">
        <f t="shared" si="14"/>
        <v>10744.821035205123</v>
      </c>
    </row>
    <row r="95" spans="1:9" ht="19.5" hidden="1" customHeight="1" outlineLevel="1" x14ac:dyDescent="0.25">
      <c r="B95" s="1599" t="s">
        <v>47</v>
      </c>
      <c r="C95" s="1600" t="s">
        <v>46</v>
      </c>
      <c r="D95" s="1601">
        <f>+'Souhrn příjmů a výdajů 2018'!H101/1000</f>
        <v>0</v>
      </c>
      <c r="E95" s="1601"/>
      <c r="F95" s="1601"/>
      <c r="G95" s="1601"/>
      <c r="H95" s="1601"/>
      <c r="I95" s="1601"/>
    </row>
    <row r="96" spans="1:9" ht="19.5" hidden="1" customHeight="1" outlineLevel="1" x14ac:dyDescent="0.25">
      <c r="B96" s="1599" t="s">
        <v>48</v>
      </c>
      <c r="C96" s="1600" t="s">
        <v>46</v>
      </c>
      <c r="D96" s="1601">
        <f>+'Souhrn příjmů a výdajů 2018'!H102/1000</f>
        <v>0</v>
      </c>
      <c r="E96" s="1601"/>
      <c r="F96" s="1601"/>
      <c r="G96" s="1601"/>
      <c r="H96" s="1601"/>
      <c r="I96" s="1601"/>
    </row>
    <row r="97" spans="2:9" ht="19.5" hidden="1" customHeight="1" outlineLevel="1" x14ac:dyDescent="0.25">
      <c r="B97" s="1599" t="s">
        <v>49</v>
      </c>
      <c r="C97" s="1600">
        <v>4112</v>
      </c>
      <c r="D97" s="1601">
        <f>+'Souhrn příjmů a výdajů 2018'!H103/1000</f>
        <v>7701.6</v>
      </c>
      <c r="E97" s="1601">
        <f t="shared" ref="E97:I98" si="15">+D97*1.02</f>
        <v>7855.6320000000005</v>
      </c>
      <c r="F97" s="1601">
        <f t="shared" si="15"/>
        <v>8012.7446400000008</v>
      </c>
      <c r="G97" s="1601">
        <f t="shared" si="15"/>
        <v>8172.9995328000014</v>
      </c>
      <c r="H97" s="1601">
        <f t="shared" si="15"/>
        <v>8336.459523456002</v>
      </c>
      <c r="I97" s="1601">
        <f t="shared" si="15"/>
        <v>8503.188713925123</v>
      </c>
    </row>
    <row r="98" spans="2:9" ht="19.5" hidden="1" customHeight="1" outlineLevel="1" x14ac:dyDescent="0.25">
      <c r="B98" s="1599" t="s">
        <v>50</v>
      </c>
      <c r="C98" s="1600">
        <v>4121</v>
      </c>
      <c r="D98" s="1601">
        <f>+'Souhrn příjmů a výdajů 2018'!H104/1000</f>
        <v>400</v>
      </c>
      <c r="E98" s="1601">
        <f t="shared" si="15"/>
        <v>408</v>
      </c>
      <c r="F98" s="1601">
        <f t="shared" si="15"/>
        <v>416.16</v>
      </c>
      <c r="G98" s="1601">
        <f t="shared" si="15"/>
        <v>424.48320000000001</v>
      </c>
      <c r="H98" s="1601">
        <f t="shared" si="15"/>
        <v>432.97286400000002</v>
      </c>
      <c r="I98" s="1601">
        <f t="shared" si="15"/>
        <v>441.63232128000004</v>
      </c>
    </row>
    <row r="99" spans="2:9" ht="19.5" hidden="1" customHeight="1" outlineLevel="1" x14ac:dyDescent="0.25">
      <c r="B99" s="1599" t="s">
        <v>358</v>
      </c>
      <c r="C99" s="1600">
        <v>4121</v>
      </c>
      <c r="D99" s="1601">
        <f>+'Souhrn příjmů a výdajů 2018'!H105/1000</f>
        <v>800</v>
      </c>
      <c r="E99" s="1601">
        <f>+D99</f>
        <v>800</v>
      </c>
      <c r="F99" s="1601">
        <f>+E99</f>
        <v>800</v>
      </c>
      <c r="G99" s="1601">
        <f>+F99</f>
        <v>800</v>
      </c>
      <c r="H99" s="1601">
        <f>+G99</f>
        <v>800</v>
      </c>
      <c r="I99" s="1601">
        <f>+H99</f>
        <v>800</v>
      </c>
    </row>
    <row r="100" spans="2:9" ht="19.5" hidden="1" customHeight="1" outlineLevel="1" x14ac:dyDescent="0.25">
      <c r="B100" s="1599" t="s">
        <v>359</v>
      </c>
      <c r="C100" s="1600">
        <v>4213</v>
      </c>
      <c r="D100" s="1601">
        <f>+'Souhrn příjmů a výdajů 2018'!H106/1000</f>
        <v>0</v>
      </c>
      <c r="E100" s="1601"/>
      <c r="F100" s="1601"/>
      <c r="G100" s="1601"/>
      <c r="H100" s="1601"/>
      <c r="I100" s="1601"/>
    </row>
    <row r="101" spans="2:9" ht="19.5" hidden="1" customHeight="1" outlineLevel="1" x14ac:dyDescent="0.25">
      <c r="B101" s="1599" t="s">
        <v>360</v>
      </c>
      <c r="C101" s="1600">
        <v>4213</v>
      </c>
      <c r="D101" s="1601">
        <f>+'Souhrn příjmů a výdajů 2018'!H107/1000</f>
        <v>0</v>
      </c>
      <c r="E101" s="1601"/>
      <c r="F101" s="1601"/>
      <c r="G101" s="1601"/>
      <c r="H101" s="1601"/>
      <c r="I101" s="1601"/>
    </row>
    <row r="102" spans="2:9" ht="19.5" hidden="1" customHeight="1" outlineLevel="1" x14ac:dyDescent="0.25">
      <c r="B102" s="1599" t="s">
        <v>1086</v>
      </c>
      <c r="C102" s="1600">
        <v>4213</v>
      </c>
      <c r="D102" s="1601">
        <f>+'Souhrn příjmů a výdajů 2018'!H108/1000</f>
        <v>0</v>
      </c>
      <c r="E102" s="1601"/>
      <c r="F102" s="1601"/>
      <c r="G102" s="1601"/>
      <c r="H102" s="1601"/>
      <c r="I102" s="1601"/>
    </row>
    <row r="103" spans="2:9" ht="19.5" hidden="1" customHeight="1" outlineLevel="1" x14ac:dyDescent="0.25">
      <c r="B103" s="1599" t="s">
        <v>361</v>
      </c>
      <c r="C103" s="1600">
        <v>4213</v>
      </c>
      <c r="D103" s="1601">
        <f>+'Souhrn příjmů a výdajů 2018'!H109/1000</f>
        <v>0</v>
      </c>
      <c r="E103" s="1601"/>
      <c r="F103" s="1601"/>
      <c r="G103" s="1601"/>
      <c r="H103" s="1601"/>
      <c r="I103" s="1601"/>
    </row>
    <row r="104" spans="2:9" ht="19.5" hidden="1" customHeight="1" outlineLevel="1" x14ac:dyDescent="0.25">
      <c r="B104" s="1599" t="s">
        <v>359</v>
      </c>
      <c r="C104" s="1600">
        <v>4213</v>
      </c>
      <c r="D104" s="1601">
        <f>+'Souhrn příjmů a výdajů 2018'!H110/1000</f>
        <v>0</v>
      </c>
      <c r="E104" s="1601"/>
      <c r="F104" s="1601"/>
      <c r="G104" s="1601"/>
      <c r="H104" s="1601"/>
      <c r="I104" s="1601"/>
    </row>
    <row r="105" spans="2:9" ht="19.5" hidden="1" customHeight="1" outlineLevel="1" x14ac:dyDescent="0.25">
      <c r="B105" s="1599" t="s">
        <v>360</v>
      </c>
      <c r="C105" s="1600">
        <v>4213</v>
      </c>
      <c r="D105" s="1601">
        <f>+'Souhrn příjmů a výdajů 2018'!H111/1000</f>
        <v>0</v>
      </c>
      <c r="E105" s="1601"/>
      <c r="F105" s="1601"/>
      <c r="G105" s="1601"/>
      <c r="H105" s="1601"/>
      <c r="I105" s="1601"/>
    </row>
    <row r="106" spans="2:9" ht="19.5" hidden="1" customHeight="1" outlineLevel="1" x14ac:dyDescent="0.25">
      <c r="B106" s="1599" t="s">
        <v>1509</v>
      </c>
      <c r="C106" s="1600">
        <v>4213</v>
      </c>
      <c r="D106" s="1601">
        <f>+'Souhrn příjmů a výdajů 2018'!H112/1000</f>
        <v>368.46699999999998</v>
      </c>
      <c r="E106" s="1601"/>
      <c r="F106" s="1601"/>
      <c r="G106" s="1601"/>
      <c r="H106" s="1601"/>
      <c r="I106" s="1601"/>
    </row>
    <row r="107" spans="2:9" hidden="1" outlineLevel="1" x14ac:dyDescent="0.25">
      <c r="B107" s="1599" t="s">
        <v>361</v>
      </c>
      <c r="C107" s="1600">
        <v>4213</v>
      </c>
      <c r="D107" s="1601">
        <f>+'Souhrn příjmů a výdajů 2018'!H113/1000</f>
        <v>0</v>
      </c>
      <c r="E107" s="1601"/>
      <c r="F107" s="1601"/>
      <c r="G107" s="1601"/>
      <c r="H107" s="1601"/>
      <c r="I107" s="1601"/>
    </row>
    <row r="108" spans="2:9" ht="19.5" hidden="1" customHeight="1" outlineLevel="1" x14ac:dyDescent="0.25">
      <c r="B108" s="1599" t="s">
        <v>65</v>
      </c>
      <c r="C108" s="1600" t="s">
        <v>42</v>
      </c>
      <c r="D108" s="1601">
        <f>+'Souhrn příjmů a výdajů 2018'!H114/1000</f>
        <v>1000</v>
      </c>
      <c r="E108" s="1601">
        <f>+D108</f>
        <v>1000</v>
      </c>
      <c r="F108" s="1601">
        <f>+E108</f>
        <v>1000</v>
      </c>
      <c r="G108" s="1601">
        <f>+F108</f>
        <v>1000</v>
      </c>
      <c r="H108" s="1601">
        <f>+G108</f>
        <v>1000</v>
      </c>
      <c r="I108" s="1601">
        <f>+H108</f>
        <v>1000</v>
      </c>
    </row>
    <row r="109" spans="2:9" ht="19.5" hidden="1" customHeight="1" outlineLevel="1" x14ac:dyDescent="0.25">
      <c r="B109" s="1599" t="s">
        <v>812</v>
      </c>
      <c r="C109" s="1600">
        <v>4122</v>
      </c>
      <c r="D109" s="1601">
        <f>+'Souhrn příjmů a výdajů 2018'!H115/1000</f>
        <v>0</v>
      </c>
      <c r="E109" s="1601"/>
      <c r="F109" s="1601"/>
      <c r="G109" s="1601"/>
      <c r="H109" s="1601"/>
      <c r="I109" s="1601"/>
    </row>
    <row r="110" spans="2:9" ht="19.5" hidden="1" customHeight="1" outlineLevel="1" x14ac:dyDescent="0.25">
      <c r="B110" s="1599" t="s">
        <v>1087</v>
      </c>
      <c r="C110" s="1600" t="s">
        <v>52</v>
      </c>
      <c r="D110" s="1601">
        <f>+'Souhrn příjmů a výdajů 2018'!H116/1000</f>
        <v>0</v>
      </c>
      <c r="E110" s="1601"/>
      <c r="F110" s="1601"/>
      <c r="G110" s="1601"/>
      <c r="H110" s="1601"/>
      <c r="I110" s="1601"/>
    </row>
    <row r="111" spans="2:9" ht="19.5" hidden="1" customHeight="1" outlineLevel="1" x14ac:dyDescent="0.25">
      <c r="B111" s="1599" t="s">
        <v>51</v>
      </c>
      <c r="C111" s="1600" t="s">
        <v>42</v>
      </c>
      <c r="D111" s="1601">
        <f>+'Souhrn příjmů a výdajů 2018'!H117/1000</f>
        <v>0</v>
      </c>
      <c r="E111" s="1601"/>
      <c r="F111" s="1601"/>
      <c r="G111" s="1601"/>
      <c r="H111" s="1601"/>
      <c r="I111" s="1601"/>
    </row>
    <row r="112" spans="2:9" ht="19.5" hidden="1" customHeight="1" outlineLevel="1" x14ac:dyDescent="0.25">
      <c r="B112" s="1599" t="s">
        <v>53</v>
      </c>
      <c r="C112" s="1600" t="s">
        <v>52</v>
      </c>
      <c r="D112" s="1601">
        <f>+'Souhrn příjmů a výdajů 2018'!H118/1000</f>
        <v>0</v>
      </c>
      <c r="E112" s="1601"/>
      <c r="F112" s="1601"/>
      <c r="G112" s="1601"/>
      <c r="H112" s="1601"/>
      <c r="I112" s="1601"/>
    </row>
    <row r="113" spans="2:9" ht="19.5" hidden="1" customHeight="1" outlineLevel="1" x14ac:dyDescent="0.25">
      <c r="B113" s="1599" t="s">
        <v>362</v>
      </c>
      <c r="C113" s="1600">
        <v>4122</v>
      </c>
      <c r="D113" s="1601">
        <f>+'Souhrn příjmů a výdajů 2018'!H119/1000</f>
        <v>10123</v>
      </c>
      <c r="E113" s="1601"/>
      <c r="F113" s="1601"/>
      <c r="G113" s="1601"/>
      <c r="H113" s="1601"/>
      <c r="I113" s="1601"/>
    </row>
    <row r="114" spans="2:9" ht="19.5" hidden="1" customHeight="1" outlineLevel="1" x14ac:dyDescent="0.25">
      <c r="B114" s="1599" t="s">
        <v>1432</v>
      </c>
      <c r="C114" s="1600">
        <v>4216</v>
      </c>
      <c r="D114" s="1601">
        <f>+'Souhrn příjmů a výdajů 2018'!H120/1000</f>
        <v>0</v>
      </c>
      <c r="E114" s="1601"/>
      <c r="F114" s="1601"/>
      <c r="G114" s="1601"/>
      <c r="H114" s="1601"/>
      <c r="I114" s="1601"/>
    </row>
    <row r="115" spans="2:9" ht="19.5" hidden="1" customHeight="1" outlineLevel="1" x14ac:dyDescent="0.25">
      <c r="B115" s="1599" t="s">
        <v>1430</v>
      </c>
      <c r="C115" s="1600" t="s">
        <v>54</v>
      </c>
      <c r="D115" s="1601">
        <f>+'Souhrn příjmů a výdajů 2018'!H121/1000</f>
        <v>0</v>
      </c>
      <c r="E115" s="1601"/>
      <c r="F115" s="1601"/>
      <c r="G115" s="1601"/>
      <c r="H115" s="1601"/>
      <c r="I115" s="1601"/>
    </row>
    <row r="116" spans="2:9" ht="19.5" hidden="1" customHeight="1" outlineLevel="1" x14ac:dyDescent="0.25">
      <c r="B116" s="1599" t="s">
        <v>55</v>
      </c>
      <c r="C116" s="1600" t="s">
        <v>54</v>
      </c>
      <c r="D116" s="1601">
        <f>+'Souhrn příjmů a výdajů 2018'!H122/1000</f>
        <v>0</v>
      </c>
      <c r="E116" s="1601"/>
      <c r="F116" s="1601"/>
      <c r="G116" s="1601"/>
      <c r="H116" s="1601"/>
      <c r="I116" s="1601"/>
    </row>
    <row r="117" spans="2:9" hidden="1" outlineLevel="1" x14ac:dyDescent="0.25">
      <c r="B117" s="1599" t="s">
        <v>56</v>
      </c>
      <c r="C117" s="1600" t="s">
        <v>54</v>
      </c>
      <c r="D117" s="1601">
        <f>+'Souhrn příjmů a výdajů 2018'!H123/1000</f>
        <v>0</v>
      </c>
      <c r="E117" s="1601"/>
      <c r="F117" s="1601"/>
      <c r="G117" s="1601"/>
      <c r="H117" s="1601"/>
      <c r="I117" s="1601"/>
    </row>
    <row r="118" spans="2:9" ht="19.5" hidden="1" customHeight="1" outlineLevel="1" x14ac:dyDescent="0.25">
      <c r="B118" s="1599" t="s">
        <v>57</v>
      </c>
      <c r="C118" s="1600" t="s">
        <v>54</v>
      </c>
      <c r="D118" s="1601">
        <f>+'Souhrn příjmů a výdajů 2018'!H124/1000</f>
        <v>0</v>
      </c>
      <c r="E118" s="1601"/>
      <c r="F118" s="1601"/>
      <c r="G118" s="1601"/>
      <c r="H118" s="1601"/>
      <c r="I118" s="1601"/>
    </row>
    <row r="119" spans="2:9" ht="19.5" hidden="1" customHeight="1" outlineLevel="1" x14ac:dyDescent="0.25">
      <c r="B119" s="1599" t="s">
        <v>58</v>
      </c>
      <c r="C119" s="1600" t="s">
        <v>54</v>
      </c>
      <c r="D119" s="1601">
        <f>+'Souhrn příjmů a výdajů 2018'!H125/1000</f>
        <v>0</v>
      </c>
      <c r="E119" s="1601"/>
      <c r="F119" s="1601"/>
      <c r="G119" s="1601"/>
      <c r="H119" s="1601"/>
      <c r="I119" s="1601"/>
    </row>
    <row r="120" spans="2:9" ht="19.5" hidden="1" customHeight="1" outlineLevel="1" x14ac:dyDescent="0.25">
      <c r="B120" s="1596" t="s">
        <v>363</v>
      </c>
      <c r="C120" s="1597">
        <v>4213</v>
      </c>
      <c r="D120" s="1601">
        <f>+'Souhrn příjmů a výdajů 2018'!H126/1000</f>
        <v>0</v>
      </c>
      <c r="E120" s="1601"/>
      <c r="F120" s="1601"/>
      <c r="G120" s="1601"/>
      <c r="H120" s="1601"/>
      <c r="I120" s="1601"/>
    </row>
    <row r="121" spans="2:9" ht="19.5" hidden="1" customHeight="1" outlineLevel="1" x14ac:dyDescent="0.25">
      <c r="B121" s="1596" t="s">
        <v>364</v>
      </c>
      <c r="C121" s="1597">
        <v>4213</v>
      </c>
      <c r="D121" s="1601">
        <f>+'Souhrn příjmů a výdajů 2018'!H127/1000</f>
        <v>0</v>
      </c>
      <c r="E121" s="1601"/>
      <c r="F121" s="1601"/>
      <c r="G121" s="1601"/>
      <c r="H121" s="1601"/>
      <c r="I121" s="1601"/>
    </row>
    <row r="122" spans="2:9" ht="19.5" hidden="1" customHeight="1" outlineLevel="1" x14ac:dyDescent="0.25">
      <c r="B122" s="1599" t="s">
        <v>59</v>
      </c>
      <c r="C122" s="1600" t="s">
        <v>54</v>
      </c>
      <c r="D122" s="1601">
        <f>+'Souhrn příjmů a výdajů 2018'!H128/1000</f>
        <v>0</v>
      </c>
      <c r="E122" s="1601"/>
      <c r="F122" s="1601"/>
      <c r="G122" s="1601"/>
      <c r="H122" s="1601"/>
      <c r="I122" s="1601"/>
    </row>
    <row r="123" spans="2:9" ht="19.5" hidden="1" customHeight="1" outlineLevel="1" x14ac:dyDescent="0.25">
      <c r="B123" s="1599" t="s">
        <v>60</v>
      </c>
      <c r="C123" s="1600" t="s">
        <v>54</v>
      </c>
      <c r="D123" s="1601">
        <f>+'Souhrn příjmů a výdajů 2018'!H129/1000</f>
        <v>0</v>
      </c>
      <c r="E123" s="1601"/>
      <c r="F123" s="1601"/>
      <c r="G123" s="1601"/>
      <c r="H123" s="1601"/>
      <c r="I123" s="1601"/>
    </row>
    <row r="124" spans="2:9" ht="19.5" hidden="1" customHeight="1" outlineLevel="1" x14ac:dyDescent="0.25">
      <c r="B124" s="1599" t="s">
        <v>61</v>
      </c>
      <c r="C124" s="1600" t="s">
        <v>54</v>
      </c>
      <c r="D124" s="1601">
        <f>+'Souhrn příjmů a výdajů 2018'!H130/1000</f>
        <v>0</v>
      </c>
      <c r="E124" s="1601"/>
      <c r="F124" s="1601"/>
      <c r="G124" s="1601"/>
      <c r="H124" s="1601"/>
      <c r="I124" s="1601"/>
    </row>
    <row r="125" spans="2:9" ht="19.5" hidden="1" customHeight="1" outlineLevel="1" x14ac:dyDescent="0.25">
      <c r="B125" s="1599" t="s">
        <v>63</v>
      </c>
      <c r="C125" s="1600" t="s">
        <v>62</v>
      </c>
      <c r="D125" s="1601">
        <f>+'Souhrn příjmů a výdajů 2018'!H131/1000</f>
        <v>0</v>
      </c>
      <c r="E125" s="1601"/>
      <c r="F125" s="1601"/>
      <c r="G125" s="1601"/>
      <c r="H125" s="1601"/>
      <c r="I125" s="1601"/>
    </row>
    <row r="126" spans="2:9" ht="19.5" hidden="1" customHeight="1" outlineLevel="1" x14ac:dyDescent="0.25">
      <c r="B126" s="1599" t="s">
        <v>64</v>
      </c>
      <c r="C126" s="1600" t="s">
        <v>54</v>
      </c>
      <c r="D126" s="1601">
        <f>+'Souhrn příjmů a výdajů 2018'!H132/1000</f>
        <v>0</v>
      </c>
      <c r="E126" s="1601"/>
      <c r="F126" s="1601"/>
      <c r="G126" s="1601"/>
      <c r="H126" s="1601"/>
      <c r="I126" s="1601"/>
    </row>
    <row r="127" spans="2:9" ht="19.5" hidden="1" customHeight="1" outlineLevel="1" x14ac:dyDescent="0.25">
      <c r="B127" s="1599" t="s">
        <v>612</v>
      </c>
      <c r="C127" s="1600" t="s">
        <v>54</v>
      </c>
      <c r="D127" s="1601">
        <f>+'Souhrn příjmů a výdajů 2018'!H133/1000</f>
        <v>0</v>
      </c>
      <c r="E127" s="1601"/>
      <c r="F127" s="1601"/>
      <c r="G127" s="1601"/>
      <c r="H127" s="1601"/>
      <c r="I127" s="1601"/>
    </row>
    <row r="128" spans="2:9" ht="19.5" hidden="1" customHeight="1" outlineLevel="1" x14ac:dyDescent="0.25">
      <c r="B128" s="1599" t="s">
        <v>614</v>
      </c>
      <c r="C128" s="1600" t="s">
        <v>613</v>
      </c>
      <c r="D128" s="1601">
        <f>+'Souhrn příjmů a výdajů 2018'!H134/1000</f>
        <v>0</v>
      </c>
      <c r="E128" s="1601"/>
      <c r="F128" s="1601"/>
      <c r="G128" s="1601"/>
      <c r="H128" s="1601"/>
      <c r="I128" s="1601"/>
    </row>
    <row r="129" spans="1:9" ht="19.5" hidden="1" customHeight="1" outlineLevel="1" x14ac:dyDescent="0.25">
      <c r="B129" s="1599" t="s">
        <v>363</v>
      </c>
      <c r="C129" s="1600">
        <v>4213</v>
      </c>
      <c r="D129" s="1601">
        <f>+'Souhrn příjmů a výdajů 2018'!H135/1000</f>
        <v>0</v>
      </c>
      <c r="E129" s="1601"/>
      <c r="F129" s="1601"/>
      <c r="G129" s="1601"/>
      <c r="H129" s="1601"/>
      <c r="I129" s="1601"/>
    </row>
    <row r="130" spans="1:9" ht="19.5" hidden="1" customHeight="1" outlineLevel="1" x14ac:dyDescent="0.25">
      <c r="B130" s="1599" t="s">
        <v>364</v>
      </c>
      <c r="C130" s="1600">
        <v>4213</v>
      </c>
      <c r="D130" s="1601">
        <f>+'Souhrn příjmů a výdajů 2018'!H136/1000</f>
        <v>0</v>
      </c>
      <c r="E130" s="1601"/>
      <c r="F130" s="1601"/>
      <c r="G130" s="1601"/>
      <c r="H130" s="1601"/>
      <c r="I130" s="1601"/>
    </row>
    <row r="131" spans="1:9" ht="19.5" hidden="1" customHeight="1" outlineLevel="1" x14ac:dyDescent="0.25">
      <c r="B131" s="1599" t="s">
        <v>59</v>
      </c>
      <c r="C131" s="1600" t="s">
        <v>54</v>
      </c>
      <c r="D131" s="1601">
        <f>+'Souhrn příjmů a výdajů 2018'!H137/1000</f>
        <v>0</v>
      </c>
      <c r="E131" s="1601"/>
      <c r="F131" s="1601"/>
      <c r="G131" s="1601"/>
      <c r="H131" s="1601"/>
      <c r="I131" s="1601"/>
    </row>
    <row r="132" spans="1:9" ht="19.5" hidden="1" customHeight="1" outlineLevel="1" x14ac:dyDescent="0.25">
      <c r="B132" s="1599" t="s">
        <v>60</v>
      </c>
      <c r="C132" s="1600" t="s">
        <v>54</v>
      </c>
      <c r="D132" s="1601">
        <f>+'Souhrn příjmů a výdajů 2018'!H138/1000</f>
        <v>0</v>
      </c>
      <c r="E132" s="1601"/>
      <c r="F132" s="1601"/>
      <c r="G132" s="1601"/>
      <c r="H132" s="1601"/>
      <c r="I132" s="1601"/>
    </row>
    <row r="133" spans="1:9" ht="19.5" hidden="1" customHeight="1" outlineLevel="1" x14ac:dyDescent="0.25">
      <c r="B133" s="1599" t="s">
        <v>61</v>
      </c>
      <c r="C133" s="1600" t="s">
        <v>54</v>
      </c>
      <c r="D133" s="1601">
        <f>+'Souhrn příjmů a výdajů 2018'!H139/1000</f>
        <v>0</v>
      </c>
      <c r="E133" s="1601"/>
      <c r="F133" s="1601"/>
      <c r="G133" s="1601"/>
      <c r="H133" s="1601"/>
      <c r="I133" s="1601"/>
    </row>
    <row r="134" spans="1:9" ht="19.5" hidden="1" customHeight="1" outlineLevel="1" x14ac:dyDescent="0.25">
      <c r="B134" s="1599" t="s">
        <v>63</v>
      </c>
      <c r="C134" s="1600" t="s">
        <v>62</v>
      </c>
      <c r="D134" s="1601">
        <f>+'Souhrn příjmů a výdajů 2018'!H140/1000</f>
        <v>0</v>
      </c>
      <c r="E134" s="1601"/>
      <c r="F134" s="1601"/>
      <c r="G134" s="1601"/>
      <c r="H134" s="1601"/>
      <c r="I134" s="1601"/>
    </row>
    <row r="135" spans="1:9" ht="19.5" hidden="1" customHeight="1" outlineLevel="1" x14ac:dyDescent="0.25">
      <c r="B135" s="1599" t="s">
        <v>64</v>
      </c>
      <c r="C135" s="1600" t="s">
        <v>54</v>
      </c>
      <c r="D135" s="1601">
        <f>+'Souhrn příjmů a výdajů 2018'!H141/1000</f>
        <v>0</v>
      </c>
      <c r="E135" s="1601"/>
      <c r="F135" s="1601"/>
      <c r="G135" s="1601"/>
      <c r="H135" s="1601"/>
      <c r="I135" s="1601"/>
    </row>
    <row r="136" spans="1:9" hidden="1" outlineLevel="1" x14ac:dyDescent="0.25">
      <c r="B136" s="1599" t="s">
        <v>506</v>
      </c>
      <c r="C136" s="1600" t="s">
        <v>54</v>
      </c>
      <c r="D136" s="1601">
        <f>+'Souhrn příjmů a výdajů 2018'!H142/1000</f>
        <v>0</v>
      </c>
      <c r="E136" s="1601"/>
      <c r="F136" s="1601"/>
      <c r="G136" s="1601"/>
      <c r="H136" s="1601"/>
      <c r="I136" s="1601"/>
    </row>
    <row r="137" spans="1:9" hidden="1" outlineLevel="1" x14ac:dyDescent="0.25">
      <c r="B137" s="1606" t="s">
        <v>500</v>
      </c>
      <c r="C137" s="1607">
        <v>4222</v>
      </c>
      <c r="D137" s="1608">
        <f>+'Souhrn příjmů a výdajů 2018'!H143/1000</f>
        <v>0</v>
      </c>
      <c r="E137" s="1608"/>
      <c r="F137" s="1608"/>
      <c r="G137" s="1608"/>
      <c r="H137" s="1608"/>
      <c r="I137" s="1608"/>
    </row>
    <row r="138" spans="1:9" s="33" customFormat="1" collapsed="1" x14ac:dyDescent="0.25">
      <c r="A138" s="1605" t="s">
        <v>365</v>
      </c>
      <c r="B138" s="1605" t="s">
        <v>366</v>
      </c>
      <c r="C138" s="1600"/>
      <c r="D138" s="257">
        <f>SUM(D139:D145)</f>
        <v>90858.790999999997</v>
      </c>
      <c r="E138" s="257">
        <f t="shared" ref="E138:I138" si="16">SUM(E139:E145)</f>
        <v>17000</v>
      </c>
      <c r="F138" s="257">
        <f t="shared" si="16"/>
        <v>8000</v>
      </c>
      <c r="G138" s="257">
        <f t="shared" si="16"/>
        <v>8000</v>
      </c>
      <c r="H138" s="257">
        <f t="shared" si="16"/>
        <v>8000</v>
      </c>
      <c r="I138" s="257">
        <f t="shared" si="16"/>
        <v>8000</v>
      </c>
    </row>
    <row r="139" spans="1:9" ht="17.25" hidden="1" customHeight="1" outlineLevel="1" x14ac:dyDescent="0.25">
      <c r="B139" s="1599" t="s">
        <v>367</v>
      </c>
      <c r="C139" s="1600" t="s">
        <v>66</v>
      </c>
      <c r="D139" s="1601">
        <f>+'Souhrn příjmů a výdajů 2018'!H146/1000</f>
        <v>27000</v>
      </c>
      <c r="E139" s="1601">
        <v>17000</v>
      </c>
      <c r="F139" s="1601">
        <v>8000</v>
      </c>
      <c r="G139" s="1601">
        <v>8000</v>
      </c>
      <c r="H139" s="1601">
        <v>8000</v>
      </c>
      <c r="I139" s="1601">
        <v>8000</v>
      </c>
    </row>
    <row r="140" spans="1:9" ht="17.25" hidden="1" customHeight="1" outlineLevel="1" x14ac:dyDescent="0.25">
      <c r="B140" s="1599" t="s">
        <v>67</v>
      </c>
      <c r="C140" s="1600" t="s">
        <v>66</v>
      </c>
      <c r="D140" s="1601">
        <f>+'Souhrn příjmů a výdajů 2018'!H147/1000</f>
        <v>0</v>
      </c>
      <c r="E140" s="1601"/>
      <c r="F140" s="1601"/>
      <c r="G140" s="1601"/>
      <c r="H140" s="1601"/>
      <c r="I140" s="1601"/>
    </row>
    <row r="141" spans="1:9" ht="17.25" hidden="1" customHeight="1" outlineLevel="1" x14ac:dyDescent="0.25">
      <c r="B141" s="1599" t="s">
        <v>368</v>
      </c>
      <c r="C141" s="1600" t="s">
        <v>66</v>
      </c>
      <c r="D141" s="1601">
        <f>+'Souhrn příjmů a výdajů 2018'!H148/1000</f>
        <v>0</v>
      </c>
      <c r="E141" s="1601"/>
      <c r="F141" s="1601"/>
      <c r="G141" s="1601"/>
      <c r="H141" s="1601"/>
      <c r="I141" s="1601"/>
    </row>
    <row r="142" spans="1:9" ht="17.25" hidden="1" customHeight="1" outlineLevel="1" x14ac:dyDescent="0.25">
      <c r="B142" s="1599" t="s">
        <v>369</v>
      </c>
      <c r="C142" s="1600" t="s">
        <v>66</v>
      </c>
      <c r="D142" s="1601">
        <f>+'Souhrn příjmů a výdajů 2018'!H149/1000</f>
        <v>0</v>
      </c>
      <c r="E142" s="1601"/>
      <c r="F142" s="1601"/>
      <c r="G142" s="1601"/>
      <c r="H142" s="1601"/>
      <c r="I142" s="1601"/>
    </row>
    <row r="143" spans="1:9" ht="17.25" hidden="1" customHeight="1" outlineLevel="1" x14ac:dyDescent="0.25">
      <c r="B143" s="1599" t="s">
        <v>69</v>
      </c>
      <c r="C143" s="1600" t="s">
        <v>66</v>
      </c>
      <c r="D143" s="1601">
        <f>+'Souhrn příjmů a výdajů 2018'!H150/1000</f>
        <v>0</v>
      </c>
      <c r="E143" s="1601"/>
      <c r="F143" s="1601"/>
      <c r="G143" s="1601"/>
      <c r="H143" s="1601"/>
      <c r="I143" s="1601"/>
    </row>
    <row r="144" spans="1:9" ht="17.25" hidden="1" customHeight="1" outlineLevel="1" x14ac:dyDescent="0.25">
      <c r="B144" s="1599" t="s">
        <v>70</v>
      </c>
      <c r="C144" s="1600" t="s">
        <v>66</v>
      </c>
      <c r="D144" s="1601">
        <f>+'Souhrn příjmů a výdajů 2018'!H151/1000</f>
        <v>0</v>
      </c>
      <c r="E144" s="1601"/>
      <c r="F144" s="1601"/>
      <c r="G144" s="1601"/>
      <c r="H144" s="1601"/>
      <c r="I144" s="1601"/>
    </row>
    <row r="145" spans="1:9" ht="17.25" hidden="1" customHeight="1" outlineLevel="1" x14ac:dyDescent="0.25">
      <c r="B145" s="1599" t="s">
        <v>122</v>
      </c>
      <c r="C145" s="1600" t="s">
        <v>121</v>
      </c>
      <c r="D145" s="1601">
        <f>+'Souhrn příjmů a výdajů 2018'!H152/1000</f>
        <v>63858.790999999997</v>
      </c>
      <c r="E145" s="1601"/>
      <c r="F145" s="1601"/>
      <c r="G145" s="1601"/>
      <c r="H145" s="1601"/>
      <c r="I145" s="1601"/>
    </row>
    <row r="146" spans="1:9" s="33" customFormat="1" ht="16.5" collapsed="1" thickBot="1" x14ac:dyDescent="0.3">
      <c r="A146" s="1622" t="s">
        <v>370</v>
      </c>
      <c r="B146" s="1622"/>
      <c r="C146" s="1623"/>
      <c r="D146" s="1624" t="e">
        <f t="shared" ref="D146:I146" si="17">+D138+D94+D89+D25+D5</f>
        <v>#REF!</v>
      </c>
      <c r="E146" s="1624">
        <f t="shared" si="17"/>
        <v>153796.83199999999</v>
      </c>
      <c r="F146" s="1624">
        <f t="shared" si="17"/>
        <v>147828.94464</v>
      </c>
      <c r="G146" s="1624">
        <f t="shared" si="17"/>
        <v>149861.91953280004</v>
      </c>
      <c r="H146" s="1624">
        <f t="shared" si="17"/>
        <v>151935.553923456</v>
      </c>
      <c r="I146" s="1624">
        <f t="shared" si="17"/>
        <v>154050.66100192512</v>
      </c>
    </row>
    <row r="147" spans="1:9" s="249" customFormat="1" ht="12.75" customHeight="1" x14ac:dyDescent="0.25">
      <c r="B147" s="250"/>
      <c r="C147" s="251"/>
      <c r="D147" s="238"/>
      <c r="E147" s="238"/>
      <c r="F147" s="238"/>
      <c r="G147" s="238"/>
      <c r="H147" s="238"/>
      <c r="I147" s="238"/>
    </row>
    <row r="148" spans="1:9" x14ac:dyDescent="0.25">
      <c r="A148" s="1620" t="s">
        <v>372</v>
      </c>
      <c r="B148" s="1621"/>
      <c r="C148" s="1621"/>
      <c r="D148" s="1621"/>
      <c r="E148" s="1621"/>
      <c r="F148" s="1621"/>
      <c r="G148" s="1621"/>
      <c r="H148" s="1621"/>
      <c r="I148" s="1621"/>
    </row>
    <row r="149" spans="1:9" s="33" customFormat="1" x14ac:dyDescent="0.25">
      <c r="A149" s="1605" t="s">
        <v>373</v>
      </c>
      <c r="B149" s="1605" t="s">
        <v>374</v>
      </c>
      <c r="C149" s="1600"/>
      <c r="D149" s="257">
        <f t="shared" ref="D149:I149" si="18">+D150+D159</f>
        <v>112002</v>
      </c>
      <c r="E149" s="257">
        <f t="shared" si="18"/>
        <v>108824</v>
      </c>
      <c r="F149" s="257">
        <f t="shared" si="18"/>
        <v>115877</v>
      </c>
      <c r="G149" s="257">
        <f t="shared" si="18"/>
        <v>118389</v>
      </c>
      <c r="H149" s="257">
        <f t="shared" si="18"/>
        <v>120961</v>
      </c>
      <c r="I149" s="257">
        <f t="shared" si="18"/>
        <v>123599</v>
      </c>
    </row>
    <row r="150" spans="1:9" s="33" customFormat="1" x14ac:dyDescent="0.25">
      <c r="B150" s="1617" t="s">
        <v>192</v>
      </c>
      <c r="C150" s="1618"/>
      <c r="D150" s="254">
        <v>32379</v>
      </c>
      <c r="E150" s="254">
        <v>33350</v>
      </c>
      <c r="F150" s="254">
        <v>34350</v>
      </c>
      <c r="G150" s="254">
        <v>35381</v>
      </c>
      <c r="H150" s="254">
        <v>36442</v>
      </c>
      <c r="I150" s="254">
        <v>37536</v>
      </c>
    </row>
    <row r="151" spans="1:9" s="258" customFormat="1" hidden="1" outlineLevel="1" x14ac:dyDescent="0.2">
      <c r="B151" s="1612" t="s">
        <v>126</v>
      </c>
      <c r="C151" s="1613">
        <v>5011</v>
      </c>
      <c r="D151" s="1614">
        <f>+'Souhrn příjmů a výdajů 2018'!H161/1000</f>
        <v>20374.400000000001</v>
      </c>
      <c r="E151" s="1614">
        <f t="shared" ref="E151:I158" si="19">+D151*1.03</f>
        <v>20985.632000000001</v>
      </c>
      <c r="F151" s="1614">
        <f t="shared" si="19"/>
        <v>21615.200960000002</v>
      </c>
      <c r="G151" s="1614">
        <f t="shared" si="19"/>
        <v>22263.656988800001</v>
      </c>
      <c r="H151" s="1614">
        <f t="shared" si="19"/>
        <v>22931.566698464001</v>
      </c>
      <c r="I151" s="1614">
        <f t="shared" si="19"/>
        <v>23619.513699417923</v>
      </c>
    </row>
    <row r="152" spans="1:9" s="258" customFormat="1" hidden="1" outlineLevel="1" x14ac:dyDescent="0.2">
      <c r="B152" s="1612" t="s">
        <v>127</v>
      </c>
      <c r="C152" s="1613">
        <v>5021</v>
      </c>
      <c r="D152" s="1614">
        <f>+'Souhrn příjmů a výdajů 2018'!H162/1000</f>
        <v>1434</v>
      </c>
      <c r="E152" s="1614">
        <f t="shared" si="19"/>
        <v>1477.02</v>
      </c>
      <c r="F152" s="1614">
        <f t="shared" si="19"/>
        <v>1521.3306</v>
      </c>
      <c r="G152" s="1614">
        <f t="shared" si="19"/>
        <v>1566.9705180000001</v>
      </c>
      <c r="H152" s="1614">
        <f t="shared" si="19"/>
        <v>1613.9796335400001</v>
      </c>
      <c r="I152" s="1614">
        <f t="shared" si="19"/>
        <v>1662.3990225462001</v>
      </c>
    </row>
    <row r="153" spans="1:9" ht="18" hidden="1" customHeight="1" outlineLevel="1" x14ac:dyDescent="0.25">
      <c r="B153" s="1599" t="s">
        <v>128</v>
      </c>
      <c r="C153" s="1600">
        <v>5023</v>
      </c>
      <c r="D153" s="1601">
        <f>+'Souhrn příjmů a výdajů 2018'!H163/1000</f>
        <v>2347</v>
      </c>
      <c r="E153" s="1614">
        <f t="shared" si="19"/>
        <v>2417.41</v>
      </c>
      <c r="F153" s="1614">
        <f t="shared" si="19"/>
        <v>2489.9322999999999</v>
      </c>
      <c r="G153" s="1614">
        <f t="shared" si="19"/>
        <v>2564.6302690000002</v>
      </c>
      <c r="H153" s="1614">
        <f t="shared" si="19"/>
        <v>2641.5691770700005</v>
      </c>
      <c r="I153" s="1614">
        <f t="shared" si="19"/>
        <v>2720.8162523821006</v>
      </c>
    </row>
    <row r="154" spans="1:9" ht="18" hidden="1" customHeight="1" outlineLevel="1" x14ac:dyDescent="0.25">
      <c r="B154" s="1599" t="s">
        <v>129</v>
      </c>
      <c r="C154" s="1600">
        <v>5024</v>
      </c>
      <c r="D154" s="1601">
        <f>+'Souhrn příjmů a výdajů 2018'!H164/1000</f>
        <v>0</v>
      </c>
      <c r="E154" s="1614">
        <f t="shared" si="19"/>
        <v>0</v>
      </c>
      <c r="F154" s="1614">
        <f t="shared" si="19"/>
        <v>0</v>
      </c>
      <c r="G154" s="1614">
        <f t="shared" si="19"/>
        <v>0</v>
      </c>
      <c r="H154" s="1614">
        <f t="shared" si="19"/>
        <v>0</v>
      </c>
      <c r="I154" s="1614">
        <f t="shared" si="19"/>
        <v>0</v>
      </c>
    </row>
    <row r="155" spans="1:9" ht="18" hidden="1" customHeight="1" outlineLevel="1" x14ac:dyDescent="0.25">
      <c r="B155" s="1599" t="s">
        <v>130</v>
      </c>
      <c r="C155" s="1600">
        <v>5029</v>
      </c>
      <c r="D155" s="1601">
        <f>+'Souhrn příjmů a výdajů 2018'!H165/1000</f>
        <v>30</v>
      </c>
      <c r="E155" s="1614">
        <f t="shared" si="19"/>
        <v>30.900000000000002</v>
      </c>
      <c r="F155" s="1614">
        <f t="shared" si="19"/>
        <v>31.827000000000002</v>
      </c>
      <c r="G155" s="1614">
        <f t="shared" si="19"/>
        <v>32.78181</v>
      </c>
      <c r="H155" s="1614">
        <f t="shared" si="19"/>
        <v>33.765264299999998</v>
      </c>
      <c r="I155" s="1614">
        <f t="shared" si="19"/>
        <v>34.778222229000001</v>
      </c>
    </row>
    <row r="156" spans="1:9" ht="18" hidden="1" customHeight="1" outlineLevel="1" x14ac:dyDescent="0.25">
      <c r="B156" s="1599" t="s">
        <v>131</v>
      </c>
      <c r="C156" s="1600">
        <v>5031</v>
      </c>
      <c r="D156" s="1601">
        <f>+'Souhrn příjmů a výdajů 2018'!H166/1000</f>
        <v>5950.85</v>
      </c>
      <c r="E156" s="1614">
        <f t="shared" si="19"/>
        <v>6129.3755000000001</v>
      </c>
      <c r="F156" s="1614">
        <f t="shared" si="19"/>
        <v>6313.2567650000001</v>
      </c>
      <c r="G156" s="1614">
        <f t="shared" si="19"/>
        <v>6502.6544679500003</v>
      </c>
      <c r="H156" s="1614">
        <f t="shared" si="19"/>
        <v>6697.7341019885007</v>
      </c>
      <c r="I156" s="1614">
        <f t="shared" si="19"/>
        <v>6898.6661250481557</v>
      </c>
    </row>
    <row r="157" spans="1:9" ht="18" hidden="1" customHeight="1" outlineLevel="1" x14ac:dyDescent="0.25">
      <c r="B157" s="1599" t="s">
        <v>132</v>
      </c>
      <c r="C157" s="1600">
        <v>5032</v>
      </c>
      <c r="D157" s="1601">
        <f>+'Souhrn příjmů a výdajů 2018'!H167/1000</f>
        <v>2142.3060000000009</v>
      </c>
      <c r="E157" s="1614">
        <f t="shared" si="19"/>
        <v>2206.5751800000012</v>
      </c>
      <c r="F157" s="1614">
        <f t="shared" si="19"/>
        <v>2272.7724354000011</v>
      </c>
      <c r="G157" s="1614">
        <f t="shared" si="19"/>
        <v>2340.9556084620012</v>
      </c>
      <c r="H157" s="1614">
        <f t="shared" si="19"/>
        <v>2411.1842767158614</v>
      </c>
      <c r="I157" s="1614">
        <f t="shared" si="19"/>
        <v>2483.5198050173371</v>
      </c>
    </row>
    <row r="158" spans="1:9" ht="18" hidden="1" customHeight="1" outlineLevel="1" x14ac:dyDescent="0.25">
      <c r="B158" s="1599" t="s">
        <v>133</v>
      </c>
      <c r="C158" s="1600">
        <v>5038</v>
      </c>
      <c r="D158" s="1601">
        <f>+'Souhrn příjmů a výdajů 2018'!H168/1000</f>
        <v>99.974279999999993</v>
      </c>
      <c r="E158" s="1614">
        <f t="shared" si="19"/>
        <v>102.9735084</v>
      </c>
      <c r="F158" s="1614">
        <f t="shared" si="19"/>
        <v>106.062713652</v>
      </c>
      <c r="G158" s="1614">
        <f t="shared" si="19"/>
        <v>109.24459506156001</v>
      </c>
      <c r="H158" s="1614">
        <f t="shared" si="19"/>
        <v>112.52193291340681</v>
      </c>
      <c r="I158" s="1614">
        <f t="shared" si="19"/>
        <v>115.89759090080902</v>
      </c>
    </row>
    <row r="159" spans="1:9" s="33" customFormat="1" collapsed="1" x14ac:dyDescent="0.25">
      <c r="B159" s="1605" t="s">
        <v>375</v>
      </c>
      <c r="C159" s="1600"/>
      <c r="D159" s="257">
        <v>79623</v>
      </c>
      <c r="E159" s="257">
        <v>75474</v>
      </c>
      <c r="F159" s="257">
        <v>81527</v>
      </c>
      <c r="G159" s="257">
        <v>83008</v>
      </c>
      <c r="H159" s="257">
        <v>84519</v>
      </c>
      <c r="I159" s="257">
        <v>86063</v>
      </c>
    </row>
    <row r="160" spans="1:9" ht="18" hidden="1" customHeight="1" outlineLevel="1" x14ac:dyDescent="0.25">
      <c r="B160" s="1599" t="s">
        <v>135</v>
      </c>
      <c r="C160" s="1600">
        <v>5178</v>
      </c>
      <c r="D160" s="1601">
        <f>'Sumář  výdaje kapitol'!M17</f>
        <v>0</v>
      </c>
      <c r="E160" s="1601">
        <f>'Sumář  výdaje kapitol'!N17</f>
        <v>0</v>
      </c>
      <c r="F160" s="1601">
        <f>'Sumář  výdaje kapitol'!O17</f>
        <v>0</v>
      </c>
      <c r="G160" s="1601">
        <f>'Sumář  výdaje kapitol'!P17</f>
        <v>0</v>
      </c>
      <c r="H160" s="1601">
        <f>'Sumář  výdaje kapitol'!Q17</f>
        <v>0</v>
      </c>
      <c r="I160" s="1601">
        <f>'Sumář  výdaje kapitol'!R17</f>
        <v>0</v>
      </c>
    </row>
    <row r="161" spans="1:9" ht="18" hidden="1" customHeight="1" outlineLevel="1" x14ac:dyDescent="0.25">
      <c r="B161" s="1599" t="s">
        <v>136</v>
      </c>
      <c r="C161" s="1600">
        <v>5132</v>
      </c>
      <c r="D161" s="1601">
        <f>'Sumář  výdaje kapitol'!M18</f>
        <v>0</v>
      </c>
      <c r="E161" s="1601">
        <f>'Sumář  výdaje kapitol'!N18</f>
        <v>0</v>
      </c>
      <c r="F161" s="1601">
        <f>'Sumář  výdaje kapitol'!O18</f>
        <v>0</v>
      </c>
      <c r="G161" s="1601">
        <f>'Sumář  výdaje kapitol'!P18</f>
        <v>0</v>
      </c>
      <c r="H161" s="1601">
        <f>'Sumář  výdaje kapitol'!Q18</f>
        <v>0</v>
      </c>
      <c r="I161" s="1601">
        <f>'Sumář  výdaje kapitol'!R18</f>
        <v>0</v>
      </c>
    </row>
    <row r="162" spans="1:9" ht="18" hidden="1" customHeight="1" outlineLevel="1" x14ac:dyDescent="0.25">
      <c r="B162" s="1599" t="s">
        <v>137</v>
      </c>
      <c r="C162" s="1600">
        <v>5134</v>
      </c>
      <c r="D162" s="1601">
        <f>+'Souhrn příjmů a výdajů 2018'!H173/1000</f>
        <v>156</v>
      </c>
      <c r="E162" s="1601">
        <f t="shared" ref="E162:I171" si="20">+D162*1.02</f>
        <v>159.12</v>
      </c>
      <c r="F162" s="1601">
        <f t="shared" si="20"/>
        <v>162.30240000000001</v>
      </c>
      <c r="G162" s="1601">
        <f t="shared" si="20"/>
        <v>165.54844800000001</v>
      </c>
      <c r="H162" s="1601">
        <f t="shared" si="20"/>
        <v>168.85941696</v>
      </c>
      <c r="I162" s="1601">
        <f t="shared" si="20"/>
        <v>172.23660529919999</v>
      </c>
    </row>
    <row r="163" spans="1:9" ht="18" hidden="1" customHeight="1" outlineLevel="1" x14ac:dyDescent="0.25">
      <c r="B163" s="1599" t="s">
        <v>138</v>
      </c>
      <c r="C163" s="1600">
        <v>5136</v>
      </c>
      <c r="D163" s="1601">
        <f>+'Souhrn příjmů a výdajů 2018'!H174/1000</f>
        <v>261</v>
      </c>
      <c r="E163" s="1601">
        <f t="shared" si="20"/>
        <v>266.22000000000003</v>
      </c>
      <c r="F163" s="1601">
        <f t="shared" si="20"/>
        <v>271.54440000000005</v>
      </c>
      <c r="G163" s="1601">
        <f t="shared" si="20"/>
        <v>276.97528800000003</v>
      </c>
      <c r="H163" s="1601">
        <f t="shared" si="20"/>
        <v>282.51479376000003</v>
      </c>
      <c r="I163" s="1601">
        <f t="shared" si="20"/>
        <v>288.16508963520005</v>
      </c>
    </row>
    <row r="164" spans="1:9" hidden="1" outlineLevel="1" x14ac:dyDescent="0.25">
      <c r="A164" s="258"/>
      <c r="B164" s="1612" t="s">
        <v>139</v>
      </c>
      <c r="C164" s="1613">
        <v>5137</v>
      </c>
      <c r="D164" s="1614">
        <f>+'Souhrn příjmů a výdajů 2018'!H175/1000</f>
        <v>2030</v>
      </c>
      <c r="E164" s="1601">
        <f t="shared" si="20"/>
        <v>2070.6</v>
      </c>
      <c r="F164" s="1601">
        <f t="shared" si="20"/>
        <v>2112.0120000000002</v>
      </c>
      <c r="G164" s="1601">
        <f t="shared" si="20"/>
        <v>2154.2522400000003</v>
      </c>
      <c r="H164" s="1601">
        <f t="shared" si="20"/>
        <v>2197.3372848000004</v>
      </c>
      <c r="I164" s="1601">
        <f t="shared" si="20"/>
        <v>2241.2840304960005</v>
      </c>
    </row>
    <row r="165" spans="1:9" ht="18" hidden="1" customHeight="1" outlineLevel="1" x14ac:dyDescent="0.25">
      <c r="B165" s="1599" t="s">
        <v>140</v>
      </c>
      <c r="C165" s="1600">
        <v>5139</v>
      </c>
      <c r="D165" s="1601">
        <f>+'Souhrn příjmů a výdajů 2018'!H176/1000</f>
        <v>3817.569</v>
      </c>
      <c r="E165" s="1601">
        <f t="shared" si="20"/>
        <v>3893.92038</v>
      </c>
      <c r="F165" s="1601">
        <f t="shared" si="20"/>
        <v>3971.7987876000002</v>
      </c>
      <c r="G165" s="1601">
        <f t="shared" si="20"/>
        <v>4051.2347633520003</v>
      </c>
      <c r="H165" s="1601">
        <f t="shared" si="20"/>
        <v>4132.2594586190407</v>
      </c>
      <c r="I165" s="1601">
        <f t="shared" si="20"/>
        <v>4214.9046477914217</v>
      </c>
    </row>
    <row r="166" spans="1:9" ht="18" hidden="1" customHeight="1" outlineLevel="1" x14ac:dyDescent="0.25">
      <c r="B166" s="1599" t="s">
        <v>141</v>
      </c>
      <c r="C166" s="1600">
        <v>5151</v>
      </c>
      <c r="D166" s="1601">
        <f>+'Souhrn příjmů a výdajů 2018'!H177/1000</f>
        <v>673</v>
      </c>
      <c r="E166" s="1601">
        <f t="shared" si="20"/>
        <v>686.46</v>
      </c>
      <c r="F166" s="1601">
        <f t="shared" si="20"/>
        <v>700.18920000000003</v>
      </c>
      <c r="G166" s="1601">
        <f t="shared" si="20"/>
        <v>714.19298400000002</v>
      </c>
      <c r="H166" s="1601">
        <f t="shared" si="20"/>
        <v>728.47684368</v>
      </c>
      <c r="I166" s="1601">
        <f t="shared" si="20"/>
        <v>743.04638055359999</v>
      </c>
    </row>
    <row r="167" spans="1:9" ht="18" hidden="1" customHeight="1" outlineLevel="1" x14ac:dyDescent="0.25">
      <c r="B167" s="1599" t="s">
        <v>142</v>
      </c>
      <c r="C167" s="1600">
        <v>5153</v>
      </c>
      <c r="D167" s="1601">
        <f>+'Souhrn příjmů a výdajů 2018'!H178/1000</f>
        <v>2955</v>
      </c>
      <c r="E167" s="1601">
        <f t="shared" si="20"/>
        <v>3014.1</v>
      </c>
      <c r="F167" s="1601">
        <f t="shared" si="20"/>
        <v>3074.3820000000001</v>
      </c>
      <c r="G167" s="1601">
        <f t="shared" si="20"/>
        <v>3135.8696399999999</v>
      </c>
      <c r="H167" s="1601">
        <f t="shared" si="20"/>
        <v>3198.5870328000001</v>
      </c>
      <c r="I167" s="1601">
        <f t="shared" si="20"/>
        <v>3262.5587734559999</v>
      </c>
    </row>
    <row r="168" spans="1:9" ht="18" hidden="1" customHeight="1" outlineLevel="1" x14ac:dyDescent="0.25">
      <c r="B168" s="1599" t="s">
        <v>143</v>
      </c>
      <c r="C168" s="1600">
        <v>5154</v>
      </c>
      <c r="D168" s="1601">
        <f>+'Souhrn příjmů a výdajů 2018'!H179/1000</f>
        <v>2387</v>
      </c>
      <c r="E168" s="1601">
        <f t="shared" si="20"/>
        <v>2434.7400000000002</v>
      </c>
      <c r="F168" s="1601">
        <f t="shared" si="20"/>
        <v>2483.4348000000005</v>
      </c>
      <c r="G168" s="1601">
        <f t="shared" si="20"/>
        <v>2533.1034960000006</v>
      </c>
      <c r="H168" s="1601">
        <f t="shared" si="20"/>
        <v>2583.7655659200009</v>
      </c>
      <c r="I168" s="1601">
        <f t="shared" si="20"/>
        <v>2635.4408772384008</v>
      </c>
    </row>
    <row r="169" spans="1:9" ht="18" hidden="1" customHeight="1" outlineLevel="1" x14ac:dyDescent="0.25">
      <c r="B169" s="1599" t="s">
        <v>144</v>
      </c>
      <c r="C169" s="1600">
        <v>5156</v>
      </c>
      <c r="D169" s="1601">
        <f>+'Souhrn příjmů a výdajů 2018'!H180/1000</f>
        <v>400</v>
      </c>
      <c r="E169" s="1601">
        <f t="shared" si="20"/>
        <v>408</v>
      </c>
      <c r="F169" s="1601">
        <f t="shared" si="20"/>
        <v>416.16</v>
      </c>
      <c r="G169" s="1601">
        <f t="shared" si="20"/>
        <v>424.48320000000001</v>
      </c>
      <c r="H169" s="1601">
        <f t="shared" si="20"/>
        <v>432.97286400000002</v>
      </c>
      <c r="I169" s="1601">
        <f t="shared" si="20"/>
        <v>441.63232128000004</v>
      </c>
    </row>
    <row r="170" spans="1:9" ht="18" hidden="1" customHeight="1" outlineLevel="1" x14ac:dyDescent="0.25">
      <c r="B170" s="1599" t="s">
        <v>145</v>
      </c>
      <c r="C170" s="1600">
        <v>5161</v>
      </c>
      <c r="D170" s="1601">
        <f>+'Souhrn příjmů a výdajů 2018'!H181/1000</f>
        <v>648</v>
      </c>
      <c r="E170" s="1601">
        <f t="shared" si="20"/>
        <v>660.96</v>
      </c>
      <c r="F170" s="1601">
        <f t="shared" si="20"/>
        <v>674.17920000000004</v>
      </c>
      <c r="G170" s="1601">
        <f t="shared" si="20"/>
        <v>687.6627840000001</v>
      </c>
      <c r="H170" s="1601">
        <f t="shared" si="20"/>
        <v>701.41603968000015</v>
      </c>
      <c r="I170" s="1601">
        <f t="shared" si="20"/>
        <v>715.44436047360011</v>
      </c>
    </row>
    <row r="171" spans="1:9" ht="18" hidden="1" customHeight="1" outlineLevel="1" x14ac:dyDescent="0.25">
      <c r="B171" s="1599" t="s">
        <v>146</v>
      </c>
      <c r="C171" s="1600">
        <v>5162</v>
      </c>
      <c r="D171" s="1601">
        <f>+'Souhrn příjmů a výdajů 2018'!H182/1000</f>
        <v>515</v>
      </c>
      <c r="E171" s="1601">
        <f t="shared" si="20"/>
        <v>525.29999999999995</v>
      </c>
      <c r="F171" s="1601">
        <f t="shared" si="20"/>
        <v>535.80599999999993</v>
      </c>
      <c r="G171" s="1601">
        <f t="shared" si="20"/>
        <v>546.52211999999997</v>
      </c>
      <c r="H171" s="1601">
        <f t="shared" si="20"/>
        <v>557.45256240000003</v>
      </c>
      <c r="I171" s="1601">
        <f t="shared" si="20"/>
        <v>568.60161364800001</v>
      </c>
    </row>
    <row r="172" spans="1:9" ht="18" hidden="1" customHeight="1" outlineLevel="1" x14ac:dyDescent="0.25">
      <c r="B172" s="1599" t="s">
        <v>147</v>
      </c>
      <c r="C172" s="1600">
        <v>5163</v>
      </c>
      <c r="D172" s="1601">
        <f>+'Souhrn příjmů a výdajů 2018'!H183/1000</f>
        <v>752</v>
      </c>
      <c r="E172" s="1601">
        <f t="shared" ref="E172:I181" si="21">+D172*1.02</f>
        <v>767.04</v>
      </c>
      <c r="F172" s="1601">
        <f t="shared" si="21"/>
        <v>782.38080000000002</v>
      </c>
      <c r="G172" s="1601">
        <f t="shared" si="21"/>
        <v>798.02841599999999</v>
      </c>
      <c r="H172" s="1601">
        <f t="shared" si="21"/>
        <v>813.98898431999999</v>
      </c>
      <c r="I172" s="1601">
        <f t="shared" si="21"/>
        <v>830.26876400640003</v>
      </c>
    </row>
    <row r="173" spans="1:9" ht="18" hidden="1" customHeight="1" outlineLevel="1" x14ac:dyDescent="0.25">
      <c r="B173" s="1599" t="s">
        <v>148</v>
      </c>
      <c r="C173" s="1600">
        <v>5164</v>
      </c>
      <c r="D173" s="1601">
        <f>+'Souhrn příjmů a výdajů 2018'!H184/1000</f>
        <v>2096.2249999999999</v>
      </c>
      <c r="E173" s="1601">
        <f t="shared" si="21"/>
        <v>2138.1495</v>
      </c>
      <c r="F173" s="1601">
        <f t="shared" si="21"/>
        <v>2180.9124900000002</v>
      </c>
      <c r="G173" s="1601">
        <f t="shared" si="21"/>
        <v>2224.5307398</v>
      </c>
      <c r="H173" s="1601">
        <f t="shared" si="21"/>
        <v>2269.021354596</v>
      </c>
      <c r="I173" s="1601">
        <f t="shared" si="21"/>
        <v>2314.40178168792</v>
      </c>
    </row>
    <row r="174" spans="1:9" ht="18" hidden="1" customHeight="1" outlineLevel="1" x14ac:dyDescent="0.25">
      <c r="B174" s="1599" t="s">
        <v>149</v>
      </c>
      <c r="C174" s="1600">
        <v>5166</v>
      </c>
      <c r="D174" s="1601">
        <f>+'Souhrn příjmů a výdajů 2018'!H185/1000</f>
        <v>1000</v>
      </c>
      <c r="E174" s="1601">
        <f t="shared" si="21"/>
        <v>1020</v>
      </c>
      <c r="F174" s="1601">
        <f t="shared" si="21"/>
        <v>1040.4000000000001</v>
      </c>
      <c r="G174" s="1601">
        <f t="shared" si="21"/>
        <v>1061.2080000000001</v>
      </c>
      <c r="H174" s="1601">
        <f t="shared" si="21"/>
        <v>1082.4321600000001</v>
      </c>
      <c r="I174" s="1601">
        <f t="shared" si="21"/>
        <v>1104.0808032</v>
      </c>
    </row>
    <row r="175" spans="1:9" ht="18" hidden="1" customHeight="1" outlineLevel="1" x14ac:dyDescent="0.25">
      <c r="B175" s="1599" t="s">
        <v>150</v>
      </c>
      <c r="C175" s="1600">
        <v>5167</v>
      </c>
      <c r="D175" s="1601">
        <f>+'Souhrn příjmů a výdajů 2018'!H186/1000</f>
        <v>353</v>
      </c>
      <c r="E175" s="1601">
        <f t="shared" si="21"/>
        <v>360.06</v>
      </c>
      <c r="F175" s="1601">
        <f t="shared" si="21"/>
        <v>367.26120000000003</v>
      </c>
      <c r="G175" s="1601">
        <f t="shared" si="21"/>
        <v>374.60642400000006</v>
      </c>
      <c r="H175" s="1601">
        <f t="shared" si="21"/>
        <v>382.09855248000008</v>
      </c>
      <c r="I175" s="1601">
        <f t="shared" si="21"/>
        <v>389.74052352960007</v>
      </c>
    </row>
    <row r="176" spans="1:9" ht="18" hidden="1" customHeight="1" outlineLevel="1" x14ac:dyDescent="0.25">
      <c r="B176" s="1599" t="s">
        <v>151</v>
      </c>
      <c r="C176" s="1600">
        <v>5168</v>
      </c>
      <c r="D176" s="1601">
        <f>+'Souhrn příjmů a výdajů 2018'!H187/1000</f>
        <v>165</v>
      </c>
      <c r="E176" s="1601">
        <f t="shared" si="21"/>
        <v>168.3</v>
      </c>
      <c r="F176" s="1601">
        <f t="shared" si="21"/>
        <v>171.66600000000003</v>
      </c>
      <c r="G176" s="1601">
        <f t="shared" si="21"/>
        <v>175.09932000000003</v>
      </c>
      <c r="H176" s="1601">
        <f t="shared" si="21"/>
        <v>178.60130640000003</v>
      </c>
      <c r="I176" s="1601">
        <f t="shared" si="21"/>
        <v>182.17333252800003</v>
      </c>
    </row>
    <row r="177" spans="1:9" hidden="1" outlineLevel="1" x14ac:dyDescent="0.25">
      <c r="A177" s="258"/>
      <c r="B177" s="1612" t="s">
        <v>152</v>
      </c>
      <c r="C177" s="1613">
        <v>5169</v>
      </c>
      <c r="D177" s="1614">
        <f>+'Souhrn příjmů a výdajů 2018'!H188/1000</f>
        <v>16355.6</v>
      </c>
      <c r="E177" s="1601">
        <f>+D177*1.02-2500</f>
        <v>14182.712</v>
      </c>
      <c r="F177" s="1601">
        <f>+E177*1.02+2500</f>
        <v>16966.366239999999</v>
      </c>
      <c r="G177" s="1601">
        <f t="shared" si="21"/>
        <v>17305.6935648</v>
      </c>
      <c r="H177" s="1601">
        <f t="shared" si="21"/>
        <v>17651.807436096002</v>
      </c>
      <c r="I177" s="1601">
        <f t="shared" si="21"/>
        <v>18004.843584817922</v>
      </c>
    </row>
    <row r="178" spans="1:9" s="258" customFormat="1" hidden="1" outlineLevel="1" x14ac:dyDescent="0.25">
      <c r="B178" s="1612" t="s">
        <v>153</v>
      </c>
      <c r="C178" s="1613">
        <v>5171</v>
      </c>
      <c r="D178" s="1614">
        <f>+'Souhrn příjmů a výdajů 2018'!H189/1000</f>
        <v>12860</v>
      </c>
      <c r="E178" s="1601">
        <f>+D178*1.02-2526</f>
        <v>10591.2</v>
      </c>
      <c r="F178" s="1601">
        <f>+E178*1.02+2500</f>
        <v>13303.024000000001</v>
      </c>
      <c r="G178" s="1601">
        <f>+F178*1.02</f>
        <v>13569.084480000001</v>
      </c>
      <c r="H178" s="1601">
        <f>+G178*1.02</f>
        <v>13840.466169600002</v>
      </c>
      <c r="I178" s="1601">
        <f>+H178*1.02</f>
        <v>14117.275492992003</v>
      </c>
    </row>
    <row r="179" spans="1:9" ht="18" hidden="1" customHeight="1" outlineLevel="1" x14ac:dyDescent="0.25">
      <c r="B179" s="1599" t="s">
        <v>154</v>
      </c>
      <c r="C179" s="1600">
        <v>5172</v>
      </c>
      <c r="D179" s="1601">
        <f>+'Souhrn příjmů a výdajů 2018'!H190/1000</f>
        <v>1591</v>
      </c>
      <c r="E179" s="1601">
        <f t="shared" si="21"/>
        <v>1622.82</v>
      </c>
      <c r="F179" s="1601">
        <f t="shared" si="21"/>
        <v>1655.2764</v>
      </c>
      <c r="G179" s="1601">
        <f t="shared" si="21"/>
        <v>1688.381928</v>
      </c>
      <c r="H179" s="1601">
        <f t="shared" si="21"/>
        <v>1722.14956656</v>
      </c>
      <c r="I179" s="1601">
        <f t="shared" si="21"/>
        <v>1756.5925578912002</v>
      </c>
    </row>
    <row r="180" spans="1:9" ht="18" hidden="1" customHeight="1" outlineLevel="1" x14ac:dyDescent="0.25">
      <c r="B180" s="1599" t="s">
        <v>155</v>
      </c>
      <c r="C180" s="1600">
        <v>5173</v>
      </c>
      <c r="D180" s="1601">
        <f>+'Souhrn příjmů a výdajů 2018'!H191/1000</f>
        <v>77</v>
      </c>
      <c r="E180" s="1601">
        <f t="shared" si="21"/>
        <v>78.540000000000006</v>
      </c>
      <c r="F180" s="1601">
        <f t="shared" si="21"/>
        <v>80.110800000000012</v>
      </c>
      <c r="G180" s="1601">
        <f t="shared" si="21"/>
        <v>81.71301600000001</v>
      </c>
      <c r="H180" s="1601">
        <f t="shared" si="21"/>
        <v>83.347276320000006</v>
      </c>
      <c r="I180" s="1601">
        <f t="shared" si="21"/>
        <v>85.014221846400005</v>
      </c>
    </row>
    <row r="181" spans="1:9" ht="18" hidden="1" customHeight="1" outlineLevel="1" x14ac:dyDescent="0.25">
      <c r="B181" s="1599" t="s">
        <v>156</v>
      </c>
      <c r="C181" s="1600">
        <v>5175</v>
      </c>
      <c r="D181" s="1601">
        <f>+'Souhrn příjmů a výdajů 2018'!H192/1000</f>
        <v>353</v>
      </c>
      <c r="E181" s="1601">
        <f t="shared" si="21"/>
        <v>360.06</v>
      </c>
      <c r="F181" s="1601">
        <f t="shared" si="21"/>
        <v>367.26120000000003</v>
      </c>
      <c r="G181" s="1601">
        <f t="shared" si="21"/>
        <v>374.60642400000006</v>
      </c>
      <c r="H181" s="1601">
        <f t="shared" si="21"/>
        <v>382.09855248000008</v>
      </c>
      <c r="I181" s="1601">
        <f t="shared" si="21"/>
        <v>389.74052352960007</v>
      </c>
    </row>
    <row r="182" spans="1:9" ht="18" hidden="1" customHeight="1" outlineLevel="1" x14ac:dyDescent="0.25">
      <c r="B182" s="1599" t="s">
        <v>157</v>
      </c>
      <c r="C182" s="1600">
        <v>5179</v>
      </c>
      <c r="D182" s="1601">
        <f>+'Souhrn příjmů a výdajů 2018'!H193/1000</f>
        <v>0</v>
      </c>
      <c r="E182" s="1601">
        <f t="shared" ref="E182:I191" si="22">+D182*1.02</f>
        <v>0</v>
      </c>
      <c r="F182" s="1601">
        <f t="shared" si="22"/>
        <v>0</v>
      </c>
      <c r="G182" s="1601">
        <f t="shared" si="22"/>
        <v>0</v>
      </c>
      <c r="H182" s="1601">
        <f t="shared" si="22"/>
        <v>0</v>
      </c>
      <c r="I182" s="1601">
        <f t="shared" si="22"/>
        <v>0</v>
      </c>
    </row>
    <row r="183" spans="1:9" ht="18" hidden="1" customHeight="1" outlineLevel="1" x14ac:dyDescent="0.25">
      <c r="B183" s="1599" t="s">
        <v>624</v>
      </c>
      <c r="C183" s="1600">
        <v>5192</v>
      </c>
      <c r="D183" s="1601">
        <f>+'Souhrn příjmů a výdajů 2018'!H194/1000</f>
        <v>135</v>
      </c>
      <c r="E183" s="1601">
        <f t="shared" si="22"/>
        <v>137.69999999999999</v>
      </c>
      <c r="F183" s="1601">
        <f t="shared" si="22"/>
        <v>140.45399999999998</v>
      </c>
      <c r="G183" s="1601">
        <f t="shared" si="22"/>
        <v>143.26307999999997</v>
      </c>
      <c r="H183" s="1601">
        <f t="shared" si="22"/>
        <v>146.12834159999997</v>
      </c>
      <c r="I183" s="1601">
        <f t="shared" si="22"/>
        <v>149.05090843199997</v>
      </c>
    </row>
    <row r="184" spans="1:9" ht="18" hidden="1" customHeight="1" outlineLevel="1" x14ac:dyDescent="0.25">
      <c r="B184" s="1599" t="s">
        <v>158</v>
      </c>
      <c r="C184" s="1600">
        <v>5193</v>
      </c>
      <c r="D184" s="1601">
        <f>+'Souhrn příjmů a výdajů 2018'!H195/1000</f>
        <v>1250</v>
      </c>
      <c r="E184" s="1601">
        <f t="shared" si="22"/>
        <v>1275</v>
      </c>
      <c r="F184" s="1601">
        <f t="shared" si="22"/>
        <v>1300.5</v>
      </c>
      <c r="G184" s="1601">
        <f t="shared" si="22"/>
        <v>1326.51</v>
      </c>
      <c r="H184" s="1601">
        <f t="shared" si="22"/>
        <v>1353.0401999999999</v>
      </c>
      <c r="I184" s="1601">
        <f t="shared" si="22"/>
        <v>1380.1010039999999</v>
      </c>
    </row>
    <row r="185" spans="1:9" ht="18" hidden="1" customHeight="1" outlineLevel="1" x14ac:dyDescent="0.25">
      <c r="B185" s="1599" t="s">
        <v>159</v>
      </c>
      <c r="C185" s="1600">
        <v>5194</v>
      </c>
      <c r="D185" s="1601">
        <f>+'Souhrn příjmů a výdajů 2018'!H196/1000</f>
        <v>250</v>
      </c>
      <c r="E185" s="1601">
        <f t="shared" si="22"/>
        <v>255</v>
      </c>
      <c r="F185" s="1601">
        <f t="shared" si="22"/>
        <v>260.10000000000002</v>
      </c>
      <c r="G185" s="1601">
        <f t="shared" si="22"/>
        <v>265.30200000000002</v>
      </c>
      <c r="H185" s="1601">
        <f t="shared" si="22"/>
        <v>270.60804000000002</v>
      </c>
      <c r="I185" s="1601">
        <f t="shared" si="22"/>
        <v>276.0202008</v>
      </c>
    </row>
    <row r="186" spans="1:9" ht="18" hidden="1" customHeight="1" outlineLevel="1" x14ac:dyDescent="0.25">
      <c r="B186" s="1599" t="s">
        <v>160</v>
      </c>
      <c r="C186" s="1600">
        <v>5329</v>
      </c>
      <c r="D186" s="1601">
        <f>+'Souhrn příjmů a výdajů 2018'!H197/1000</f>
        <v>869.5</v>
      </c>
      <c r="E186" s="1601">
        <f t="shared" si="22"/>
        <v>886.89</v>
      </c>
      <c r="F186" s="1601">
        <f t="shared" si="22"/>
        <v>904.62779999999998</v>
      </c>
      <c r="G186" s="1601">
        <f t="shared" si="22"/>
        <v>922.72035600000004</v>
      </c>
      <c r="H186" s="1601">
        <f t="shared" si="22"/>
        <v>941.17476312000008</v>
      </c>
      <c r="I186" s="1601">
        <f t="shared" si="22"/>
        <v>959.99825838240008</v>
      </c>
    </row>
    <row r="187" spans="1:9" ht="18" hidden="1" customHeight="1" outlineLevel="1" x14ac:dyDescent="0.25">
      <c r="B187" s="1599" t="s">
        <v>161</v>
      </c>
      <c r="C187" s="1600">
        <v>5331</v>
      </c>
      <c r="D187" s="1601">
        <f>+'Souhrn příjmů a výdajů 2018'!H198/1000</f>
        <v>20950</v>
      </c>
      <c r="E187" s="1601">
        <f>+D187*1.02-260-25</f>
        <v>21084</v>
      </c>
      <c r="F187" s="1601">
        <f>+E187*1.02-5</f>
        <v>21500.68</v>
      </c>
      <c r="G187" s="1601">
        <f>+F187*1.01+211-1</f>
        <v>21925.686799999999</v>
      </c>
      <c r="H187" s="1601">
        <f>+G187*1.02-65-4+63</f>
        <v>22358.200536</v>
      </c>
      <c r="I187" s="1601">
        <f>+H187*1.02-4</f>
        <v>22801.36454672</v>
      </c>
    </row>
    <row r="188" spans="1:9" ht="18" hidden="1" customHeight="1" outlineLevel="1" x14ac:dyDescent="0.25">
      <c r="B188" s="1599"/>
      <c r="C188" s="1600"/>
      <c r="D188" s="1601">
        <f>+'Souhrn příjmů a výdajů 2018'!H199/1000</f>
        <v>0</v>
      </c>
      <c r="E188" s="1601">
        <f t="shared" si="22"/>
        <v>0</v>
      </c>
      <c r="F188" s="1601">
        <f t="shared" si="22"/>
        <v>0</v>
      </c>
      <c r="G188" s="1601">
        <f t="shared" si="22"/>
        <v>0</v>
      </c>
      <c r="H188" s="1601">
        <f t="shared" si="22"/>
        <v>0</v>
      </c>
      <c r="I188" s="1601">
        <f t="shared" si="22"/>
        <v>0</v>
      </c>
    </row>
    <row r="189" spans="1:9" ht="18" hidden="1" customHeight="1" outlineLevel="1" x14ac:dyDescent="0.25">
      <c r="B189" s="1599" t="s">
        <v>162</v>
      </c>
      <c r="C189" s="1600">
        <v>5361</v>
      </c>
      <c r="D189" s="1601">
        <f>+'Souhrn příjmů a výdajů 2018'!H200/1000</f>
        <v>37</v>
      </c>
      <c r="E189" s="1601">
        <f t="shared" si="22"/>
        <v>37.74</v>
      </c>
      <c r="F189" s="1601">
        <f t="shared" si="22"/>
        <v>38.494800000000005</v>
      </c>
      <c r="G189" s="1601">
        <f t="shared" si="22"/>
        <v>39.264696000000008</v>
      </c>
      <c r="H189" s="1601">
        <f t="shared" si="22"/>
        <v>40.049989920000009</v>
      </c>
      <c r="I189" s="1601">
        <f t="shared" si="22"/>
        <v>40.850989718400008</v>
      </c>
    </row>
    <row r="190" spans="1:9" ht="18" hidden="1" customHeight="1" outlineLevel="1" x14ac:dyDescent="0.25">
      <c r="B190" s="1599" t="s">
        <v>163</v>
      </c>
      <c r="C190" s="1600">
        <v>5362</v>
      </c>
      <c r="D190" s="1601">
        <f>+'Souhrn příjmů a výdajů 2018'!H201/1000</f>
        <v>1240</v>
      </c>
      <c r="E190" s="1601">
        <f t="shared" si="22"/>
        <v>1264.8</v>
      </c>
      <c r="F190" s="1601">
        <f t="shared" si="22"/>
        <v>1290.096</v>
      </c>
      <c r="G190" s="1601">
        <f t="shared" si="22"/>
        <v>1315.8979200000001</v>
      </c>
      <c r="H190" s="1601">
        <f t="shared" si="22"/>
        <v>1342.2158784000001</v>
      </c>
      <c r="I190" s="1601">
        <f t="shared" si="22"/>
        <v>1369.060195968</v>
      </c>
    </row>
    <row r="191" spans="1:9" ht="18" hidden="1" customHeight="1" outlineLevel="1" x14ac:dyDescent="0.25">
      <c r="B191" s="1599" t="s">
        <v>164</v>
      </c>
      <c r="C191" s="1600">
        <v>5410</v>
      </c>
      <c r="D191" s="1601">
        <f>+'Souhrn příjmů a výdajů 2018'!H202/1000</f>
        <v>0</v>
      </c>
      <c r="E191" s="1601">
        <f t="shared" si="22"/>
        <v>0</v>
      </c>
      <c r="F191" s="1601">
        <f t="shared" si="22"/>
        <v>0</v>
      </c>
      <c r="G191" s="1601">
        <f t="shared" si="22"/>
        <v>0</v>
      </c>
      <c r="H191" s="1601">
        <f t="shared" si="22"/>
        <v>0</v>
      </c>
      <c r="I191" s="1601">
        <f t="shared" si="22"/>
        <v>0</v>
      </c>
    </row>
    <row r="192" spans="1:9" ht="18" hidden="1" customHeight="1" outlineLevel="1" x14ac:dyDescent="0.25">
      <c r="B192" s="1599" t="s">
        <v>165</v>
      </c>
      <c r="C192" s="1600">
        <v>5492</v>
      </c>
      <c r="D192" s="1601">
        <f>+'Souhrn příjmů a výdajů 2018'!H203/1000</f>
        <v>430</v>
      </c>
      <c r="E192" s="1601">
        <f t="shared" ref="E192:I193" si="23">+D192*1.02</f>
        <v>438.6</v>
      </c>
      <c r="F192" s="1601">
        <f t="shared" si="23"/>
        <v>447.37200000000001</v>
      </c>
      <c r="G192" s="1601">
        <f t="shared" si="23"/>
        <v>456.31944000000004</v>
      </c>
      <c r="H192" s="1601">
        <f t="shared" si="23"/>
        <v>465.44582880000007</v>
      </c>
      <c r="I192" s="1601">
        <f t="shared" si="23"/>
        <v>474.75474537600007</v>
      </c>
    </row>
    <row r="193" spans="1:9" ht="18" hidden="1" customHeight="1" outlineLevel="1" x14ac:dyDescent="0.25">
      <c r="B193" s="1599" t="s">
        <v>166</v>
      </c>
      <c r="C193" s="1600">
        <v>5499</v>
      </c>
      <c r="D193" s="1601">
        <f>+'Souhrn příjmů a výdajů 2018'!H204/1000</f>
        <v>1300</v>
      </c>
      <c r="E193" s="1601">
        <f t="shared" si="23"/>
        <v>1326</v>
      </c>
      <c r="F193" s="1601">
        <f t="shared" si="23"/>
        <v>1352.52</v>
      </c>
      <c r="G193" s="1601">
        <f t="shared" si="23"/>
        <v>1379.5704000000001</v>
      </c>
      <c r="H193" s="1601">
        <f t="shared" si="23"/>
        <v>1407.1618080000001</v>
      </c>
      <c r="I193" s="1601">
        <f t="shared" si="23"/>
        <v>1435.3050441600001</v>
      </c>
    </row>
    <row r="194" spans="1:9" ht="18" hidden="1" customHeight="1" outlineLevel="1" x14ac:dyDescent="0.25">
      <c r="B194" s="1599" t="s">
        <v>167</v>
      </c>
      <c r="C194" s="1600">
        <v>5222</v>
      </c>
      <c r="D194" s="1601">
        <f>+'Souhrn příjmů a výdajů 2018'!H205/1000</f>
        <v>1500</v>
      </c>
      <c r="E194" s="1601">
        <v>1600</v>
      </c>
      <c r="F194" s="1601">
        <v>1700</v>
      </c>
      <c r="G194" s="1601">
        <v>1800</v>
      </c>
      <c r="H194" s="1601">
        <v>1900</v>
      </c>
      <c r="I194" s="1601">
        <v>2000</v>
      </c>
    </row>
    <row r="195" spans="1:9" ht="18" hidden="1" customHeight="1" outlineLevel="1" x14ac:dyDescent="0.25">
      <c r="B195" s="1599" t="s">
        <v>1374</v>
      </c>
      <c r="C195" s="1600">
        <v>5651</v>
      </c>
      <c r="D195" s="1601">
        <f>+'Souhrn příjmů a výdajů 2018'!H206/1000</f>
        <v>0</v>
      </c>
      <c r="E195" s="1601"/>
      <c r="F195" s="1601"/>
      <c r="G195" s="1601"/>
      <c r="H195" s="1601"/>
      <c r="I195" s="1601"/>
    </row>
    <row r="196" spans="1:9" ht="18" hidden="1" customHeight="1" outlineLevel="1" x14ac:dyDescent="0.25">
      <c r="B196" s="1599" t="s">
        <v>168</v>
      </c>
      <c r="C196" s="1600">
        <v>5909</v>
      </c>
      <c r="D196" s="1601">
        <f>+'Souhrn příjmů a výdajů 2018'!H207/1000</f>
        <v>0</v>
      </c>
      <c r="E196" s="1601"/>
      <c r="F196" s="1601"/>
      <c r="G196" s="1601"/>
      <c r="H196" s="1601"/>
      <c r="I196" s="1601"/>
    </row>
    <row r="197" spans="1:9" ht="18" hidden="1" customHeight="1" outlineLevel="1" x14ac:dyDescent="0.25">
      <c r="B197" s="1599" t="s">
        <v>169</v>
      </c>
      <c r="C197" s="1600">
        <v>5909</v>
      </c>
      <c r="D197" s="1601">
        <f>+'Souhrn příjmů a výdajů 2018'!H208/1000</f>
        <v>0</v>
      </c>
      <c r="E197" s="1601"/>
      <c r="F197" s="1601"/>
      <c r="G197" s="1601"/>
      <c r="H197" s="1601"/>
      <c r="I197" s="1601"/>
    </row>
    <row r="198" spans="1:9" ht="18" hidden="1" customHeight="1" outlineLevel="1" x14ac:dyDescent="0.25">
      <c r="B198" s="1599" t="s">
        <v>11</v>
      </c>
      <c r="C198" s="1600">
        <v>5141</v>
      </c>
      <c r="D198" s="1601">
        <f>+'Souhrn příjmů a výdajů 2018'!H209/1000</f>
        <v>1736.4090776</v>
      </c>
      <c r="E198" s="1601">
        <f>+Úvěr!E18/1000+Úvěr!E20/1000+Úvěr!E16/1000+25</f>
        <v>1630.4573814</v>
      </c>
      <c r="F198" s="1601">
        <f>+Úvěr!F18/1000+Úvěr!F20/1000+Úvěr!F16/1000</f>
        <v>1191.1236250000002</v>
      </c>
      <c r="G198" s="1601">
        <f>+Úvěr!G18/1000+Úvěr!G20/1000+Úvěr!G16/1000</f>
        <v>1005.6470345999999</v>
      </c>
      <c r="H198" s="1601">
        <f>+Úvěr!H18/1000+Úvěr!H20/1000+Úvěr!H16/1000</f>
        <v>820.17044419999991</v>
      </c>
      <c r="I198" s="1601">
        <f>+Úvěr!I18/1000+Úvěr!I20/1000+Úvěr!I16/1000</f>
        <v>648.00016199999993</v>
      </c>
    </row>
    <row r="199" spans="1:9" hidden="1" outlineLevel="1" x14ac:dyDescent="0.25">
      <c r="B199" s="1606" t="s">
        <v>1344</v>
      </c>
      <c r="C199" s="1607">
        <v>5144</v>
      </c>
      <c r="D199" s="1608">
        <f>+'Souhrn příjmů a výdajů 2018'!H210/1000</f>
        <v>479.73200000000003</v>
      </c>
      <c r="E199" s="1608"/>
      <c r="F199" s="1608"/>
      <c r="G199" s="1608"/>
      <c r="H199" s="1608"/>
      <c r="I199" s="1608"/>
    </row>
    <row r="200" spans="1:9" s="33" customFormat="1" collapsed="1" x14ac:dyDescent="0.25">
      <c r="A200" s="1605" t="s">
        <v>376</v>
      </c>
      <c r="B200" s="1615" t="s">
        <v>377</v>
      </c>
      <c r="C200" s="1600"/>
      <c r="D200" s="257">
        <v>115417</v>
      </c>
      <c r="E200" s="257">
        <v>10992</v>
      </c>
      <c r="F200" s="257">
        <v>15399</v>
      </c>
      <c r="G200" s="257">
        <v>14921</v>
      </c>
      <c r="H200" s="257">
        <v>14423</v>
      </c>
      <c r="I200" s="257">
        <v>13900</v>
      </c>
    </row>
    <row r="201" spans="1:9" s="249" customFormat="1" ht="21" hidden="1" customHeight="1" outlineLevel="1" x14ac:dyDescent="0.25">
      <c r="B201" s="1596" t="s">
        <v>154</v>
      </c>
      <c r="C201" s="1597">
        <v>6111</v>
      </c>
      <c r="D201" s="1598">
        <f>+'Souhrn příjmů a výdajů 2018'!H212/1000</f>
        <v>0</v>
      </c>
      <c r="E201" s="1598"/>
      <c r="F201" s="1598"/>
      <c r="G201" s="1598"/>
      <c r="H201" s="1598"/>
      <c r="I201" s="1598"/>
    </row>
    <row r="202" spans="1:9" s="1628" customFormat="1" hidden="1" outlineLevel="1" x14ac:dyDescent="0.2">
      <c r="B202" s="1629" t="s">
        <v>173</v>
      </c>
      <c r="C202" s="1630">
        <v>6121</v>
      </c>
      <c r="D202" s="1631">
        <f>+'Souhrn příjmů a výdajů 2018'!H213/1000</f>
        <v>88197.077999999994</v>
      </c>
      <c r="E202" s="1631">
        <v>7176</v>
      </c>
      <c r="F202" s="1631">
        <v>6297</v>
      </c>
      <c r="G202" s="1631">
        <v>5816</v>
      </c>
      <c r="H202" s="1631">
        <v>6264</v>
      </c>
      <c r="I202" s="1631">
        <v>5738</v>
      </c>
    </row>
    <row r="203" spans="1:9" s="1628" customFormat="1" hidden="1" outlineLevel="1" x14ac:dyDescent="0.25">
      <c r="B203" s="1629" t="s">
        <v>174</v>
      </c>
      <c r="C203" s="1630">
        <v>6121</v>
      </c>
      <c r="D203" s="1598">
        <f>+'Souhrn příjmů a výdajů 2018'!H214/1000</f>
        <v>8473.3349999999991</v>
      </c>
      <c r="E203" s="1598">
        <v>2026</v>
      </c>
      <c r="F203" s="1598">
        <v>8152</v>
      </c>
      <c r="G203" s="1598">
        <v>8155</v>
      </c>
      <c r="H203" s="1598">
        <v>8159</v>
      </c>
      <c r="I203" s="1598">
        <v>8162</v>
      </c>
    </row>
    <row r="204" spans="1:9" s="249" customFormat="1" hidden="1" outlineLevel="1" x14ac:dyDescent="0.25">
      <c r="A204" s="1628"/>
      <c r="B204" s="1629" t="s">
        <v>175</v>
      </c>
      <c r="C204" s="1630">
        <v>6122</v>
      </c>
      <c r="D204" s="1631">
        <f>+'Souhrn příjmů a výdajů 2018'!H215/1000</f>
        <v>85</v>
      </c>
      <c r="E204" s="1631"/>
      <c r="F204" s="1631"/>
      <c r="G204" s="1631"/>
      <c r="H204" s="1631"/>
      <c r="I204" s="1631"/>
    </row>
    <row r="205" spans="1:9" s="249" customFormat="1" ht="18.75" hidden="1" customHeight="1" outlineLevel="1" x14ac:dyDescent="0.25">
      <c r="B205" s="1596" t="s">
        <v>176</v>
      </c>
      <c r="C205" s="1597">
        <v>6123</v>
      </c>
      <c r="D205" s="1598">
        <f>+'Souhrn příjmů a výdajů 2018'!H216/1000</f>
        <v>350</v>
      </c>
      <c r="E205" s="1598"/>
      <c r="F205" s="1598"/>
      <c r="G205" s="1598"/>
      <c r="H205" s="1598"/>
      <c r="I205" s="1598"/>
    </row>
    <row r="206" spans="1:9" s="249" customFormat="1" ht="18.75" hidden="1" customHeight="1" outlineLevel="1" x14ac:dyDescent="0.25">
      <c r="B206" s="1596" t="s">
        <v>177</v>
      </c>
      <c r="C206" s="1597">
        <v>6125</v>
      </c>
      <c r="D206" s="1598">
        <f>+'Souhrn příjmů a výdajů 2018'!H217/1000</f>
        <v>12071.545</v>
      </c>
      <c r="E206" s="1598"/>
      <c r="F206" s="1598"/>
      <c r="G206" s="1598"/>
      <c r="H206" s="1598"/>
      <c r="I206" s="1598"/>
    </row>
    <row r="207" spans="1:9" s="249" customFormat="1" ht="18.75" hidden="1" customHeight="1" outlineLevel="1" x14ac:dyDescent="0.25">
      <c r="B207" s="1596" t="s">
        <v>178</v>
      </c>
      <c r="C207" s="1597">
        <v>6129</v>
      </c>
      <c r="D207" s="1598">
        <f>+'Souhrn příjmů a výdajů 2018'!H218/1000</f>
        <v>0</v>
      </c>
      <c r="E207" s="1598"/>
      <c r="F207" s="1598"/>
      <c r="G207" s="1598"/>
      <c r="H207" s="1598"/>
      <c r="I207" s="1598"/>
    </row>
    <row r="208" spans="1:9" s="249" customFormat="1" ht="18.75" hidden="1" customHeight="1" outlineLevel="1" x14ac:dyDescent="0.25">
      <c r="B208" s="1596" t="s">
        <v>179</v>
      </c>
      <c r="C208" s="1597">
        <v>6130</v>
      </c>
      <c r="D208" s="1598">
        <f>+'Souhrn příjmů a výdajů 2018'!H219/1000</f>
        <v>1100</v>
      </c>
      <c r="E208" s="1598"/>
      <c r="F208" s="1598"/>
      <c r="G208" s="1598"/>
      <c r="H208" s="1598"/>
      <c r="I208" s="1598"/>
    </row>
    <row r="209" spans="1:9" s="249" customFormat="1" ht="18.75" hidden="1" customHeight="1" outlineLevel="1" x14ac:dyDescent="0.25">
      <c r="B209" s="1596" t="s">
        <v>502</v>
      </c>
      <c r="C209" s="1597">
        <v>6351</v>
      </c>
      <c r="D209" s="1598">
        <f>+'Souhrn příjmů a výdajů 2018'!H220/1000</f>
        <v>3640</v>
      </c>
      <c r="E209" s="1598">
        <f>+TSÚ!J9/1000+TSÚ!H11/1000</f>
        <v>1790</v>
      </c>
      <c r="F209" s="1598">
        <f>TSÚ!J9/1000</f>
        <v>950</v>
      </c>
      <c r="G209" s="1598">
        <f>+F209</f>
        <v>950</v>
      </c>
      <c r="H209" s="1598"/>
      <c r="I209" s="1598"/>
    </row>
    <row r="210" spans="1:9" s="249" customFormat="1" ht="18.75" hidden="1" customHeight="1" outlineLevel="1" x14ac:dyDescent="0.25">
      <c r="B210" s="1632" t="s">
        <v>182</v>
      </c>
      <c r="C210" s="1633">
        <v>6349</v>
      </c>
      <c r="D210" s="1634">
        <f>+'Souhrn příjmů a výdajů 2018'!H221/1000</f>
        <v>1500</v>
      </c>
      <c r="E210" s="1634"/>
      <c r="F210" s="1634"/>
      <c r="G210" s="1634"/>
      <c r="H210" s="1634"/>
      <c r="I210" s="1634"/>
    </row>
    <row r="211" spans="1:9" s="33" customFormat="1" collapsed="1" x14ac:dyDescent="0.25">
      <c r="A211" s="1605" t="s">
        <v>365</v>
      </c>
      <c r="B211" s="1615" t="s">
        <v>366</v>
      </c>
      <c r="C211" s="1600"/>
      <c r="D211" s="257">
        <v>11787</v>
      </c>
      <c r="E211" s="257">
        <v>33981</v>
      </c>
      <c r="F211" s="257">
        <v>16552</v>
      </c>
      <c r="G211" s="257">
        <v>16552</v>
      </c>
      <c r="H211" s="257">
        <v>16552</v>
      </c>
      <c r="I211" s="257">
        <v>16552</v>
      </c>
    </row>
    <row r="212" spans="1:9" ht="20.25" hidden="1" customHeight="1" outlineLevel="1" x14ac:dyDescent="0.25">
      <c r="B212" s="1599" t="s">
        <v>180</v>
      </c>
      <c r="C212" s="1600">
        <v>8115</v>
      </c>
      <c r="D212" s="1601">
        <f>'Sumář  výdaje kapitol'!M70</f>
        <v>0</v>
      </c>
      <c r="E212" s="1601">
        <f>'Sumář  výdaje kapitol'!N70</f>
        <v>0</v>
      </c>
      <c r="F212" s="1601">
        <f>'Sumář  výdaje kapitol'!O70</f>
        <v>0</v>
      </c>
      <c r="G212" s="1601">
        <f>'Sumář  výdaje kapitol'!P70</f>
        <v>0</v>
      </c>
      <c r="H212" s="1601">
        <f>'Sumář  výdaje kapitol'!Q70</f>
        <v>0</v>
      </c>
      <c r="I212" s="1601">
        <f>'Sumář  výdaje kapitol'!R70</f>
        <v>0</v>
      </c>
    </row>
    <row r="213" spans="1:9" ht="20.25" hidden="1" customHeight="1" outlineLevel="1" x14ac:dyDescent="0.25">
      <c r="B213" s="1599" t="s">
        <v>181</v>
      </c>
      <c r="C213" s="1600">
        <v>8115</v>
      </c>
      <c r="D213" s="1601">
        <f>+'Souhrn příjmů a výdajů 2018'!H225/1000</f>
        <v>377.44299999999998</v>
      </c>
      <c r="E213" s="1601"/>
      <c r="F213" s="1601"/>
      <c r="G213" s="1601"/>
      <c r="H213" s="1601"/>
      <c r="I213" s="1601"/>
    </row>
    <row r="214" spans="1:9" ht="20.25" hidden="1" customHeight="1" outlineLevel="1" x14ac:dyDescent="0.25">
      <c r="B214" s="1599" t="s">
        <v>188</v>
      </c>
      <c r="C214" s="1600">
        <v>8115</v>
      </c>
      <c r="D214" s="1601">
        <f>+'Souhrn příjmů a výdajů 2018'!H226/1000</f>
        <v>0</v>
      </c>
      <c r="E214" s="1601"/>
      <c r="F214" s="1601"/>
      <c r="G214" s="1601"/>
      <c r="H214" s="1601"/>
      <c r="I214" s="1601"/>
    </row>
    <row r="215" spans="1:9" ht="20.25" hidden="1" customHeight="1" outlineLevel="1" x14ac:dyDescent="0.25">
      <c r="B215" s="1599" t="s">
        <v>186</v>
      </c>
      <c r="C215" s="1600" t="s">
        <v>185</v>
      </c>
      <c r="D215" s="1601">
        <f>+'Souhrn příjmů a výdajů 2018'!H227/1000</f>
        <v>11409.092000000001</v>
      </c>
      <c r="E215" s="1601">
        <f>+Úvěr!E19/1000+Úvěr!E21/1000+20000</f>
        <v>33980.517999999996</v>
      </c>
      <c r="F215" s="1601">
        <f>+Úvěr!F19/1000+Úvěr!F21/1000</f>
        <v>16551.944</v>
      </c>
      <c r="G215" s="1601">
        <f>+Úvěr!G19/1000+Úvěr!G21/1000</f>
        <v>16551.944</v>
      </c>
      <c r="H215" s="1601">
        <f>+Úvěr!H19/1000+Úvěr!H21/1000</f>
        <v>16551.944</v>
      </c>
      <c r="I215" s="1601">
        <f>+Úvěr!I19/1000+Úvěr!I21/1000</f>
        <v>5142.8519999999999</v>
      </c>
    </row>
    <row r="216" spans="1:9" s="33" customFormat="1" ht="16.5" collapsed="1" thickBot="1" x14ac:dyDescent="0.3">
      <c r="A216" s="1622" t="s">
        <v>378</v>
      </c>
      <c r="B216" s="1622"/>
      <c r="C216" s="1623"/>
      <c r="D216" s="1624">
        <f>+D211+D200+D149-1</f>
        <v>239205</v>
      </c>
      <c r="E216" s="1624">
        <f t="shared" ref="E216:I216" si="24">+E211+E200+E149</f>
        <v>153797</v>
      </c>
      <c r="F216" s="1624">
        <f>+F211+F200+F149+1</f>
        <v>147829</v>
      </c>
      <c r="G216" s="1624">
        <f t="shared" si="24"/>
        <v>149862</v>
      </c>
      <c r="H216" s="1624">
        <f t="shared" si="24"/>
        <v>151936</v>
      </c>
      <c r="I216" s="1624">
        <f t="shared" si="24"/>
        <v>154051</v>
      </c>
    </row>
    <row r="217" spans="1:9" s="33" customFormat="1" ht="16.5" thickBot="1" x14ac:dyDescent="0.3">
      <c r="A217" s="1625" t="s">
        <v>1518</v>
      </c>
      <c r="B217" s="1625"/>
      <c r="C217" s="1626"/>
      <c r="D217" s="1627" t="e">
        <f t="shared" ref="D217:I217" si="25">+D146-D216</f>
        <v>#REF!</v>
      </c>
      <c r="E217" s="1627">
        <f t="shared" si="25"/>
        <v>-0.16800000000512227</v>
      </c>
      <c r="F217" s="1627">
        <f t="shared" si="25"/>
        <v>-5.5359999998472631E-2</v>
      </c>
      <c r="G217" s="1627">
        <f t="shared" si="25"/>
        <v>-8.0467199964914471E-2</v>
      </c>
      <c r="H217" s="1627">
        <f t="shared" si="25"/>
        <v>-0.44607654400169849</v>
      </c>
      <c r="I217" s="1627">
        <f t="shared" si="25"/>
        <v>-0.33899807487614453</v>
      </c>
    </row>
    <row r="218" spans="1:9" s="249" customFormat="1" x14ac:dyDescent="0.25">
      <c r="C218" s="251"/>
      <c r="D218" s="238"/>
      <c r="E218" s="238"/>
      <c r="F218" s="238"/>
      <c r="G218" s="238"/>
      <c r="H218" s="238"/>
      <c r="I218" s="238"/>
    </row>
    <row r="228" spans="2:2" x14ac:dyDescent="0.25">
      <c r="B228" s="129" t="s">
        <v>1125</v>
      </c>
    </row>
  </sheetData>
  <sheetProtection password="CF41" sheet="1" objects="1" scenarios="1"/>
  <pageMargins left="0.31496062992125984" right="0.31496062992125984" top="0.39370078740157483" bottom="0.39370078740157483" header="0.31496062992125984" footer="0.31496062992125984"/>
  <pageSetup paperSize="9" scale="80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workbookViewId="0"/>
  </sheetViews>
  <sheetFormatPr defaultRowHeight="12.75" outlineLevelRow="1" x14ac:dyDescent="0.2"/>
  <cols>
    <col min="1" max="1" width="4.85546875" style="495" customWidth="1"/>
    <col min="2" max="2" width="15" style="495" customWidth="1"/>
    <col min="3" max="3" width="52.28515625" style="495" customWidth="1"/>
    <col min="4" max="4" width="12" style="496" hidden="1" customWidth="1"/>
    <col min="5" max="5" width="12" style="496" bestFit="1" customWidth="1"/>
    <col min="6" max="10" width="11.140625" style="541" bestFit="1" customWidth="1"/>
    <col min="11" max="11" width="9.140625" style="495"/>
    <col min="12" max="13" width="12.28515625" style="495" bestFit="1" customWidth="1"/>
    <col min="14" max="14" width="13" style="495" bestFit="1" customWidth="1"/>
    <col min="15" max="15" width="12.28515625" style="495" bestFit="1" customWidth="1"/>
    <col min="16" max="16384" width="9.140625" style="495"/>
  </cols>
  <sheetData>
    <row r="1" spans="1:10" ht="15.75" x14ac:dyDescent="0.25">
      <c r="A1" s="115" t="s">
        <v>1510</v>
      </c>
      <c r="C1" s="114"/>
      <c r="D1" s="114"/>
      <c r="E1" s="114"/>
      <c r="F1" s="114"/>
      <c r="G1" s="114"/>
      <c r="H1" s="114"/>
      <c r="I1" s="114"/>
      <c r="J1" s="114"/>
    </row>
    <row r="2" spans="1:10" ht="13.5" thickBot="1" x14ac:dyDescent="0.25">
      <c r="B2" s="496"/>
      <c r="C2" s="497"/>
      <c r="J2" s="1046" t="s">
        <v>1187</v>
      </c>
    </row>
    <row r="3" spans="1:10" ht="19.5" customHeight="1" thickBot="1" x14ac:dyDescent="0.25">
      <c r="A3" s="2000"/>
      <c r="B3" s="2001"/>
      <c r="C3" s="2002"/>
      <c r="D3" s="1018" t="s">
        <v>1192</v>
      </c>
      <c r="E3" s="1047" t="s">
        <v>1461</v>
      </c>
      <c r="F3" s="481" t="s">
        <v>1188</v>
      </c>
      <c r="G3" s="484" t="s">
        <v>1189</v>
      </c>
      <c r="H3" s="482" t="s">
        <v>1190</v>
      </c>
      <c r="I3" s="484" t="s">
        <v>1191</v>
      </c>
      <c r="J3" s="483" t="s">
        <v>1462</v>
      </c>
    </row>
    <row r="4" spans="1:10" ht="19.5" hidden="1" customHeight="1" thickBot="1" x14ac:dyDescent="0.25">
      <c r="A4" s="2003"/>
      <c r="B4" s="2004"/>
      <c r="C4" s="2005"/>
      <c r="D4" s="1019" t="s">
        <v>1193</v>
      </c>
      <c r="E4" s="513" t="s">
        <v>193</v>
      </c>
      <c r="F4" s="481" t="s">
        <v>193</v>
      </c>
      <c r="G4" s="484" t="s">
        <v>193</v>
      </c>
      <c r="H4" s="482" t="s">
        <v>193</v>
      </c>
      <c r="I4" s="484" t="s">
        <v>193</v>
      </c>
      <c r="J4" s="483" t="s">
        <v>193</v>
      </c>
    </row>
    <row r="5" spans="1:10" ht="15.75" customHeight="1" thickBot="1" x14ac:dyDescent="0.25">
      <c r="A5" s="2022"/>
      <c r="B5" s="2023"/>
      <c r="C5" s="2024"/>
      <c r="D5" s="1023">
        <f>'Sumář příjmů kapitol'!E132/1000</f>
        <v>24165.15481</v>
      </c>
      <c r="E5" s="1024"/>
      <c r="F5" s="1023"/>
      <c r="G5" s="1024"/>
      <c r="H5" s="1025"/>
      <c r="I5" s="1024"/>
      <c r="J5" s="1026"/>
    </row>
    <row r="6" spans="1:10" x14ac:dyDescent="0.2">
      <c r="A6" s="1997" t="s">
        <v>788</v>
      </c>
      <c r="B6" s="493"/>
      <c r="C6" s="494" t="s">
        <v>1185</v>
      </c>
      <c r="D6" s="493">
        <v>92279</v>
      </c>
      <c r="E6" s="1048">
        <f>+'Souhrn příjmů a výdajů 2018'!H6/1000</f>
        <v>108848</v>
      </c>
      <c r="F6" s="1587">
        <f>E6*1.02</f>
        <v>111024.96000000001</v>
      </c>
      <c r="G6" s="1587">
        <f>F6*1.02</f>
        <v>113245.45920000001</v>
      </c>
      <c r="H6" s="1587">
        <f>G6*1.02</f>
        <v>115510.36838400002</v>
      </c>
      <c r="I6" s="1587">
        <f>H6*1.02</f>
        <v>117820.57575168002</v>
      </c>
      <c r="J6" s="1588">
        <f>I6*1.02</f>
        <v>120176.98726671362</v>
      </c>
    </row>
    <row r="7" spans="1:10" s="511" customFormat="1" x14ac:dyDescent="0.2">
      <c r="A7" s="1993"/>
      <c r="B7" s="1036"/>
      <c r="C7" s="1021" t="s">
        <v>1186</v>
      </c>
      <c r="D7" s="1044">
        <v>7138</v>
      </c>
      <c r="E7" s="1037">
        <f>+'Souhrn příjmů a výdajů 2018'!H24/1000</f>
        <v>7400</v>
      </c>
      <c r="F7" s="1036">
        <f>+E7*1.02</f>
        <v>7548</v>
      </c>
      <c r="G7" s="1036">
        <f>+F7*1.02</f>
        <v>7698.96</v>
      </c>
      <c r="H7" s="1036">
        <f>+G7*1.02</f>
        <v>7852.9391999999998</v>
      </c>
      <c r="I7" s="1036">
        <f>+H7*1.02</f>
        <v>8009.9979839999996</v>
      </c>
      <c r="J7" s="1037">
        <f>+I7*1.02</f>
        <v>8170.1979436800002</v>
      </c>
    </row>
    <row r="8" spans="1:10" s="511" customFormat="1" x14ac:dyDescent="0.2">
      <c r="A8" s="1993"/>
      <c r="B8" s="1036"/>
      <c r="C8" s="1021" t="s">
        <v>808</v>
      </c>
      <c r="D8" s="1044">
        <v>3645</v>
      </c>
      <c r="E8" s="1037">
        <f>+'Souhrn příjmů a výdajů 2018'!H20/1000</f>
        <v>4000</v>
      </c>
      <c r="F8" s="1036"/>
      <c r="G8" s="1036"/>
      <c r="H8" s="1036"/>
      <c r="I8" s="1036"/>
      <c r="J8" s="1037"/>
    </row>
    <row r="9" spans="1:10" x14ac:dyDescent="0.2">
      <c r="A9" s="1993"/>
      <c r="B9" s="493"/>
      <c r="C9" s="494" t="s">
        <v>348</v>
      </c>
      <c r="D9" s="1028">
        <v>13021</v>
      </c>
      <c r="E9" s="1029">
        <f>+'Souhrn příjmů a výdajů 2018'!H26/1000</f>
        <v>19045.2</v>
      </c>
      <c r="F9" s="1589">
        <f>E9*1.01</f>
        <v>19235.652000000002</v>
      </c>
      <c r="G9" s="1589">
        <f>F9*1.01</f>
        <v>19428.008520000003</v>
      </c>
      <c r="H9" s="1589">
        <f>G9*1.01</f>
        <v>19622.288605200003</v>
      </c>
      <c r="I9" s="1589">
        <f>H9*1.01</f>
        <v>19818.511491252004</v>
      </c>
      <c r="J9" s="1590">
        <f>I9*1.01</f>
        <v>20016.696606164525</v>
      </c>
    </row>
    <row r="10" spans="1:10" s="511" customFormat="1" x14ac:dyDescent="0.2">
      <c r="A10" s="1993"/>
      <c r="B10" s="1036"/>
      <c r="C10" s="1021" t="s">
        <v>1184</v>
      </c>
      <c r="D10" s="1045">
        <v>2605</v>
      </c>
      <c r="E10" s="1039">
        <f>+'Souhrn příjmů a výdajů 2018'!H37/1000+'Souhrn příjmů a výdajů 2018'!H38/1000</f>
        <v>9091</v>
      </c>
      <c r="F10" s="1038">
        <f>+E10*1.02</f>
        <v>9272.82</v>
      </c>
      <c r="G10" s="1038">
        <f>+F10*1.02</f>
        <v>9458.2764000000006</v>
      </c>
      <c r="H10" s="1038">
        <f>+G10*1.02</f>
        <v>9647.4419280000002</v>
      </c>
      <c r="I10" s="1038">
        <f>+H10*1.02</f>
        <v>9840.39076656</v>
      </c>
      <c r="J10" s="1039">
        <f>+I10*1.02</f>
        <v>10037.1985818912</v>
      </c>
    </row>
    <row r="11" spans="1:10" x14ac:dyDescent="0.2">
      <c r="A11" s="1993"/>
      <c r="B11" s="498"/>
      <c r="C11" s="489" t="s">
        <v>777</v>
      </c>
      <c r="D11" s="1028">
        <v>15022</v>
      </c>
      <c r="E11" s="1029">
        <f>+'Souhrn příjmů a výdajů 2018'!H100/1000</f>
        <v>20393.066999999999</v>
      </c>
      <c r="F11" s="1589">
        <v>9000</v>
      </c>
      <c r="G11" s="1589">
        <f>F11</f>
        <v>9000</v>
      </c>
      <c r="H11" s="1589">
        <f>G11</f>
        <v>9000</v>
      </c>
      <c r="I11" s="1589">
        <f>H11</f>
        <v>9000</v>
      </c>
      <c r="J11" s="1590">
        <f>I11</f>
        <v>9000</v>
      </c>
    </row>
    <row r="12" spans="1:10" ht="15.75" thickBot="1" x14ac:dyDescent="0.3">
      <c r="A12" s="1993"/>
      <c r="B12" s="2025" t="s">
        <v>370</v>
      </c>
      <c r="C12" s="1999"/>
      <c r="D12" s="1030">
        <f t="shared" ref="D12:J12" si="0">+D6+D9+D11</f>
        <v>120322</v>
      </c>
      <c r="E12" s="1031">
        <f t="shared" si="0"/>
        <v>148286.26699999999</v>
      </c>
      <c r="F12" s="1584">
        <f t="shared" si="0"/>
        <v>139260.61200000002</v>
      </c>
      <c r="G12" s="1585">
        <f t="shared" si="0"/>
        <v>141673.46772000002</v>
      </c>
      <c r="H12" s="1586">
        <f t="shared" si="0"/>
        <v>144132.65698920001</v>
      </c>
      <c r="I12" s="1585">
        <f t="shared" si="0"/>
        <v>146639.08724293203</v>
      </c>
      <c r="J12" s="1585">
        <f t="shared" si="0"/>
        <v>149193.68387287814</v>
      </c>
    </row>
    <row r="13" spans="1:10" ht="15.75" thickBot="1" x14ac:dyDescent="0.3">
      <c r="A13" s="1993"/>
      <c r="B13" s="2026" t="s">
        <v>1512</v>
      </c>
      <c r="C13" s="2027"/>
      <c r="D13" s="1591">
        <f>SUM(D14:D19)</f>
        <v>83747</v>
      </c>
      <c r="E13" s="1592">
        <f>SUM(E14:E21)</f>
        <v>115826.93961999998</v>
      </c>
      <c r="F13" s="1593">
        <f>SUM(F14:F19)</f>
        <v>112493.99981604797</v>
      </c>
      <c r="G13" s="1594">
        <f>SUM(G14:G19)</f>
        <v>115077.37867425293</v>
      </c>
      <c r="H13" s="1595">
        <f>SUM(H14:H19)</f>
        <v>117722.43007547852</v>
      </c>
      <c r="I13" s="1594">
        <f>SUM(I14:I19)</f>
        <v>120430.68761956082</v>
      </c>
      <c r="J13" s="1594">
        <f>SUM(J14:J19)</f>
        <v>123203.72458280197</v>
      </c>
    </row>
    <row r="14" spans="1:10" x14ac:dyDescent="0.2">
      <c r="A14" s="1993"/>
      <c r="B14" s="493"/>
      <c r="C14" s="505" t="s">
        <v>196</v>
      </c>
      <c r="D14" s="493">
        <f>16930+1374+1636+14+4832+1800+80</f>
        <v>26666</v>
      </c>
      <c r="E14" s="1048">
        <f>+'Cash flow - Peněžní tok'!D11/1000</f>
        <v>32378.530280000003</v>
      </c>
      <c r="F14" s="493">
        <f>E14*1.03</f>
        <v>33349.886188400007</v>
      </c>
      <c r="G14" s="493">
        <f>F14*1.03</f>
        <v>34350.382774052006</v>
      </c>
      <c r="H14" s="493">
        <f>G14*1.03</f>
        <v>35380.894257273569</v>
      </c>
      <c r="I14" s="493">
        <f>H14*1.03</f>
        <v>36442.321084991774</v>
      </c>
      <c r="J14" s="1027">
        <f>I14*1.03</f>
        <v>37535.590717541527</v>
      </c>
    </row>
    <row r="15" spans="1:10" x14ac:dyDescent="0.2">
      <c r="A15" s="1993"/>
      <c r="B15" s="493"/>
      <c r="C15" s="505" t="s">
        <v>197</v>
      </c>
      <c r="D15" s="498">
        <f>679+1730+883+227</f>
        <v>3519</v>
      </c>
      <c r="E15" s="1029">
        <f>+'Cash flow - Peněžní tok'!D12/1000</f>
        <v>6415</v>
      </c>
      <c r="F15" s="498">
        <f t="shared" ref="F15:J19" si="1">E15*1.02</f>
        <v>6543.3</v>
      </c>
      <c r="G15" s="498">
        <f t="shared" si="1"/>
        <v>6674.1660000000002</v>
      </c>
      <c r="H15" s="498">
        <f t="shared" si="1"/>
        <v>6807.6493200000004</v>
      </c>
      <c r="I15" s="498">
        <f t="shared" si="1"/>
        <v>6943.8023064000008</v>
      </c>
      <c r="J15" s="1029">
        <f t="shared" si="1"/>
        <v>7082.6783525280007</v>
      </c>
    </row>
    <row r="16" spans="1:10" x14ac:dyDescent="0.2">
      <c r="A16" s="1993"/>
      <c r="B16" s="493"/>
      <c r="C16" s="505" t="s">
        <v>200</v>
      </c>
      <c r="D16" s="498">
        <f>334+200+902+1205+6</f>
        <v>2647</v>
      </c>
      <c r="E16" s="1029">
        <f>+'Cash flow - Peněžní tok'!D13/1000</f>
        <v>6264.5690000000004</v>
      </c>
      <c r="F16" s="498">
        <f t="shared" si="1"/>
        <v>6389.860380000001</v>
      </c>
      <c r="G16" s="498">
        <f t="shared" si="1"/>
        <v>6517.6575876000015</v>
      </c>
      <c r="H16" s="498">
        <f t="shared" si="1"/>
        <v>6648.010739352002</v>
      </c>
      <c r="I16" s="498">
        <f t="shared" si="1"/>
        <v>6780.9709541390421</v>
      </c>
      <c r="J16" s="1029">
        <f t="shared" si="1"/>
        <v>6916.590373221823</v>
      </c>
    </row>
    <row r="17" spans="1:10" x14ac:dyDescent="0.2">
      <c r="A17" s="1993"/>
      <c r="B17" s="493"/>
      <c r="C17" s="505" t="s">
        <v>198</v>
      </c>
      <c r="D17" s="498">
        <f>543+453+564+1728+870+239+66+14397+1071+57+175</f>
        <v>20163</v>
      </c>
      <c r="E17" s="1029">
        <f>+'Cash flow - Peněžní tok'!D14/1000</f>
        <v>23905.825000000001</v>
      </c>
      <c r="F17" s="498">
        <f t="shared" si="1"/>
        <v>24383.941500000001</v>
      </c>
      <c r="G17" s="498">
        <f t="shared" si="1"/>
        <v>24871.620330000002</v>
      </c>
      <c r="H17" s="498">
        <f t="shared" si="1"/>
        <v>25369.052736600002</v>
      </c>
      <c r="I17" s="498">
        <f t="shared" si="1"/>
        <v>25876.433791332001</v>
      </c>
      <c r="J17" s="1029">
        <f t="shared" si="1"/>
        <v>26393.962467158643</v>
      </c>
    </row>
    <row r="18" spans="1:10" x14ac:dyDescent="0.2">
      <c r="A18" s="1993"/>
      <c r="B18" s="493"/>
      <c r="C18" s="505" t="s">
        <v>153</v>
      </c>
      <c r="D18" s="498">
        <v>5872</v>
      </c>
      <c r="E18" s="1029">
        <f>+'Cash flow - Peněžní tok'!D15/1000</f>
        <v>12860</v>
      </c>
      <c r="F18" s="498">
        <f t="shared" si="1"/>
        <v>13117.2</v>
      </c>
      <c r="G18" s="498">
        <f t="shared" si="1"/>
        <v>13379.544000000002</v>
      </c>
      <c r="H18" s="498">
        <f t="shared" si="1"/>
        <v>13647.134880000001</v>
      </c>
      <c r="I18" s="498">
        <f t="shared" si="1"/>
        <v>13920.077577600001</v>
      </c>
      <c r="J18" s="1029">
        <f t="shared" si="1"/>
        <v>14198.479129152001</v>
      </c>
    </row>
    <row r="19" spans="1:10" x14ac:dyDescent="0.2">
      <c r="A19" s="1993"/>
      <c r="B19" s="493"/>
      <c r="C19" s="505" t="s">
        <v>201</v>
      </c>
      <c r="D19" s="498">
        <f>8+-8+83+1093+189+1175+555+15209+636+3966+35+515+1424</f>
        <v>24880</v>
      </c>
      <c r="E19" s="1029">
        <f>+'Cash flow - Peněžní tok'!D16/1000</f>
        <v>28146.874262399971</v>
      </c>
      <c r="F19" s="498">
        <f t="shared" si="1"/>
        <v>28709.811747647971</v>
      </c>
      <c r="G19" s="498">
        <f t="shared" si="1"/>
        <v>29284.007982600931</v>
      </c>
      <c r="H19" s="498">
        <f t="shared" si="1"/>
        <v>29869.688142252951</v>
      </c>
      <c r="I19" s="498">
        <f t="shared" si="1"/>
        <v>30467.08190509801</v>
      </c>
      <c r="J19" s="1029">
        <f t="shared" si="1"/>
        <v>31076.42354319997</v>
      </c>
    </row>
    <row r="20" spans="1:10" x14ac:dyDescent="0.2">
      <c r="A20" s="1993"/>
      <c r="B20" s="493"/>
      <c r="C20" s="505" t="s">
        <v>11</v>
      </c>
      <c r="D20" s="498">
        <v>2281</v>
      </c>
      <c r="E20" s="1029">
        <f>+'Cash flow - Peněžní tok'!D18/1000</f>
        <v>2216.1410775999998</v>
      </c>
      <c r="F20" s="498">
        <f>+Úvěr!E18/1000+Úvěr!E20/1000</f>
        <v>1353.4573814</v>
      </c>
      <c r="G20" s="498">
        <f>+Úvěr!F18/1000+Úvěr!F20/1000</f>
        <v>1191.1236250000002</v>
      </c>
      <c r="H20" s="498">
        <f>+Úvěr!G18/1000+Úvěr!G20/1000</f>
        <v>1005.6470345999999</v>
      </c>
      <c r="I20" s="498">
        <f>+Úvěr!H18/1000+Úvěr!H20/1000</f>
        <v>820.17044419999991</v>
      </c>
      <c r="J20" s="498">
        <f>+Úvěr!I18/1000+Úvěr!I20/1000</f>
        <v>648.00016199999993</v>
      </c>
    </row>
    <row r="21" spans="1:10" x14ac:dyDescent="0.2">
      <c r="A21" s="1993"/>
      <c r="B21" s="493"/>
      <c r="C21" s="509" t="s">
        <v>502</v>
      </c>
      <c r="D21" s="498"/>
      <c r="E21" s="1029">
        <f>+'Cash flow - Peněžní tok'!D19/1000</f>
        <v>3640</v>
      </c>
      <c r="F21" s="498" t="e">
        <f>+(TSÚ!E9+TSÚ!E10+TSÚ!#REF!+TSÚ!E13-357816)/1000</f>
        <v>#REF!</v>
      </c>
      <c r="G21" s="498" t="e">
        <f>+F21</f>
        <v>#REF!</v>
      </c>
      <c r="H21" s="1029">
        <f>+(TSÚ!J9-357816)/1000</f>
        <v>592.18399999999997</v>
      </c>
      <c r="I21" s="1029"/>
      <c r="J21" s="1029"/>
    </row>
    <row r="22" spans="1:10" x14ac:dyDescent="0.2">
      <c r="A22" s="1993"/>
      <c r="B22" s="493"/>
      <c r="C22" s="509" t="s">
        <v>182</v>
      </c>
      <c r="D22" s="498">
        <v>1500</v>
      </c>
      <c r="E22" s="1029"/>
      <c r="F22" s="498"/>
      <c r="G22" s="498"/>
      <c r="H22" s="1029"/>
      <c r="I22" s="1029"/>
      <c r="J22" s="1029"/>
    </row>
    <row r="23" spans="1:10" ht="15.75" thickBot="1" x14ac:dyDescent="0.3">
      <c r="A23" s="1994"/>
      <c r="B23" s="1989" t="s">
        <v>781</v>
      </c>
      <c r="C23" s="1990"/>
      <c r="D23" s="1032" t="e">
        <f>#REF!-D20-D22</f>
        <v>#REF!</v>
      </c>
      <c r="E23" s="1033" t="e">
        <f>#REF!-E20-E22</f>
        <v>#REF!</v>
      </c>
      <c r="F23" s="1032" t="e">
        <f>#REF!-F20-F22</f>
        <v>#REF!</v>
      </c>
      <c r="G23" s="1032" t="e">
        <f>#REF!-G20-G22</f>
        <v>#REF!</v>
      </c>
      <c r="H23" s="1033" t="e">
        <f>#REF!-H20-H22</f>
        <v>#REF!</v>
      </c>
      <c r="I23" s="1033" t="e">
        <f>#REF!-I20-I22</f>
        <v>#REF!</v>
      </c>
      <c r="J23" s="1033" t="e">
        <f>#REF!-J20-J22</f>
        <v>#REF!</v>
      </c>
    </row>
    <row r="24" spans="1:10" x14ac:dyDescent="0.2">
      <c r="A24" s="1997" t="s">
        <v>789</v>
      </c>
      <c r="B24" s="493"/>
      <c r="C24" s="505" t="s">
        <v>352</v>
      </c>
      <c r="D24" s="498"/>
      <c r="E24" s="1029">
        <f>+'Cash flow - Peněžní tok'!D22/1000</f>
        <v>60</v>
      </c>
      <c r="F24" s="498"/>
      <c r="G24" s="498"/>
      <c r="H24" s="1029"/>
      <c r="I24" s="1029"/>
      <c r="J24" s="1029"/>
    </row>
    <row r="25" spans="1:10" x14ac:dyDescent="0.2">
      <c r="A25" s="1993"/>
      <c r="B25" s="493"/>
      <c r="C25" s="505" t="s">
        <v>782</v>
      </c>
      <c r="D25" s="498">
        <v>2570</v>
      </c>
      <c r="E25" s="1029"/>
      <c r="F25" s="498"/>
      <c r="G25" s="498"/>
      <c r="H25" s="1029"/>
      <c r="I25" s="1029"/>
      <c r="J25" s="1029"/>
    </row>
    <row r="26" spans="1:10" s="1020" customFormat="1" ht="15.75" customHeight="1" thickBot="1" x14ac:dyDescent="0.3">
      <c r="A26" s="1993"/>
      <c r="B26" s="1049" t="s">
        <v>783</v>
      </c>
      <c r="C26" s="1022"/>
      <c r="D26" s="1034">
        <f>SUM(D27:D50)</f>
        <v>23284</v>
      </c>
      <c r="E26" s="1035">
        <f>+'Cash flow - Peněžní tok'!D24/1000</f>
        <v>113088.49696</v>
      </c>
      <c r="F26" s="1034">
        <f>SUM(F27:F50)</f>
        <v>50859.253233333329</v>
      </c>
      <c r="G26" s="1034">
        <f>SUM(G27:G50)</f>
        <v>7000</v>
      </c>
      <c r="H26" s="1035">
        <f>SUM(H27:H50)</f>
        <v>3500</v>
      </c>
      <c r="I26" s="1035">
        <f>SUM(I27:I50)</f>
        <v>0</v>
      </c>
      <c r="J26" s="1035">
        <f>SUM(J27:J50)</f>
        <v>0</v>
      </c>
    </row>
    <row r="27" spans="1:10" s="511" customFormat="1" outlineLevel="1" x14ac:dyDescent="0.2">
      <c r="A27" s="1993"/>
      <c r="B27" s="456"/>
      <c r="C27" s="1021" t="s">
        <v>218</v>
      </c>
      <c r="D27" s="1036">
        <v>4317</v>
      </c>
      <c r="E27" s="1037">
        <f>'Cash flow - Peněžní tok'!D25/1000</f>
        <v>8544.9</v>
      </c>
      <c r="F27" s="1036">
        <f>+('Zásobník projektů 2016-2020'!F103+'Zásobník projektů 2016-2020'!F106+'Zásobník projektů 2016-2020'!F110+'Zásobník projektů 2016-2020'!F112-12000000)/1000</f>
        <v>5000</v>
      </c>
      <c r="G27" s="1036">
        <f>+('Zásobník projektů 2016-2020'!F108-35000000)/1000</f>
        <v>7000</v>
      </c>
      <c r="H27" s="1037">
        <f>+'Zásobník projektů 2016-2020'!F107/1000</f>
        <v>3500</v>
      </c>
      <c r="I27" s="1037"/>
      <c r="J27" s="1037"/>
    </row>
    <row r="28" spans="1:10" s="511" customFormat="1" outlineLevel="1" x14ac:dyDescent="0.2">
      <c r="A28" s="1993"/>
      <c r="B28" s="456"/>
      <c r="C28" s="455" t="s">
        <v>216</v>
      </c>
      <c r="D28" s="1038">
        <v>364</v>
      </c>
      <c r="E28" s="1039">
        <f>'Cash flow - Peněžní tok'!D26/1000</f>
        <v>950</v>
      </c>
      <c r="F28" s="1038">
        <f>+('Zásobník projektů 2016-2020'!$E$77+'Zásobník projektů 2016-2020'!$E$81)/1000</f>
        <v>2550</v>
      </c>
      <c r="G28" s="1038"/>
      <c r="H28" s="1039"/>
      <c r="I28" s="1039"/>
      <c r="J28" s="1039"/>
    </row>
    <row r="29" spans="1:10" s="511" customFormat="1" outlineLevel="1" x14ac:dyDescent="0.2">
      <c r="A29" s="1993"/>
      <c r="B29" s="456"/>
      <c r="C29" s="455" t="s">
        <v>217</v>
      </c>
      <c r="D29" s="1038"/>
      <c r="E29" s="1039">
        <f>'Cash flow - Peněžní tok'!D27/1000</f>
        <v>0</v>
      </c>
      <c r="F29" s="1038"/>
      <c r="G29" s="1038"/>
      <c r="H29" s="1039"/>
      <c r="I29" s="1039"/>
      <c r="J29" s="1039"/>
    </row>
    <row r="30" spans="1:10" s="511" customFormat="1" outlineLevel="1" x14ac:dyDescent="0.2">
      <c r="A30" s="1993"/>
      <c r="B30" s="456"/>
      <c r="C30" s="455" t="s">
        <v>232</v>
      </c>
      <c r="D30" s="1038">
        <v>1490</v>
      </c>
      <c r="E30" s="1039">
        <f>'Cash flow - Peněžní tok'!D28/1000</f>
        <v>2792</v>
      </c>
      <c r="F30" s="1038"/>
      <c r="G30" s="1038"/>
      <c r="H30" s="1039"/>
      <c r="I30" s="1039"/>
      <c r="J30" s="1039"/>
    </row>
    <row r="31" spans="1:10" s="511" customFormat="1" outlineLevel="1" x14ac:dyDescent="0.2">
      <c r="A31" s="1993"/>
      <c r="B31" s="456"/>
      <c r="C31" s="455" t="s">
        <v>233</v>
      </c>
      <c r="D31" s="1038">
        <f>6651+2280</f>
        <v>8931</v>
      </c>
      <c r="E31" s="1039">
        <f>'Cash flow - Peněžní tok'!D29/1000/2</f>
        <v>23533.411479999999</v>
      </c>
      <c r="F31" s="1038">
        <f>+('Zásobník projektů 2016-2020'!$G$27+'Zásobník projektů 2016-2020'!$G$28+'Zásobník projektů 2016-2020'!$G$29+'Zásobník projektů 2016-2020'!$G$34)/1000</f>
        <v>21575.919899999997</v>
      </c>
      <c r="G31" s="1038"/>
      <c r="H31" s="1039"/>
      <c r="I31" s="1039"/>
      <c r="J31" s="1039"/>
    </row>
    <row r="32" spans="1:10" s="511" customFormat="1" outlineLevel="1" x14ac:dyDescent="0.2">
      <c r="A32" s="1993"/>
      <c r="B32" s="456"/>
      <c r="C32" s="455" t="s">
        <v>213</v>
      </c>
      <c r="D32" s="1038"/>
      <c r="E32" s="1039">
        <f>'Cash flow - Peněžní tok'!D30/1000</f>
        <v>0</v>
      </c>
      <c r="F32" s="1038"/>
      <c r="G32" s="1038"/>
      <c r="H32" s="1039"/>
      <c r="I32" s="1039"/>
      <c r="J32" s="1039"/>
    </row>
    <row r="33" spans="1:15" s="511" customFormat="1" outlineLevel="1" x14ac:dyDescent="0.2">
      <c r="A33" s="1993"/>
      <c r="B33" s="456"/>
      <c r="C33" s="455" t="s">
        <v>237</v>
      </c>
      <c r="D33" s="1038">
        <v>1750</v>
      </c>
      <c r="E33" s="1039">
        <f>'Cash flow - Peněžní tok'!D31/1000-2000</f>
        <v>7510</v>
      </c>
      <c r="F33" s="1038"/>
      <c r="G33" s="1038"/>
      <c r="H33" s="1039"/>
      <c r="I33" s="1039"/>
      <c r="J33" s="1039"/>
    </row>
    <row r="34" spans="1:15" s="511" customFormat="1" outlineLevel="1" x14ac:dyDescent="0.2">
      <c r="A34" s="1993"/>
      <c r="B34" s="456"/>
      <c r="C34" s="455" t="s">
        <v>239</v>
      </c>
      <c r="D34" s="1038">
        <v>151</v>
      </c>
      <c r="E34" s="1039">
        <f>'Cash flow - Peněžní tok'!D32/1000</f>
        <v>1000</v>
      </c>
      <c r="F34" s="1038"/>
      <c r="G34" s="1038"/>
      <c r="H34" s="1039"/>
      <c r="I34" s="1039"/>
      <c r="J34" s="1039"/>
    </row>
    <row r="35" spans="1:15" s="511" customFormat="1" outlineLevel="1" x14ac:dyDescent="0.2">
      <c r="A35" s="1993"/>
      <c r="B35" s="456"/>
      <c r="C35" s="455" t="s">
        <v>498</v>
      </c>
      <c r="D35" s="1038"/>
      <c r="E35" s="1039">
        <f>'Cash flow - Peněžní tok'!D33/1000/3</f>
        <v>4966.666666666667</v>
      </c>
      <c r="F35" s="1038">
        <f>19500-E35</f>
        <v>14533.333333333332</v>
      </c>
      <c r="G35" s="1038"/>
      <c r="H35" s="1039"/>
      <c r="I35" s="1039"/>
      <c r="J35" s="1039"/>
    </row>
    <row r="36" spans="1:15" s="511" customFormat="1" outlineLevel="1" x14ac:dyDescent="0.2">
      <c r="A36" s="1993"/>
      <c r="B36" s="456"/>
      <c r="C36" s="455" t="s">
        <v>638</v>
      </c>
      <c r="D36" s="1038"/>
      <c r="E36" s="1039">
        <f>'Cash flow - Peněžní tok'!D34/1000</f>
        <v>0</v>
      </c>
      <c r="F36" s="1038">
        <f>+('Zásobník projektů 2016-2020'!G89+'Zásobník projektů 2016-2020'!G94-5000000)/1000</f>
        <v>5300</v>
      </c>
      <c r="G36" s="1038"/>
      <c r="H36" s="1039"/>
      <c r="I36" s="1039"/>
      <c r="J36" s="1039"/>
    </row>
    <row r="37" spans="1:15" s="511" customFormat="1" outlineLevel="1" x14ac:dyDescent="0.2">
      <c r="A37" s="1993"/>
      <c r="B37" s="456"/>
      <c r="C37" s="455" t="s">
        <v>245</v>
      </c>
      <c r="D37" s="1038">
        <f>87+588</f>
        <v>675</v>
      </c>
      <c r="E37" s="1039">
        <f>'Cash flow - Peněžní tok'!D35/1000</f>
        <v>222</v>
      </c>
      <c r="F37" s="1038"/>
      <c r="G37" s="1038"/>
      <c r="H37" s="1039"/>
      <c r="I37" s="1039"/>
      <c r="J37" s="1039"/>
    </row>
    <row r="38" spans="1:15" s="511" customFormat="1" outlineLevel="1" x14ac:dyDescent="0.2">
      <c r="A38" s="1993"/>
      <c r="B38" s="456"/>
      <c r="C38" s="455" t="s">
        <v>458</v>
      </c>
      <c r="D38" s="1038"/>
      <c r="E38" s="1039">
        <f>'Cash flow - Peněžní tok'!D36/1000</f>
        <v>2058</v>
      </c>
      <c r="F38" s="1038"/>
      <c r="G38" s="1038"/>
      <c r="H38" s="1039"/>
      <c r="I38" s="1039"/>
      <c r="J38" s="1039"/>
      <c r="L38" s="542"/>
      <c r="M38" s="542"/>
      <c r="N38" s="542"/>
      <c r="O38" s="542"/>
    </row>
    <row r="39" spans="1:15" s="511" customFormat="1" outlineLevel="1" x14ac:dyDescent="0.2">
      <c r="A39" s="1993"/>
      <c r="B39" s="456"/>
      <c r="C39" s="455" t="s">
        <v>247</v>
      </c>
      <c r="D39" s="1038"/>
      <c r="E39" s="1039">
        <f>'Cash flow - Peněžní tok'!D37/1000</f>
        <v>90</v>
      </c>
      <c r="F39" s="1038"/>
      <c r="G39" s="1038"/>
      <c r="H39" s="1039"/>
      <c r="I39" s="1039"/>
      <c r="J39" s="1039"/>
    </row>
    <row r="40" spans="1:15" s="511" customFormat="1" outlineLevel="1" x14ac:dyDescent="0.2">
      <c r="A40" s="1993"/>
      <c r="B40" s="456"/>
      <c r="C40" s="455" t="s">
        <v>644</v>
      </c>
      <c r="D40" s="1038"/>
      <c r="E40" s="1039">
        <f>'Cash flow - Peněžní tok'!D38/1000</f>
        <v>242</v>
      </c>
      <c r="F40" s="1038">
        <f>+('Zásobník projektů 2016-2020'!F64+'Zásobník projektů 2016-2020'!F65)/1000</f>
        <v>1900</v>
      </c>
      <c r="G40" s="1038"/>
      <c r="H40" s="1039"/>
      <c r="I40" s="1039"/>
      <c r="J40" s="1039"/>
    </row>
    <row r="41" spans="1:15" s="511" customFormat="1" outlineLevel="1" x14ac:dyDescent="0.2">
      <c r="A41" s="1993"/>
      <c r="B41" s="456"/>
      <c r="C41" s="455" t="s">
        <v>231</v>
      </c>
      <c r="D41" s="1038">
        <v>35</v>
      </c>
      <c r="E41" s="1039">
        <f>'Cash flow - Peněžní tok'!D39/1000</f>
        <v>254.1</v>
      </c>
      <c r="F41" s="1038"/>
      <c r="G41" s="1038"/>
      <c r="H41" s="1039"/>
      <c r="I41" s="1039"/>
      <c r="J41" s="1039"/>
    </row>
    <row r="42" spans="1:15" s="511" customFormat="1" outlineLevel="1" x14ac:dyDescent="0.2">
      <c r="A42" s="1993"/>
      <c r="B42" s="456"/>
      <c r="C42" s="455" t="s">
        <v>645</v>
      </c>
      <c r="D42" s="1038"/>
      <c r="E42" s="1039">
        <f>'Cash flow - Peněžní tok'!D40/1000</f>
        <v>280</v>
      </c>
      <c r="F42" s="1038"/>
      <c r="G42" s="1038"/>
      <c r="H42" s="1039"/>
      <c r="I42" s="1039"/>
      <c r="J42" s="1039"/>
    </row>
    <row r="43" spans="1:15" s="511" customFormat="1" outlineLevel="1" x14ac:dyDescent="0.2">
      <c r="A43" s="1993"/>
      <c r="B43" s="456"/>
      <c r="C43" s="455" t="s">
        <v>224</v>
      </c>
      <c r="D43" s="1038">
        <f>465+18</f>
        <v>483</v>
      </c>
      <c r="E43" s="1039">
        <f>'Cash flow - Peněžní tok'!D41/1000</f>
        <v>8910.6290000000008</v>
      </c>
      <c r="F43" s="1038"/>
      <c r="G43" s="1038"/>
      <c r="H43" s="1039"/>
      <c r="I43" s="1039"/>
      <c r="J43" s="1039"/>
    </row>
    <row r="44" spans="1:15" s="511" customFormat="1" outlineLevel="1" x14ac:dyDescent="0.2">
      <c r="A44" s="1993"/>
      <c r="B44" s="456"/>
      <c r="C44" s="455" t="s">
        <v>219</v>
      </c>
      <c r="D44" s="1038">
        <f>350+18</f>
        <v>368</v>
      </c>
      <c r="E44" s="1039">
        <f>'Cash flow - Peněžní tok'!D42/1000</f>
        <v>80</v>
      </c>
      <c r="F44" s="1038"/>
      <c r="G44" s="1038"/>
      <c r="H44" s="1039"/>
      <c r="I44" s="1039"/>
      <c r="J44" s="1039"/>
      <c r="L44" s="542"/>
    </row>
    <row r="45" spans="1:15" s="511" customFormat="1" outlineLevel="1" x14ac:dyDescent="0.2">
      <c r="A45" s="1993"/>
      <c r="B45" s="456"/>
      <c r="C45" s="455" t="s">
        <v>222</v>
      </c>
      <c r="D45" s="1038">
        <v>64</v>
      </c>
      <c r="E45" s="1039">
        <f>'Cash flow - Peněžní tok'!D43/1000</f>
        <v>350</v>
      </c>
      <c r="F45" s="1038"/>
      <c r="G45" s="1038"/>
      <c r="H45" s="1039"/>
      <c r="I45" s="1039"/>
      <c r="J45" s="1039"/>
      <c r="L45" s="542"/>
    </row>
    <row r="46" spans="1:15" s="511" customFormat="1" outlineLevel="1" x14ac:dyDescent="0.2">
      <c r="A46" s="1993"/>
      <c r="B46" s="456"/>
      <c r="C46" s="455" t="s">
        <v>225</v>
      </c>
      <c r="D46" s="1038"/>
      <c r="E46" s="1039">
        <f>'Cash flow - Peněžní tok'!D44/1000</f>
        <v>70</v>
      </c>
      <c r="F46" s="1038"/>
      <c r="G46" s="1038"/>
      <c r="H46" s="1039"/>
      <c r="I46" s="1039"/>
      <c r="J46" s="1039"/>
    </row>
    <row r="47" spans="1:15" s="511" customFormat="1" outlineLevel="1" x14ac:dyDescent="0.2">
      <c r="A47" s="1993"/>
      <c r="B47" s="456"/>
      <c r="C47" s="455" t="s">
        <v>228</v>
      </c>
      <c r="D47" s="1038">
        <v>389</v>
      </c>
      <c r="E47" s="1039">
        <f>'Cash flow - Peněžní tok'!D45/1000</f>
        <v>2287</v>
      </c>
      <c r="F47" s="1038"/>
      <c r="G47" s="1038"/>
      <c r="H47" s="1039"/>
      <c r="I47" s="1039"/>
      <c r="J47" s="1039"/>
    </row>
    <row r="48" spans="1:15" s="511" customFormat="1" outlineLevel="1" x14ac:dyDescent="0.2">
      <c r="A48" s="1993"/>
      <c r="B48" s="456"/>
      <c r="C48" s="455" t="s">
        <v>550</v>
      </c>
      <c r="D48" s="1038"/>
      <c r="E48" s="1039">
        <f>'Cash flow - Peněžní tok'!D46/1000</f>
        <v>530</v>
      </c>
      <c r="F48" s="1038"/>
      <c r="G48" s="1038"/>
      <c r="H48" s="1039"/>
      <c r="I48" s="1039"/>
      <c r="J48" s="1039"/>
    </row>
    <row r="49" spans="1:12" s="511" customFormat="1" outlineLevel="1" x14ac:dyDescent="0.2">
      <c r="A49" s="1993"/>
      <c r="B49" s="456"/>
      <c r="C49" s="455" t="s">
        <v>977</v>
      </c>
      <c r="D49" s="1038">
        <v>329</v>
      </c>
      <c r="E49" s="1039">
        <f>'Cash flow - Peněžní tok'!D47/1000</f>
        <v>11248.745000000001</v>
      </c>
      <c r="F49" s="1038"/>
      <c r="G49" s="1038"/>
      <c r="H49" s="1039"/>
      <c r="I49" s="1039"/>
      <c r="J49" s="1039"/>
    </row>
    <row r="50" spans="1:12" s="511" customFormat="1" outlineLevel="1" x14ac:dyDescent="0.2">
      <c r="A50" s="1993"/>
      <c r="B50" s="456"/>
      <c r="C50" s="455" t="s">
        <v>179</v>
      </c>
      <c r="D50" s="1038">
        <v>3938</v>
      </c>
      <c r="E50" s="1039">
        <f>'Cash flow - Peněžní tok'!D49/1000</f>
        <v>584.5</v>
      </c>
      <c r="F50" s="1038"/>
      <c r="G50" s="1038"/>
      <c r="H50" s="1039"/>
      <c r="I50" s="1039"/>
      <c r="J50" s="1039"/>
    </row>
    <row r="51" spans="1:12" ht="15.75" thickBot="1" x14ac:dyDescent="0.3">
      <c r="A51" s="1994"/>
      <c r="B51" s="1989" t="s">
        <v>784</v>
      </c>
      <c r="C51" s="1990"/>
      <c r="D51" s="1032" t="e">
        <f t="shared" ref="D51:J51" si="2">D5+D23+D24+D25-D26</f>
        <v>#REF!</v>
      </c>
      <c r="E51" s="1033" t="e">
        <f t="shared" si="2"/>
        <v>#REF!</v>
      </c>
      <c r="F51" s="1032" t="e">
        <f t="shared" si="2"/>
        <v>#REF!</v>
      </c>
      <c r="G51" s="1032" t="e">
        <f t="shared" si="2"/>
        <v>#REF!</v>
      </c>
      <c r="H51" s="1033" t="e">
        <f t="shared" si="2"/>
        <v>#REF!</v>
      </c>
      <c r="I51" s="1033" t="e">
        <f t="shared" si="2"/>
        <v>#REF!</v>
      </c>
      <c r="J51" s="1033" t="e">
        <f t="shared" si="2"/>
        <v>#REF!</v>
      </c>
    </row>
    <row r="52" spans="1:12" ht="24.75" customHeight="1" x14ac:dyDescent="0.2">
      <c r="A52" s="1997" t="s">
        <v>366</v>
      </c>
      <c r="B52" s="456"/>
      <c r="C52" s="505" t="s">
        <v>186</v>
      </c>
      <c r="D52" s="498">
        <f>'Souhrn příjmů a výdajů 2018'!D227/1000</f>
        <v>11409.092000000001</v>
      </c>
      <c r="E52" s="1027">
        <f>+'Souhrn příjmů a výdajů 2018'!H227/1000</f>
        <v>11409.092000000001</v>
      </c>
      <c r="F52" s="1361">
        <f>+Úvěr!E19/1000+Úvěr!E21/1000</f>
        <v>13980.518</v>
      </c>
      <c r="G52" s="1361">
        <f>+Úvěr!F19/1000+Úvěr!F21/1000</f>
        <v>16551.944</v>
      </c>
      <c r="H52" s="1361">
        <f>+Úvěr!G19/1000+Úvěr!G21/1000</f>
        <v>16551.944</v>
      </c>
      <c r="I52" s="1361">
        <f>+Úvěr!H19/1000+Úvěr!H21/1000</f>
        <v>16551.944</v>
      </c>
      <c r="J52" s="1027">
        <f>+Úvěr!I19/1000+Úvěr!I21/1000</f>
        <v>5142.8519999999999</v>
      </c>
    </row>
    <row r="53" spans="1:12" ht="19.5" customHeight="1" x14ac:dyDescent="0.2">
      <c r="A53" s="1993"/>
      <c r="B53" s="456"/>
      <c r="C53" s="505" t="s">
        <v>785</v>
      </c>
      <c r="D53" s="498"/>
      <c r="E53" s="1029"/>
      <c r="F53" s="498"/>
      <c r="G53" s="498"/>
      <c r="H53" s="1029"/>
      <c r="I53" s="1029"/>
      <c r="J53" s="1029"/>
      <c r="K53" s="1245"/>
      <c r="L53" s="1245"/>
    </row>
    <row r="54" spans="1:12" ht="21" customHeight="1" x14ac:dyDescent="0.2">
      <c r="A54" s="1993"/>
      <c r="B54" s="456"/>
      <c r="C54" s="505" t="s">
        <v>786</v>
      </c>
      <c r="D54" s="498">
        <v>3946</v>
      </c>
      <c r="E54" s="1029"/>
      <c r="F54" s="498"/>
      <c r="G54" s="498"/>
      <c r="H54" s="1029"/>
      <c r="I54" s="1029"/>
      <c r="J54" s="1029"/>
    </row>
    <row r="55" spans="1:12" ht="22.5" customHeight="1" thickBot="1" x14ac:dyDescent="0.3">
      <c r="A55" s="1994"/>
      <c r="B55" s="1989" t="s">
        <v>787</v>
      </c>
      <c r="C55" s="1990"/>
      <c r="D55" s="1032">
        <f>+D52+D53+D54</f>
        <v>15355.092000000001</v>
      </c>
      <c r="E55" s="1033">
        <f t="shared" ref="E55:J55" si="3">+E52+E53+E54</f>
        <v>11409.092000000001</v>
      </c>
      <c r="F55" s="1032">
        <f t="shared" si="3"/>
        <v>13980.518</v>
      </c>
      <c r="G55" s="1032">
        <f t="shared" si="3"/>
        <v>16551.944</v>
      </c>
      <c r="H55" s="1033">
        <f t="shared" si="3"/>
        <v>16551.944</v>
      </c>
      <c r="I55" s="1033">
        <f t="shared" si="3"/>
        <v>16551.944</v>
      </c>
      <c r="J55" s="1033">
        <f t="shared" si="3"/>
        <v>5142.8519999999999</v>
      </c>
    </row>
    <row r="56" spans="1:12" ht="15.75" customHeight="1" thickBot="1" x14ac:dyDescent="0.25">
      <c r="B56" s="2020" t="s">
        <v>388</v>
      </c>
      <c r="C56" s="2021"/>
      <c r="D56" s="1040" t="e">
        <f>D51-D55</f>
        <v>#REF!</v>
      </c>
      <c r="E56" s="1041" t="e">
        <f t="shared" ref="E56:J56" si="4">E51-E55</f>
        <v>#REF!</v>
      </c>
      <c r="F56" s="1040" t="e">
        <f>F51-F55</f>
        <v>#REF!</v>
      </c>
      <c r="G56" s="1041" t="e">
        <f t="shared" si="4"/>
        <v>#REF!</v>
      </c>
      <c r="H56" s="1042" t="e">
        <f t="shared" si="4"/>
        <v>#REF!</v>
      </c>
      <c r="I56" s="1041" t="e">
        <f t="shared" si="4"/>
        <v>#REF!</v>
      </c>
      <c r="J56" s="1043" t="e">
        <f t="shared" si="4"/>
        <v>#REF!</v>
      </c>
    </row>
    <row r="57" spans="1:12" x14ac:dyDescent="0.2">
      <c r="D57" s="941">
        <f>+D13+D20+D26+D22</f>
        <v>110812</v>
      </c>
    </row>
    <row r="58" spans="1:12" x14ac:dyDescent="0.2">
      <c r="D58" s="941">
        <f>110812-D57</f>
        <v>0</v>
      </c>
    </row>
    <row r="59" spans="1:12" s="497" customFormat="1" x14ac:dyDescent="0.2">
      <c r="A59" s="497" t="s">
        <v>1028</v>
      </c>
      <c r="B59" s="495"/>
      <c r="C59" s="495"/>
      <c r="D59" s="941">
        <v>20890</v>
      </c>
      <c r="E59" s="496"/>
      <c r="F59" s="541"/>
      <c r="G59" s="541"/>
      <c r="H59" s="541"/>
      <c r="I59" s="541"/>
      <c r="J59" s="541"/>
    </row>
    <row r="60" spans="1:12" s="497" customFormat="1" x14ac:dyDescent="0.2">
      <c r="B60" s="495"/>
      <c r="C60" s="495"/>
      <c r="D60" s="941" t="e">
        <f>+D59-D56</f>
        <v>#REF!</v>
      </c>
      <c r="E60" s="496"/>
      <c r="F60" s="541"/>
      <c r="G60" s="541"/>
      <c r="H60" s="541"/>
      <c r="I60" s="541"/>
      <c r="J60" s="541"/>
    </row>
    <row r="61" spans="1:12" s="497" customFormat="1" x14ac:dyDescent="0.2">
      <c r="B61" s="495"/>
      <c r="C61" s="495"/>
      <c r="D61" s="496"/>
      <c r="E61" s="496"/>
      <c r="F61" s="541"/>
      <c r="G61" s="541"/>
      <c r="H61" s="541"/>
      <c r="I61" s="541"/>
      <c r="J61" s="541"/>
    </row>
    <row r="62" spans="1:12" s="497" customFormat="1" x14ac:dyDescent="0.2">
      <c r="B62" s="495"/>
      <c r="C62" s="495"/>
      <c r="D62" s="496"/>
      <c r="E62" s="496"/>
      <c r="F62" s="541"/>
      <c r="G62" s="541"/>
      <c r="H62" s="541"/>
      <c r="I62" s="541"/>
      <c r="J62" s="541"/>
    </row>
    <row r="63" spans="1:12" s="497" customFormat="1" x14ac:dyDescent="0.2">
      <c r="B63" s="495"/>
      <c r="C63" s="495"/>
      <c r="D63" s="496"/>
      <c r="E63" s="496"/>
      <c r="F63" s="541"/>
      <c r="G63" s="541"/>
      <c r="H63" s="541"/>
      <c r="I63" s="541"/>
      <c r="J63" s="541"/>
    </row>
    <row r="64" spans="1:12" s="497" customFormat="1" x14ac:dyDescent="0.2">
      <c r="B64" s="495"/>
      <c r="C64" s="495"/>
      <c r="D64" s="496"/>
      <c r="E64" s="496"/>
      <c r="F64" s="541"/>
      <c r="G64" s="541"/>
      <c r="H64" s="541"/>
      <c r="I64" s="541"/>
      <c r="J64" s="541"/>
    </row>
    <row r="65" spans="2:10" s="497" customFormat="1" x14ac:dyDescent="0.2">
      <c r="B65" s="495"/>
      <c r="C65" s="495"/>
      <c r="D65" s="496"/>
      <c r="E65" s="496"/>
      <c r="F65" s="541"/>
      <c r="G65" s="541"/>
      <c r="H65" s="541"/>
      <c r="I65" s="541"/>
      <c r="J65" s="541"/>
    </row>
    <row r="66" spans="2:10" s="497" customFormat="1" x14ac:dyDescent="0.2">
      <c r="B66" s="495"/>
      <c r="C66" s="495"/>
      <c r="D66" s="496"/>
      <c r="E66" s="496"/>
      <c r="F66" s="541"/>
      <c r="G66" s="541"/>
      <c r="H66" s="541"/>
      <c r="I66" s="541"/>
      <c r="J66" s="541"/>
    </row>
    <row r="67" spans="2:10" s="497" customFormat="1" x14ac:dyDescent="0.2">
      <c r="B67" s="495"/>
      <c r="C67" s="495"/>
      <c r="D67" s="496"/>
      <c r="E67" s="496"/>
      <c r="F67" s="541"/>
      <c r="G67" s="541"/>
      <c r="H67" s="541"/>
      <c r="I67" s="541"/>
      <c r="J67" s="541"/>
    </row>
    <row r="68" spans="2:10" s="497" customFormat="1" x14ac:dyDescent="0.2">
      <c r="B68" s="495"/>
      <c r="C68" s="495"/>
      <c r="D68" s="496"/>
      <c r="E68" s="496"/>
      <c r="F68" s="541"/>
      <c r="G68" s="541"/>
      <c r="H68" s="541"/>
      <c r="I68" s="541"/>
      <c r="J68" s="541"/>
    </row>
    <row r="69" spans="2:10" s="497" customFormat="1" x14ac:dyDescent="0.2">
      <c r="B69" s="495"/>
      <c r="C69" s="495"/>
      <c r="D69" s="496"/>
      <c r="E69" s="496"/>
      <c r="F69" s="541"/>
      <c r="G69" s="541"/>
      <c r="H69" s="541"/>
      <c r="I69" s="541"/>
      <c r="J69" s="541"/>
    </row>
    <row r="70" spans="2:10" s="497" customFormat="1" x14ac:dyDescent="0.2">
      <c r="B70" s="495"/>
      <c r="C70" s="495"/>
      <c r="D70" s="496"/>
      <c r="E70" s="496"/>
      <c r="F70" s="541"/>
      <c r="G70" s="541"/>
      <c r="H70" s="541"/>
      <c r="I70" s="541"/>
      <c r="J70" s="541"/>
    </row>
    <row r="71" spans="2:10" s="497" customFormat="1" x14ac:dyDescent="0.2">
      <c r="B71" s="495"/>
      <c r="C71" s="495"/>
      <c r="D71" s="496"/>
      <c r="E71" s="496"/>
      <c r="F71" s="541"/>
      <c r="G71" s="541"/>
      <c r="H71" s="541"/>
      <c r="I71" s="541"/>
      <c r="J71" s="541"/>
    </row>
    <row r="72" spans="2:10" s="497" customFormat="1" x14ac:dyDescent="0.2">
      <c r="B72" s="495"/>
      <c r="C72" s="495"/>
      <c r="D72" s="496"/>
      <c r="E72" s="496"/>
      <c r="F72" s="541"/>
      <c r="G72" s="541"/>
      <c r="H72" s="541"/>
      <c r="I72" s="541"/>
      <c r="J72" s="541"/>
    </row>
    <row r="73" spans="2:10" s="497" customFormat="1" x14ac:dyDescent="0.2">
      <c r="B73" s="495"/>
      <c r="C73" s="495"/>
      <c r="D73" s="496"/>
      <c r="E73" s="496"/>
      <c r="F73" s="541"/>
      <c r="G73" s="541"/>
      <c r="H73" s="541"/>
      <c r="I73" s="541"/>
      <c r="J73" s="541"/>
    </row>
    <row r="74" spans="2:10" s="497" customFormat="1" x14ac:dyDescent="0.2">
      <c r="B74" s="495"/>
      <c r="C74" s="495"/>
      <c r="D74" s="496"/>
      <c r="E74" s="496"/>
      <c r="F74" s="541"/>
      <c r="G74" s="541"/>
      <c r="H74" s="541"/>
      <c r="I74" s="541"/>
      <c r="J74" s="541"/>
    </row>
    <row r="75" spans="2:10" s="497" customFormat="1" x14ac:dyDescent="0.2">
      <c r="B75" s="495"/>
      <c r="C75" s="495"/>
      <c r="D75" s="496"/>
      <c r="E75" s="496"/>
      <c r="F75" s="541"/>
      <c r="G75" s="541"/>
      <c r="H75" s="541"/>
      <c r="I75" s="541"/>
      <c r="J75" s="541"/>
    </row>
    <row r="76" spans="2:10" s="497" customFormat="1" x14ac:dyDescent="0.2">
      <c r="B76" s="495"/>
      <c r="C76" s="495"/>
      <c r="D76" s="496"/>
      <c r="E76" s="496"/>
      <c r="F76" s="541"/>
      <c r="G76" s="541"/>
      <c r="H76" s="541"/>
      <c r="I76" s="541"/>
      <c r="J76" s="541"/>
    </row>
    <row r="77" spans="2:10" s="497" customFormat="1" x14ac:dyDescent="0.2">
      <c r="B77" s="495"/>
      <c r="C77" s="495"/>
      <c r="D77" s="496"/>
      <c r="E77" s="496"/>
      <c r="F77" s="541"/>
      <c r="G77" s="541"/>
      <c r="H77" s="541"/>
      <c r="I77" s="541"/>
      <c r="J77" s="541"/>
    </row>
    <row r="78" spans="2:10" s="497" customFormat="1" x14ac:dyDescent="0.2">
      <c r="B78" s="495"/>
      <c r="C78" s="495"/>
      <c r="D78" s="496"/>
      <c r="E78" s="496"/>
      <c r="F78" s="541"/>
      <c r="G78" s="541"/>
      <c r="H78" s="541"/>
      <c r="I78" s="541"/>
      <c r="J78" s="541"/>
    </row>
    <row r="79" spans="2:10" s="497" customFormat="1" x14ac:dyDescent="0.2">
      <c r="B79" s="495"/>
      <c r="C79" s="495"/>
      <c r="D79" s="496"/>
      <c r="E79" s="496"/>
      <c r="F79" s="541"/>
      <c r="G79" s="541"/>
      <c r="H79" s="541"/>
      <c r="I79" s="541"/>
      <c r="J79" s="541"/>
    </row>
    <row r="80" spans="2:10" s="497" customFormat="1" x14ac:dyDescent="0.2">
      <c r="B80" s="495"/>
      <c r="C80" s="495"/>
      <c r="D80" s="496"/>
      <c r="E80" s="496"/>
      <c r="F80" s="541"/>
      <c r="G80" s="541"/>
      <c r="H80" s="541"/>
      <c r="I80" s="541"/>
      <c r="J80" s="541"/>
    </row>
    <row r="81" spans="2:10" s="497" customFormat="1" x14ac:dyDescent="0.2">
      <c r="B81" s="495"/>
      <c r="C81" s="495"/>
      <c r="D81" s="496"/>
      <c r="E81" s="496"/>
      <c r="F81" s="541"/>
      <c r="G81" s="541"/>
      <c r="H81" s="541"/>
      <c r="I81" s="541"/>
      <c r="J81" s="541"/>
    </row>
    <row r="82" spans="2:10" s="497" customFormat="1" x14ac:dyDescent="0.2">
      <c r="B82" s="495"/>
      <c r="C82" s="495"/>
      <c r="D82" s="496"/>
      <c r="E82" s="496"/>
      <c r="F82" s="541"/>
      <c r="G82" s="541"/>
      <c r="H82" s="541"/>
      <c r="I82" s="541"/>
      <c r="J82" s="541"/>
    </row>
    <row r="83" spans="2:10" s="497" customFormat="1" x14ac:dyDescent="0.2">
      <c r="B83" s="495"/>
      <c r="C83" s="495"/>
      <c r="D83" s="496"/>
      <c r="E83" s="496"/>
      <c r="F83" s="541"/>
      <c r="G83" s="541"/>
      <c r="H83" s="541"/>
      <c r="I83" s="541"/>
      <c r="J83" s="541"/>
    </row>
    <row r="84" spans="2:10" s="497" customFormat="1" x14ac:dyDescent="0.2">
      <c r="B84" s="495"/>
      <c r="C84" s="495"/>
      <c r="D84" s="496"/>
      <c r="E84" s="496"/>
      <c r="F84" s="541"/>
      <c r="G84" s="541"/>
      <c r="H84" s="541"/>
      <c r="I84" s="541"/>
      <c r="J84" s="541"/>
    </row>
    <row r="85" spans="2:10" s="497" customFormat="1" x14ac:dyDescent="0.2">
      <c r="B85" s="495"/>
      <c r="C85" s="495"/>
      <c r="D85" s="496"/>
      <c r="E85" s="496"/>
      <c r="F85" s="541"/>
      <c r="G85" s="541"/>
      <c r="H85" s="541"/>
      <c r="I85" s="541"/>
      <c r="J85" s="541"/>
    </row>
    <row r="86" spans="2:10" s="497" customFormat="1" x14ac:dyDescent="0.2">
      <c r="B86" s="495"/>
      <c r="C86" s="495"/>
      <c r="D86" s="496"/>
      <c r="E86" s="496"/>
      <c r="F86" s="541"/>
      <c r="G86" s="541"/>
      <c r="H86" s="541"/>
      <c r="I86" s="541"/>
      <c r="J86" s="541"/>
    </row>
    <row r="87" spans="2:10" s="497" customFormat="1" x14ac:dyDescent="0.2">
      <c r="B87" s="495"/>
      <c r="C87" s="495"/>
      <c r="D87" s="496"/>
      <c r="E87" s="496"/>
      <c r="F87" s="541"/>
      <c r="G87" s="541"/>
      <c r="H87" s="541"/>
      <c r="I87" s="541"/>
      <c r="J87" s="541"/>
    </row>
    <row r="88" spans="2:10" s="497" customFormat="1" x14ac:dyDescent="0.2">
      <c r="B88" s="495"/>
      <c r="C88" s="495"/>
      <c r="D88" s="496"/>
      <c r="E88" s="496"/>
      <c r="F88" s="541"/>
      <c r="G88" s="541"/>
      <c r="H88" s="541"/>
      <c r="I88" s="541"/>
      <c r="J88" s="541"/>
    </row>
    <row r="89" spans="2:10" s="497" customFormat="1" x14ac:dyDescent="0.2">
      <c r="B89" s="495"/>
      <c r="C89" s="495"/>
      <c r="D89" s="496"/>
      <c r="E89" s="496"/>
      <c r="F89" s="541"/>
      <c r="G89" s="541"/>
      <c r="H89" s="541"/>
      <c r="I89" s="541"/>
      <c r="J89" s="541"/>
    </row>
    <row r="90" spans="2:10" s="497" customFormat="1" x14ac:dyDescent="0.2">
      <c r="B90" s="495"/>
      <c r="C90" s="495"/>
      <c r="D90" s="496"/>
      <c r="E90" s="496"/>
      <c r="F90" s="541"/>
      <c r="G90" s="541"/>
      <c r="H90" s="541"/>
      <c r="I90" s="541"/>
      <c r="J90" s="541"/>
    </row>
    <row r="91" spans="2:10" s="497" customFormat="1" x14ac:dyDescent="0.2">
      <c r="B91" s="495"/>
      <c r="C91" s="495"/>
      <c r="D91" s="496"/>
      <c r="E91" s="496"/>
      <c r="F91" s="541"/>
      <c r="G91" s="541"/>
      <c r="H91" s="541"/>
      <c r="I91" s="541"/>
      <c r="J91" s="541"/>
    </row>
    <row r="92" spans="2:10" s="497" customFormat="1" x14ac:dyDescent="0.2">
      <c r="B92" s="495"/>
      <c r="C92" s="495"/>
      <c r="D92" s="496"/>
      <c r="E92" s="496"/>
      <c r="F92" s="541"/>
      <c r="G92" s="541"/>
      <c r="H92" s="541"/>
      <c r="I92" s="541"/>
      <c r="J92" s="541"/>
    </row>
    <row r="93" spans="2:10" s="497" customFormat="1" x14ac:dyDescent="0.2">
      <c r="B93" s="495"/>
      <c r="C93" s="495"/>
      <c r="D93" s="496"/>
      <c r="E93" s="496"/>
      <c r="F93" s="541"/>
      <c r="G93" s="541"/>
      <c r="H93" s="541"/>
      <c r="I93" s="541"/>
      <c r="J93" s="541"/>
    </row>
    <row r="94" spans="2:10" s="497" customFormat="1" x14ac:dyDescent="0.2">
      <c r="B94" s="495"/>
      <c r="C94" s="495"/>
      <c r="D94" s="496"/>
      <c r="E94" s="496"/>
      <c r="F94" s="541"/>
      <c r="G94" s="541"/>
      <c r="H94" s="541"/>
      <c r="I94" s="541"/>
      <c r="J94" s="541"/>
    </row>
    <row r="95" spans="2:10" s="497" customFormat="1" x14ac:dyDescent="0.2">
      <c r="B95" s="495"/>
      <c r="C95" s="495"/>
      <c r="D95" s="496"/>
      <c r="E95" s="496"/>
      <c r="F95" s="541"/>
      <c r="G95" s="541"/>
      <c r="H95" s="541"/>
      <c r="I95" s="541"/>
      <c r="J95" s="541"/>
    </row>
    <row r="96" spans="2:10" s="497" customFormat="1" x14ac:dyDescent="0.2">
      <c r="B96" s="495"/>
      <c r="C96" s="495"/>
      <c r="D96" s="496"/>
      <c r="E96" s="496"/>
      <c r="F96" s="541"/>
      <c r="G96" s="541"/>
      <c r="H96" s="541"/>
      <c r="I96" s="541"/>
      <c r="J96" s="541"/>
    </row>
    <row r="97" spans="2:10" s="497" customFormat="1" x14ac:dyDescent="0.2">
      <c r="B97" s="495"/>
      <c r="C97" s="495"/>
      <c r="D97" s="496"/>
      <c r="E97" s="496"/>
      <c r="F97" s="541"/>
      <c r="G97" s="541"/>
      <c r="H97" s="541"/>
      <c r="I97" s="541"/>
      <c r="J97" s="541"/>
    </row>
    <row r="98" spans="2:10" s="497" customFormat="1" x14ac:dyDescent="0.2">
      <c r="B98" s="495"/>
      <c r="C98" s="495"/>
      <c r="D98" s="496"/>
      <c r="E98" s="496"/>
      <c r="F98" s="541"/>
      <c r="G98" s="541"/>
      <c r="H98" s="541"/>
      <c r="I98" s="541"/>
      <c r="J98" s="541"/>
    </row>
    <row r="99" spans="2:10" s="497" customFormat="1" x14ac:dyDescent="0.2">
      <c r="B99" s="495"/>
      <c r="C99" s="495"/>
      <c r="D99" s="496"/>
      <c r="E99" s="496"/>
      <c r="F99" s="541"/>
      <c r="G99" s="541"/>
      <c r="H99" s="541"/>
      <c r="I99" s="541"/>
      <c r="J99" s="541"/>
    </row>
    <row r="100" spans="2:10" s="497" customFormat="1" x14ac:dyDescent="0.2">
      <c r="B100" s="495"/>
      <c r="C100" s="495"/>
      <c r="D100" s="496"/>
      <c r="E100" s="496"/>
      <c r="F100" s="541"/>
      <c r="G100" s="541"/>
      <c r="H100" s="541"/>
      <c r="I100" s="541"/>
      <c r="J100" s="541"/>
    </row>
    <row r="101" spans="2:10" s="497" customFormat="1" x14ac:dyDescent="0.2">
      <c r="B101" s="495"/>
      <c r="C101" s="495"/>
      <c r="D101" s="496"/>
      <c r="E101" s="496"/>
      <c r="F101" s="541"/>
      <c r="G101" s="541"/>
      <c r="H101" s="541"/>
      <c r="I101" s="541"/>
      <c r="J101" s="541"/>
    </row>
    <row r="102" spans="2:10" s="497" customFormat="1" x14ac:dyDescent="0.2">
      <c r="B102" s="495"/>
      <c r="C102" s="495"/>
      <c r="D102" s="496"/>
      <c r="E102" s="496"/>
      <c r="F102" s="541"/>
      <c r="G102" s="541"/>
      <c r="H102" s="541"/>
      <c r="I102" s="541"/>
      <c r="J102" s="541"/>
    </row>
    <row r="103" spans="2:10" s="497" customFormat="1" x14ac:dyDescent="0.2">
      <c r="B103" s="495"/>
      <c r="C103" s="495"/>
      <c r="D103" s="496"/>
      <c r="E103" s="496"/>
      <c r="F103" s="541"/>
      <c r="G103" s="541"/>
      <c r="H103" s="541"/>
      <c r="I103" s="541"/>
      <c r="J103" s="541"/>
    </row>
  </sheetData>
  <mergeCells count="11">
    <mergeCell ref="B56:C56"/>
    <mergeCell ref="A3:C4"/>
    <mergeCell ref="A5:C5"/>
    <mergeCell ref="A6:A23"/>
    <mergeCell ref="B12:C12"/>
    <mergeCell ref="B13:C13"/>
    <mergeCell ref="B23:C23"/>
    <mergeCell ref="A24:A51"/>
    <mergeCell ref="B51:C51"/>
    <mergeCell ref="A52:A55"/>
    <mergeCell ref="B55:C55"/>
  </mergeCells>
  <pageMargins left="0.31496062992125984" right="0.31496062992125984" top="0.19685039370078741" bottom="0.19685039370078741" header="0.31496062992125984" footer="0.31496062992125984"/>
  <pageSetup paperSize="9" scale="66" orientation="landscape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9"/>
  <sheetViews>
    <sheetView workbookViewId="0"/>
  </sheetViews>
  <sheetFormatPr defaultColWidth="8.85546875" defaultRowHeight="12.75" x14ac:dyDescent="0.2"/>
  <cols>
    <col min="1" max="1" width="42.85546875" style="422" customWidth="1"/>
    <col min="2" max="2" width="13.7109375" style="422" hidden="1" customWidth="1"/>
    <col min="3" max="3" width="16.5703125" style="422" hidden="1" customWidth="1"/>
    <col min="4" max="4" width="22.85546875" style="422" customWidth="1"/>
    <col min="5" max="5" width="19.28515625" style="422" bestFit="1" customWidth="1"/>
    <col min="6" max="6" width="27.7109375" style="422" customWidth="1"/>
    <col min="7" max="7" width="21" style="422" bestFit="1" customWidth="1"/>
    <col min="8" max="8" width="14.85546875" style="422" bestFit="1" customWidth="1"/>
    <col min="9" max="9" width="22.7109375" style="422" bestFit="1" customWidth="1"/>
    <col min="10" max="10" width="5.5703125" style="422" bestFit="1" customWidth="1"/>
    <col min="11" max="11" width="5.140625" style="422" bestFit="1" customWidth="1"/>
    <col min="12" max="12" width="13.42578125" style="422" customWidth="1"/>
    <col min="13" max="13" width="9.85546875" style="422" customWidth="1"/>
    <col min="14" max="14" width="11.140625" style="422" customWidth="1"/>
    <col min="15" max="15" width="9.7109375" style="422" customWidth="1"/>
    <col min="16" max="16" width="7.42578125" style="422" bestFit="1" customWidth="1"/>
    <col min="17" max="18" width="9" style="422" bestFit="1" customWidth="1"/>
    <col min="19" max="19" width="4.42578125" style="422" bestFit="1" customWidth="1"/>
    <col min="20" max="16384" width="8.85546875" style="422"/>
  </cols>
  <sheetData>
    <row r="1" spans="1:24" ht="36" x14ac:dyDescent="0.55000000000000004">
      <c r="A1" s="700" t="s">
        <v>646</v>
      </c>
    </row>
    <row r="2" spans="1:24" x14ac:dyDescent="0.2">
      <c r="A2" s="701" t="s">
        <v>978</v>
      </c>
    </row>
    <row r="4" spans="1:24" ht="16.5" thickBot="1" x14ac:dyDescent="0.25">
      <c r="A4" s="702" t="s">
        <v>647</v>
      </c>
    </row>
    <row r="5" spans="1:24" ht="15" x14ac:dyDescent="0.25">
      <c r="A5" s="703"/>
      <c r="B5" s="704"/>
      <c r="C5" s="704"/>
      <c r="D5" s="704"/>
      <c r="E5" s="704"/>
      <c r="F5" s="704"/>
      <c r="G5" s="704"/>
      <c r="H5" s="704"/>
      <c r="I5" s="704"/>
      <c r="J5" s="2028" t="s">
        <v>648</v>
      </c>
      <c r="K5" s="2028"/>
      <c r="L5" s="2028"/>
      <c r="M5" s="2028"/>
      <c r="N5" s="2028"/>
      <c r="O5" s="704"/>
      <c r="P5" s="704"/>
      <c r="Q5" s="704"/>
      <c r="R5" s="704"/>
      <c r="S5" s="705"/>
      <c r="T5" s="705"/>
      <c r="V5" s="706" t="s">
        <v>649</v>
      </c>
    </row>
    <row r="6" spans="1:24" s="708" customFormat="1" ht="36" x14ac:dyDescent="0.55000000000000004">
      <c r="A6" s="707" t="s">
        <v>979</v>
      </c>
      <c r="J6" s="709"/>
      <c r="K6" s="709"/>
      <c r="L6" s="709"/>
      <c r="M6" s="709"/>
      <c r="N6" s="709"/>
      <c r="V6" s="710"/>
    </row>
    <row r="7" spans="1:24" s="711" customFormat="1" ht="15" x14ac:dyDescent="0.25">
      <c r="J7" s="712"/>
      <c r="K7" s="712"/>
      <c r="L7" s="712"/>
      <c r="M7" s="712"/>
      <c r="N7" s="712"/>
      <c r="V7" s="713"/>
    </row>
    <row r="8" spans="1:24" ht="15.75" thickBot="1" x14ac:dyDescent="0.3">
      <c r="A8" s="714" t="s">
        <v>650</v>
      </c>
      <c r="B8" s="715" t="s">
        <v>651</v>
      </c>
      <c r="C8" s="715" t="s">
        <v>652</v>
      </c>
      <c r="D8" s="715" t="s">
        <v>653</v>
      </c>
      <c r="E8" s="715" t="s">
        <v>654</v>
      </c>
      <c r="F8" s="715" t="s">
        <v>655</v>
      </c>
      <c r="G8" s="715" t="s">
        <v>656</v>
      </c>
      <c r="H8" s="715" t="s">
        <v>657</v>
      </c>
      <c r="I8" s="715" t="s">
        <v>658</v>
      </c>
      <c r="J8" s="716" t="s">
        <v>141</v>
      </c>
      <c r="K8" s="716" t="s">
        <v>142</v>
      </c>
      <c r="L8" s="716" t="s">
        <v>659</v>
      </c>
      <c r="M8" s="716" t="s">
        <v>660</v>
      </c>
      <c r="N8" s="716" t="s">
        <v>661</v>
      </c>
      <c r="O8" s="715" t="s">
        <v>662</v>
      </c>
      <c r="P8" s="715" t="s">
        <v>663</v>
      </c>
      <c r="Q8" s="715" t="s">
        <v>664</v>
      </c>
      <c r="R8" s="715" t="s">
        <v>665</v>
      </c>
      <c r="S8" s="675" t="s">
        <v>217</v>
      </c>
      <c r="T8" s="675" t="s">
        <v>666</v>
      </c>
      <c r="V8" s="706" t="s">
        <v>655</v>
      </c>
      <c r="X8" s="717" t="s">
        <v>667</v>
      </c>
    </row>
    <row r="9" spans="1:24" ht="15" x14ac:dyDescent="0.25">
      <c r="A9" s="718" t="s">
        <v>668</v>
      </c>
      <c r="B9" s="719">
        <v>350</v>
      </c>
      <c r="C9" s="719">
        <v>1</v>
      </c>
      <c r="D9" s="720">
        <v>35000000</v>
      </c>
      <c r="E9" s="720">
        <f>0.3*D9</f>
        <v>10500000</v>
      </c>
      <c r="F9" s="866">
        <v>35000000</v>
      </c>
      <c r="G9" s="866">
        <f t="shared" ref="G9:G57" si="0">D9-E9</f>
        <v>24500000</v>
      </c>
      <c r="H9" s="720">
        <f t="shared" ref="H9:H57" si="1">F9-E9</f>
        <v>24500000</v>
      </c>
      <c r="I9" s="721" t="s">
        <v>669</v>
      </c>
      <c r="J9" s="722" t="s">
        <v>670</v>
      </c>
      <c r="K9" s="722" t="s">
        <v>670</v>
      </c>
      <c r="L9" s="722" t="s">
        <v>670</v>
      </c>
      <c r="M9" s="722" t="s">
        <v>670</v>
      </c>
      <c r="N9" s="722" t="s">
        <v>670</v>
      </c>
      <c r="O9" s="721" t="s">
        <v>671</v>
      </c>
      <c r="P9" s="721" t="s">
        <v>672</v>
      </c>
      <c r="Q9" s="721" t="s">
        <v>672</v>
      </c>
      <c r="R9" s="721" t="s">
        <v>672</v>
      </c>
      <c r="S9" s="723" t="s">
        <v>672</v>
      </c>
      <c r="T9" s="723">
        <v>2017</v>
      </c>
      <c r="V9" s="706" t="s">
        <v>673</v>
      </c>
      <c r="X9" s="717" t="s">
        <v>674</v>
      </c>
    </row>
    <row r="10" spans="1:24" ht="15" x14ac:dyDescent="0.25">
      <c r="A10" s="718" t="s">
        <v>980</v>
      </c>
      <c r="B10" s="719"/>
      <c r="C10" s="719">
        <v>1</v>
      </c>
      <c r="D10" s="720">
        <v>25000000</v>
      </c>
      <c r="E10" s="720">
        <f>0.85*D10</f>
        <v>21250000</v>
      </c>
      <c r="F10" s="720">
        <v>23500000</v>
      </c>
      <c r="G10" s="720">
        <f t="shared" si="0"/>
        <v>3750000</v>
      </c>
      <c r="H10" s="720">
        <f t="shared" si="1"/>
        <v>2250000</v>
      </c>
      <c r="I10" s="721" t="s">
        <v>679</v>
      </c>
      <c r="J10" s="722" t="s">
        <v>670</v>
      </c>
      <c r="K10" s="722" t="s">
        <v>670</v>
      </c>
      <c r="L10" s="722" t="s">
        <v>670</v>
      </c>
      <c r="M10" s="722" t="s">
        <v>670</v>
      </c>
      <c r="N10" s="722" t="s">
        <v>670</v>
      </c>
      <c r="O10" s="724" t="s">
        <v>706</v>
      </c>
      <c r="P10" s="724" t="s">
        <v>681</v>
      </c>
      <c r="Q10" s="724" t="s">
        <v>681</v>
      </c>
      <c r="R10" s="724" t="s">
        <v>681</v>
      </c>
      <c r="S10" s="725" t="s">
        <v>681</v>
      </c>
      <c r="T10" s="723">
        <v>2017</v>
      </c>
      <c r="V10" s="706"/>
      <c r="X10" s="717"/>
    </row>
    <row r="11" spans="1:24" ht="15" x14ac:dyDescent="0.25">
      <c r="A11" s="718" t="s">
        <v>981</v>
      </c>
      <c r="B11" s="719"/>
      <c r="C11" s="719"/>
      <c r="D11" s="720">
        <v>4000000</v>
      </c>
      <c r="E11" s="720">
        <v>0</v>
      </c>
      <c r="F11" s="720">
        <v>2000000</v>
      </c>
      <c r="G11" s="866">
        <f t="shared" si="0"/>
        <v>4000000</v>
      </c>
      <c r="H11" s="720">
        <f t="shared" si="1"/>
        <v>2000000</v>
      </c>
      <c r="I11" s="726" t="s">
        <v>679</v>
      </c>
      <c r="J11" s="722" t="s">
        <v>982</v>
      </c>
      <c r="K11" s="722" t="s">
        <v>982</v>
      </c>
      <c r="L11" s="722" t="s">
        <v>982</v>
      </c>
      <c r="M11" s="722" t="s">
        <v>982</v>
      </c>
      <c r="N11" s="727" t="s">
        <v>690</v>
      </c>
      <c r="O11" s="724" t="s">
        <v>706</v>
      </c>
      <c r="P11" s="724" t="s">
        <v>681</v>
      </c>
      <c r="Q11" s="724" t="s">
        <v>681</v>
      </c>
      <c r="R11" s="724" t="s">
        <v>681</v>
      </c>
      <c r="S11" s="725" t="s">
        <v>681</v>
      </c>
      <c r="T11" s="723">
        <v>2017</v>
      </c>
      <c r="V11" s="706"/>
      <c r="X11" s="717"/>
    </row>
    <row r="12" spans="1:24" ht="15" x14ac:dyDescent="0.25">
      <c r="A12" s="718" t="s">
        <v>983</v>
      </c>
      <c r="B12" s="719">
        <v>86</v>
      </c>
      <c r="C12" s="719">
        <v>16</v>
      </c>
      <c r="D12" s="720">
        <f>9150*B12*1.21</f>
        <v>952149</v>
      </c>
      <c r="E12" s="720">
        <v>0</v>
      </c>
      <c r="F12" s="720">
        <v>240000</v>
      </c>
      <c r="G12" s="720">
        <f t="shared" si="0"/>
        <v>952149</v>
      </c>
      <c r="H12" s="720">
        <f t="shared" si="1"/>
        <v>240000</v>
      </c>
      <c r="I12" s="726" t="s">
        <v>679</v>
      </c>
      <c r="J12" s="722" t="s">
        <v>670</v>
      </c>
      <c r="K12" s="722" t="s">
        <v>670</v>
      </c>
      <c r="L12" s="722" t="s">
        <v>670</v>
      </c>
      <c r="M12" s="727" t="s">
        <v>690</v>
      </c>
      <c r="N12" s="722" t="s">
        <v>670</v>
      </c>
      <c r="O12" s="724" t="s">
        <v>706</v>
      </c>
      <c r="P12" s="724" t="s">
        <v>681</v>
      </c>
      <c r="Q12" s="724" t="s">
        <v>681</v>
      </c>
      <c r="R12" s="724" t="s">
        <v>681</v>
      </c>
      <c r="S12" s="725" t="s">
        <v>681</v>
      </c>
      <c r="T12" s="723">
        <v>2017</v>
      </c>
      <c r="V12" s="706"/>
      <c r="X12" s="717"/>
    </row>
    <row r="13" spans="1:24" ht="15" x14ac:dyDescent="0.25">
      <c r="A13" s="718" t="s">
        <v>984</v>
      </c>
      <c r="B13" s="719">
        <v>234</v>
      </c>
      <c r="C13" s="719">
        <v>16</v>
      </c>
      <c r="D13" s="720">
        <f>9150*B13*1.21</f>
        <v>2590731</v>
      </c>
      <c r="E13" s="720">
        <v>0</v>
      </c>
      <c r="F13" s="720">
        <v>400000</v>
      </c>
      <c r="G13" s="720">
        <f t="shared" si="0"/>
        <v>2590731</v>
      </c>
      <c r="H13" s="720">
        <f t="shared" si="1"/>
        <v>400000</v>
      </c>
      <c r="I13" s="726" t="s">
        <v>679</v>
      </c>
      <c r="J13" s="722" t="s">
        <v>670</v>
      </c>
      <c r="K13" s="722" t="s">
        <v>670</v>
      </c>
      <c r="L13" s="722" t="s">
        <v>670</v>
      </c>
      <c r="M13" s="727" t="s">
        <v>690</v>
      </c>
      <c r="N13" s="722" t="s">
        <v>670</v>
      </c>
      <c r="O13" s="724" t="s">
        <v>706</v>
      </c>
      <c r="P13" s="724" t="s">
        <v>681</v>
      </c>
      <c r="Q13" s="724" t="s">
        <v>681</v>
      </c>
      <c r="R13" s="724" t="s">
        <v>681</v>
      </c>
      <c r="S13" s="725" t="s">
        <v>681</v>
      </c>
      <c r="T13" s="723">
        <v>2017</v>
      </c>
      <c r="V13" s="706"/>
      <c r="X13" s="717"/>
    </row>
    <row r="14" spans="1:24" ht="15" x14ac:dyDescent="0.25">
      <c r="A14" s="718" t="s">
        <v>712</v>
      </c>
      <c r="B14" s="719">
        <v>147</v>
      </c>
      <c r="C14" s="719">
        <v>17</v>
      </c>
      <c r="D14" s="720">
        <f>10490*B14*1.21</f>
        <v>1865856.3</v>
      </c>
      <c r="E14" s="720">
        <v>0</v>
      </c>
      <c r="F14" s="720">
        <v>610000</v>
      </c>
      <c r="G14" s="720">
        <f t="shared" si="0"/>
        <v>1865856.3</v>
      </c>
      <c r="H14" s="720">
        <f t="shared" si="1"/>
        <v>610000</v>
      </c>
      <c r="I14" s="726" t="s">
        <v>679</v>
      </c>
      <c r="J14" s="722" t="s">
        <v>670</v>
      </c>
      <c r="K14" s="722" t="s">
        <v>670</v>
      </c>
      <c r="L14" s="722" t="s">
        <v>670</v>
      </c>
      <c r="M14" s="727" t="s">
        <v>690</v>
      </c>
      <c r="N14" s="722" t="s">
        <v>670</v>
      </c>
      <c r="O14" s="724" t="s">
        <v>706</v>
      </c>
      <c r="P14" s="724" t="s">
        <v>681</v>
      </c>
      <c r="Q14" s="724" t="s">
        <v>681</v>
      </c>
      <c r="R14" s="724" t="s">
        <v>681</v>
      </c>
      <c r="S14" s="725" t="s">
        <v>681</v>
      </c>
      <c r="T14" s="723">
        <v>2017</v>
      </c>
      <c r="V14" s="706"/>
      <c r="X14" s="717"/>
    </row>
    <row r="15" spans="1:24" ht="15" x14ac:dyDescent="0.25">
      <c r="A15" s="718" t="s">
        <v>711</v>
      </c>
      <c r="B15" s="719">
        <v>148</v>
      </c>
      <c r="C15" s="719">
        <v>17</v>
      </c>
      <c r="D15" s="720">
        <f>10490*B15*1.21</f>
        <v>1878549.2</v>
      </c>
      <c r="E15" s="720">
        <v>0</v>
      </c>
      <c r="F15" s="720">
        <v>530000</v>
      </c>
      <c r="G15" s="720">
        <f t="shared" si="0"/>
        <v>1878549.2</v>
      </c>
      <c r="H15" s="720">
        <f t="shared" si="1"/>
        <v>530000</v>
      </c>
      <c r="I15" s="726" t="s">
        <v>679</v>
      </c>
      <c r="J15" s="722" t="s">
        <v>670</v>
      </c>
      <c r="K15" s="722" t="s">
        <v>670</v>
      </c>
      <c r="L15" s="722" t="s">
        <v>670</v>
      </c>
      <c r="M15" s="727" t="s">
        <v>690</v>
      </c>
      <c r="N15" s="722" t="s">
        <v>670</v>
      </c>
      <c r="O15" s="724" t="s">
        <v>706</v>
      </c>
      <c r="P15" s="724" t="s">
        <v>681</v>
      </c>
      <c r="Q15" s="724" t="s">
        <v>681</v>
      </c>
      <c r="R15" s="724" t="s">
        <v>681</v>
      </c>
      <c r="S15" s="725" t="s">
        <v>681</v>
      </c>
      <c r="T15" s="723">
        <v>2017</v>
      </c>
      <c r="V15" s="706"/>
      <c r="X15" s="717"/>
    </row>
    <row r="16" spans="1:24" ht="15" x14ac:dyDescent="0.25">
      <c r="A16" s="718" t="s">
        <v>985</v>
      </c>
      <c r="B16" s="719">
        <v>145</v>
      </c>
      <c r="C16" s="719">
        <v>9</v>
      </c>
      <c r="D16" s="720">
        <f>8961*B16*1.21</f>
        <v>1572207.45</v>
      </c>
      <c r="E16" s="720">
        <v>0</v>
      </c>
      <c r="F16" s="720">
        <v>468000</v>
      </c>
      <c r="G16" s="720">
        <f t="shared" si="0"/>
        <v>1572207.45</v>
      </c>
      <c r="H16" s="720">
        <f t="shared" si="1"/>
        <v>468000</v>
      </c>
      <c r="I16" s="726" t="s">
        <v>679</v>
      </c>
      <c r="J16" s="722" t="s">
        <v>670</v>
      </c>
      <c r="K16" s="722" t="s">
        <v>670</v>
      </c>
      <c r="L16" s="722" t="s">
        <v>670</v>
      </c>
      <c r="M16" s="727" t="s">
        <v>690</v>
      </c>
      <c r="N16" s="722" t="s">
        <v>670</v>
      </c>
      <c r="O16" s="724" t="s">
        <v>706</v>
      </c>
      <c r="P16" s="724" t="s">
        <v>681</v>
      </c>
      <c r="Q16" s="724" t="s">
        <v>681</v>
      </c>
      <c r="R16" s="724" t="s">
        <v>681</v>
      </c>
      <c r="S16" s="725" t="s">
        <v>681</v>
      </c>
      <c r="T16" s="723">
        <v>2017</v>
      </c>
      <c r="V16" s="706"/>
      <c r="X16" s="717"/>
    </row>
    <row r="17" spans="1:24" ht="15" x14ac:dyDescent="0.25">
      <c r="A17" s="718" t="s">
        <v>986</v>
      </c>
      <c r="B17" s="719">
        <v>121</v>
      </c>
      <c r="C17" s="719">
        <v>11</v>
      </c>
      <c r="D17" s="720">
        <f>12540*1.21*B17</f>
        <v>1835981.4</v>
      </c>
      <c r="E17" s="720">
        <v>0</v>
      </c>
      <c r="F17" s="720">
        <v>360000</v>
      </c>
      <c r="G17" s="720">
        <f t="shared" si="0"/>
        <v>1835981.4</v>
      </c>
      <c r="H17" s="720">
        <f t="shared" si="1"/>
        <v>360000</v>
      </c>
      <c r="I17" s="726" t="s">
        <v>679</v>
      </c>
      <c r="J17" s="722" t="s">
        <v>670</v>
      </c>
      <c r="K17" s="722" t="s">
        <v>670</v>
      </c>
      <c r="L17" s="722" t="s">
        <v>670</v>
      </c>
      <c r="M17" s="727" t="s">
        <v>690</v>
      </c>
      <c r="N17" s="722" t="s">
        <v>670</v>
      </c>
      <c r="O17" s="724" t="s">
        <v>706</v>
      </c>
      <c r="P17" s="724" t="s">
        <v>681</v>
      </c>
      <c r="Q17" s="724" t="s">
        <v>681</v>
      </c>
      <c r="R17" s="724" t="s">
        <v>681</v>
      </c>
      <c r="S17" s="725" t="s">
        <v>681</v>
      </c>
      <c r="T17" s="723">
        <v>2017</v>
      </c>
      <c r="V17" s="706"/>
      <c r="X17" s="717"/>
    </row>
    <row r="18" spans="1:24" ht="15" x14ac:dyDescent="0.25">
      <c r="A18" s="718" t="s">
        <v>987</v>
      </c>
      <c r="B18" s="719">
        <v>141</v>
      </c>
      <c r="C18" s="719">
        <v>11</v>
      </c>
      <c r="D18" s="720">
        <f>12540*1.21*B18</f>
        <v>2139449.4</v>
      </c>
      <c r="E18" s="720">
        <v>0</v>
      </c>
      <c r="F18" s="720">
        <v>600000</v>
      </c>
      <c r="G18" s="720">
        <f t="shared" si="0"/>
        <v>2139449.4</v>
      </c>
      <c r="H18" s="720">
        <f t="shared" si="1"/>
        <v>600000</v>
      </c>
      <c r="I18" s="726"/>
      <c r="J18" s="722" t="s">
        <v>670</v>
      </c>
      <c r="K18" s="722" t="s">
        <v>670</v>
      </c>
      <c r="L18" s="722" t="s">
        <v>670</v>
      </c>
      <c r="M18" s="727" t="s">
        <v>690</v>
      </c>
      <c r="N18" s="722" t="s">
        <v>670</v>
      </c>
      <c r="O18" s="724" t="s">
        <v>706</v>
      </c>
      <c r="P18" s="724" t="s">
        <v>681</v>
      </c>
      <c r="Q18" s="724" t="s">
        <v>681</v>
      </c>
      <c r="R18" s="724" t="s">
        <v>681</v>
      </c>
      <c r="S18" s="725" t="s">
        <v>681</v>
      </c>
      <c r="T18" s="723">
        <v>2017</v>
      </c>
      <c r="V18" s="706"/>
      <c r="X18" s="717"/>
    </row>
    <row r="19" spans="1:24" ht="15" x14ac:dyDescent="0.25">
      <c r="A19" s="728" t="s">
        <v>988</v>
      </c>
      <c r="B19" s="729">
        <v>100</v>
      </c>
      <c r="C19" s="730">
        <v>17</v>
      </c>
      <c r="D19" s="731">
        <f>10490*B19*1.21</f>
        <v>1269290</v>
      </c>
      <c r="E19" s="731">
        <v>0</v>
      </c>
      <c r="F19" s="731">
        <v>250000</v>
      </c>
      <c r="G19" s="731">
        <f t="shared" si="0"/>
        <v>1269290</v>
      </c>
      <c r="H19" s="731">
        <f t="shared" si="1"/>
        <v>250000</v>
      </c>
      <c r="I19" s="732" t="s">
        <v>679</v>
      </c>
      <c r="J19" s="733" t="s">
        <v>670</v>
      </c>
      <c r="K19" s="733" t="s">
        <v>670</v>
      </c>
      <c r="L19" s="733" t="s">
        <v>670</v>
      </c>
      <c r="M19" s="734" t="s">
        <v>690</v>
      </c>
      <c r="N19" s="733" t="s">
        <v>670</v>
      </c>
      <c r="O19" s="735" t="s">
        <v>706</v>
      </c>
      <c r="P19" s="735" t="s">
        <v>681</v>
      </c>
      <c r="Q19" s="735" t="s">
        <v>681</v>
      </c>
      <c r="R19" s="735" t="s">
        <v>681</v>
      </c>
      <c r="S19" s="736" t="s">
        <v>681</v>
      </c>
      <c r="T19" s="737">
        <v>2018</v>
      </c>
      <c r="V19" s="706"/>
      <c r="X19" s="717"/>
    </row>
    <row r="20" spans="1:24" ht="15" x14ac:dyDescent="0.25">
      <c r="A20" s="738" t="s">
        <v>989</v>
      </c>
      <c r="B20" s="719">
        <v>182</v>
      </c>
      <c r="C20" s="719">
        <v>9</v>
      </c>
      <c r="D20" s="720">
        <f>8961*B20*1.21</f>
        <v>1973391.42</v>
      </c>
      <c r="E20" s="720">
        <v>0</v>
      </c>
      <c r="F20" s="720">
        <v>450000</v>
      </c>
      <c r="G20" s="720">
        <f t="shared" si="0"/>
        <v>1973391.42</v>
      </c>
      <c r="H20" s="720">
        <f t="shared" si="1"/>
        <v>450000</v>
      </c>
      <c r="I20" s="726" t="s">
        <v>679</v>
      </c>
      <c r="J20" s="722" t="s">
        <v>670</v>
      </c>
      <c r="K20" s="722" t="s">
        <v>670</v>
      </c>
      <c r="L20" s="722" t="s">
        <v>670</v>
      </c>
      <c r="M20" s="727" t="s">
        <v>690</v>
      </c>
      <c r="N20" s="722" t="s">
        <v>670</v>
      </c>
      <c r="O20" s="724" t="s">
        <v>706</v>
      </c>
      <c r="P20" s="724" t="s">
        <v>681</v>
      </c>
      <c r="Q20" s="724" t="s">
        <v>681</v>
      </c>
      <c r="R20" s="724" t="s">
        <v>681</v>
      </c>
      <c r="S20" s="725" t="s">
        <v>681</v>
      </c>
      <c r="T20" s="723">
        <v>2017</v>
      </c>
      <c r="V20" s="706"/>
      <c r="X20" s="717"/>
    </row>
    <row r="21" spans="1:24" ht="15" x14ac:dyDescent="0.25">
      <c r="A21" s="738" t="s">
        <v>990</v>
      </c>
      <c r="B21" s="719">
        <v>356</v>
      </c>
      <c r="C21" s="719">
        <v>11</v>
      </c>
      <c r="D21" s="720">
        <f>12540*1.21*B21</f>
        <v>5401730.3999999994</v>
      </c>
      <c r="E21" s="720">
        <v>0</v>
      </c>
      <c r="F21" s="720">
        <v>900000</v>
      </c>
      <c r="G21" s="720">
        <f t="shared" si="0"/>
        <v>5401730.3999999994</v>
      </c>
      <c r="H21" s="720">
        <f t="shared" si="1"/>
        <v>900000</v>
      </c>
      <c r="I21" s="726" t="s">
        <v>679</v>
      </c>
      <c r="J21" s="722" t="s">
        <v>670</v>
      </c>
      <c r="K21" s="722" t="s">
        <v>670</v>
      </c>
      <c r="L21" s="722" t="s">
        <v>670</v>
      </c>
      <c r="M21" s="727" t="s">
        <v>690</v>
      </c>
      <c r="N21" s="722" t="s">
        <v>670</v>
      </c>
      <c r="O21" s="724" t="s">
        <v>706</v>
      </c>
      <c r="P21" s="724" t="s">
        <v>681</v>
      </c>
      <c r="Q21" s="724" t="s">
        <v>681</v>
      </c>
      <c r="R21" s="724" t="s">
        <v>681</v>
      </c>
      <c r="S21" s="725" t="s">
        <v>681</v>
      </c>
      <c r="T21" s="723">
        <v>2017</v>
      </c>
      <c r="V21" s="706"/>
      <c r="X21" s="717"/>
    </row>
    <row r="22" spans="1:24" ht="15" x14ac:dyDescent="0.25">
      <c r="A22" s="738" t="s">
        <v>991</v>
      </c>
      <c r="B22" s="719">
        <v>220</v>
      </c>
      <c r="C22" s="719">
        <v>15</v>
      </c>
      <c r="D22" s="720">
        <f>8430*1.21*B22</f>
        <v>2244066</v>
      </c>
      <c r="E22" s="720">
        <v>0</v>
      </c>
      <c r="F22" s="720">
        <v>500000</v>
      </c>
      <c r="G22" s="720">
        <f t="shared" si="0"/>
        <v>2244066</v>
      </c>
      <c r="H22" s="720">
        <f t="shared" si="1"/>
        <v>500000</v>
      </c>
      <c r="I22" s="726" t="s">
        <v>679</v>
      </c>
      <c r="J22" s="722" t="s">
        <v>670</v>
      </c>
      <c r="K22" s="722" t="s">
        <v>670</v>
      </c>
      <c r="L22" s="722" t="s">
        <v>670</v>
      </c>
      <c r="M22" s="727" t="s">
        <v>690</v>
      </c>
      <c r="N22" s="722" t="s">
        <v>670</v>
      </c>
      <c r="O22" s="724" t="s">
        <v>706</v>
      </c>
      <c r="P22" s="724" t="s">
        <v>681</v>
      </c>
      <c r="Q22" s="724" t="s">
        <v>681</v>
      </c>
      <c r="R22" s="724" t="s">
        <v>681</v>
      </c>
      <c r="S22" s="725" t="s">
        <v>681</v>
      </c>
      <c r="T22" s="723">
        <v>2017</v>
      </c>
      <c r="V22" s="706"/>
      <c r="X22" s="717"/>
    </row>
    <row r="23" spans="1:24" ht="15" x14ac:dyDescent="0.25">
      <c r="A23" s="738" t="s">
        <v>992</v>
      </c>
      <c r="B23" s="719">
        <v>169</v>
      </c>
      <c r="C23" s="719">
        <v>16</v>
      </c>
      <c r="D23" s="720">
        <f>9150*B23*1.21</f>
        <v>1871083.5</v>
      </c>
      <c r="E23" s="720">
        <v>0</v>
      </c>
      <c r="F23" s="720">
        <v>415000</v>
      </c>
      <c r="G23" s="720">
        <f t="shared" si="0"/>
        <v>1871083.5</v>
      </c>
      <c r="H23" s="720">
        <f t="shared" si="1"/>
        <v>415000</v>
      </c>
      <c r="I23" s="726" t="s">
        <v>679</v>
      </c>
      <c r="J23" s="722" t="s">
        <v>670</v>
      </c>
      <c r="K23" s="722" t="s">
        <v>670</v>
      </c>
      <c r="L23" s="722" t="s">
        <v>670</v>
      </c>
      <c r="M23" s="727" t="s">
        <v>690</v>
      </c>
      <c r="N23" s="722" t="s">
        <v>670</v>
      </c>
      <c r="O23" s="724" t="s">
        <v>706</v>
      </c>
      <c r="P23" s="724" t="s">
        <v>681</v>
      </c>
      <c r="Q23" s="724" t="s">
        <v>681</v>
      </c>
      <c r="R23" s="724" t="s">
        <v>681</v>
      </c>
      <c r="S23" s="725" t="s">
        <v>681</v>
      </c>
      <c r="T23" s="723">
        <v>2017</v>
      </c>
      <c r="V23" s="706"/>
      <c r="X23" s="717"/>
    </row>
    <row r="24" spans="1:24" ht="15" x14ac:dyDescent="0.25">
      <c r="A24" s="738" t="s">
        <v>993</v>
      </c>
      <c r="B24" s="719">
        <v>416</v>
      </c>
      <c r="C24" s="719">
        <v>10</v>
      </c>
      <c r="D24" s="720">
        <f>11310*1.21*B24</f>
        <v>5693001.6000000006</v>
      </c>
      <c r="E24" s="720">
        <v>0</v>
      </c>
      <c r="F24" s="720">
        <v>370000</v>
      </c>
      <c r="G24" s="720">
        <f t="shared" si="0"/>
        <v>5693001.6000000006</v>
      </c>
      <c r="H24" s="720">
        <f t="shared" si="1"/>
        <v>370000</v>
      </c>
      <c r="I24" s="726" t="s">
        <v>679</v>
      </c>
      <c r="J24" s="722" t="s">
        <v>670</v>
      </c>
      <c r="K24" s="722" t="s">
        <v>670</v>
      </c>
      <c r="L24" s="722" t="s">
        <v>670</v>
      </c>
      <c r="M24" s="727" t="s">
        <v>690</v>
      </c>
      <c r="N24" s="722" t="s">
        <v>670</v>
      </c>
      <c r="O24" s="724" t="s">
        <v>706</v>
      </c>
      <c r="P24" s="724" t="s">
        <v>681</v>
      </c>
      <c r="Q24" s="724" t="s">
        <v>681</v>
      </c>
      <c r="R24" s="724" t="s">
        <v>681</v>
      </c>
      <c r="S24" s="725" t="s">
        <v>681</v>
      </c>
      <c r="T24" s="723">
        <v>2017</v>
      </c>
      <c r="V24" s="706"/>
      <c r="X24" s="717"/>
    </row>
    <row r="25" spans="1:24" ht="15" x14ac:dyDescent="0.25">
      <c r="A25" s="738" t="s">
        <v>994</v>
      </c>
      <c r="B25" s="719">
        <v>265</v>
      </c>
      <c r="C25" s="719">
        <v>7</v>
      </c>
      <c r="D25" s="720">
        <f>5490*1.21*B25</f>
        <v>1760368.5</v>
      </c>
      <c r="E25" s="720">
        <v>0</v>
      </c>
      <c r="F25" s="720">
        <v>180000</v>
      </c>
      <c r="G25" s="720">
        <f t="shared" si="0"/>
        <v>1760368.5</v>
      </c>
      <c r="H25" s="720">
        <f t="shared" si="1"/>
        <v>180000</v>
      </c>
      <c r="I25" s="726" t="s">
        <v>679</v>
      </c>
      <c r="J25" s="722" t="s">
        <v>670</v>
      </c>
      <c r="K25" s="722" t="s">
        <v>670</v>
      </c>
      <c r="L25" s="722" t="s">
        <v>670</v>
      </c>
      <c r="M25" s="727" t="s">
        <v>690</v>
      </c>
      <c r="N25" s="722" t="s">
        <v>670</v>
      </c>
      <c r="O25" s="724" t="s">
        <v>706</v>
      </c>
      <c r="P25" s="724" t="s">
        <v>681</v>
      </c>
      <c r="Q25" s="724" t="s">
        <v>681</v>
      </c>
      <c r="R25" s="724" t="s">
        <v>681</v>
      </c>
      <c r="S25" s="725" t="s">
        <v>681</v>
      </c>
      <c r="T25" s="723">
        <v>2017</v>
      </c>
      <c r="V25" s="706"/>
      <c r="X25" s="717"/>
    </row>
    <row r="26" spans="1:24" ht="15" x14ac:dyDescent="0.25">
      <c r="A26" s="738" t="s">
        <v>995</v>
      </c>
      <c r="B26" s="719">
        <v>181</v>
      </c>
      <c r="C26" s="719">
        <v>10</v>
      </c>
      <c r="D26" s="720">
        <f>11310*1.21*B26</f>
        <v>2477003.1</v>
      </c>
      <c r="E26" s="720">
        <v>0</v>
      </c>
      <c r="F26" s="720">
        <v>550000</v>
      </c>
      <c r="G26" s="720">
        <f t="shared" si="0"/>
        <v>2477003.1</v>
      </c>
      <c r="H26" s="720">
        <f t="shared" si="1"/>
        <v>550000</v>
      </c>
      <c r="I26" s="726" t="s">
        <v>679</v>
      </c>
      <c r="J26" s="722" t="s">
        <v>670</v>
      </c>
      <c r="K26" s="722" t="s">
        <v>670</v>
      </c>
      <c r="L26" s="722" t="s">
        <v>670</v>
      </c>
      <c r="M26" s="727" t="s">
        <v>690</v>
      </c>
      <c r="N26" s="722" t="s">
        <v>670</v>
      </c>
      <c r="O26" s="724" t="s">
        <v>706</v>
      </c>
      <c r="P26" s="724" t="s">
        <v>681</v>
      </c>
      <c r="Q26" s="724" t="s">
        <v>681</v>
      </c>
      <c r="R26" s="724" t="s">
        <v>681</v>
      </c>
      <c r="S26" s="725" t="s">
        <v>681</v>
      </c>
      <c r="T26" s="723">
        <v>2017</v>
      </c>
      <c r="V26" s="706"/>
      <c r="X26" s="717"/>
    </row>
    <row r="27" spans="1:24" ht="15" x14ac:dyDescent="0.25">
      <c r="A27" s="728" t="s">
        <v>996</v>
      </c>
      <c r="B27" s="729">
        <v>363</v>
      </c>
      <c r="C27" s="729">
        <v>10</v>
      </c>
      <c r="D27" s="731">
        <f>11310*1.21*B27</f>
        <v>4967691.3</v>
      </c>
      <c r="E27" s="731">
        <v>0</v>
      </c>
      <c r="F27" s="731">
        <v>820000</v>
      </c>
      <c r="G27" s="731">
        <f t="shared" si="0"/>
        <v>4967691.3</v>
      </c>
      <c r="H27" s="731">
        <f t="shared" si="1"/>
        <v>820000</v>
      </c>
      <c r="I27" s="732" t="s">
        <v>679</v>
      </c>
      <c r="J27" s="734" t="s">
        <v>690</v>
      </c>
      <c r="K27" s="733" t="s">
        <v>670</v>
      </c>
      <c r="L27" s="734" t="s">
        <v>690</v>
      </c>
      <c r="M27" s="734" t="s">
        <v>690</v>
      </c>
      <c r="N27" s="733" t="s">
        <v>670</v>
      </c>
      <c r="O27" s="735" t="s">
        <v>706</v>
      </c>
      <c r="P27" s="735" t="s">
        <v>681</v>
      </c>
      <c r="Q27" s="735" t="s">
        <v>681</v>
      </c>
      <c r="R27" s="735" t="s">
        <v>681</v>
      </c>
      <c r="S27" s="736" t="s">
        <v>681</v>
      </c>
      <c r="T27" s="737">
        <v>2018</v>
      </c>
      <c r="V27" s="706"/>
      <c r="X27" s="717"/>
    </row>
    <row r="28" spans="1:24" ht="15" x14ac:dyDescent="0.25">
      <c r="A28" s="728" t="s">
        <v>997</v>
      </c>
      <c r="B28" s="729">
        <v>496</v>
      </c>
      <c r="C28" s="729">
        <v>10</v>
      </c>
      <c r="D28" s="731">
        <f>11310*1.21*B28</f>
        <v>6787809.6000000006</v>
      </c>
      <c r="E28" s="731">
        <v>0</v>
      </c>
      <c r="F28" s="731">
        <v>1110000</v>
      </c>
      <c r="G28" s="731">
        <f t="shared" si="0"/>
        <v>6787809.6000000006</v>
      </c>
      <c r="H28" s="731">
        <f t="shared" si="1"/>
        <v>1110000</v>
      </c>
      <c r="I28" s="732" t="s">
        <v>679</v>
      </c>
      <c r="J28" s="733" t="s">
        <v>670</v>
      </c>
      <c r="K28" s="733" t="s">
        <v>670</v>
      </c>
      <c r="L28" s="733" t="s">
        <v>670</v>
      </c>
      <c r="M28" s="734" t="s">
        <v>690</v>
      </c>
      <c r="N28" s="733" t="s">
        <v>670</v>
      </c>
      <c r="O28" s="735" t="s">
        <v>706</v>
      </c>
      <c r="P28" s="735" t="s">
        <v>681</v>
      </c>
      <c r="Q28" s="735" t="s">
        <v>681</v>
      </c>
      <c r="R28" s="735" t="s">
        <v>681</v>
      </c>
      <c r="S28" s="736" t="s">
        <v>681</v>
      </c>
      <c r="T28" s="737">
        <v>2018</v>
      </c>
      <c r="V28" s="706"/>
      <c r="X28" s="717"/>
    </row>
    <row r="29" spans="1:24" ht="15" x14ac:dyDescent="0.25">
      <c r="A29" s="728" t="s">
        <v>998</v>
      </c>
      <c r="B29" s="729">
        <v>91</v>
      </c>
      <c r="C29" s="729">
        <v>12</v>
      </c>
      <c r="D29" s="731">
        <f>B29*1.21*12900</f>
        <v>1420419</v>
      </c>
      <c r="E29" s="731">
        <v>0</v>
      </c>
      <c r="F29" s="731">
        <v>245000</v>
      </c>
      <c r="G29" s="731">
        <f t="shared" si="0"/>
        <v>1420419</v>
      </c>
      <c r="H29" s="731">
        <f t="shared" si="1"/>
        <v>245000</v>
      </c>
      <c r="I29" s="732" t="s">
        <v>679</v>
      </c>
      <c r="J29" s="733" t="s">
        <v>670</v>
      </c>
      <c r="K29" s="733" t="s">
        <v>670</v>
      </c>
      <c r="L29" s="733" t="s">
        <v>670</v>
      </c>
      <c r="M29" s="734" t="s">
        <v>690</v>
      </c>
      <c r="N29" s="733" t="s">
        <v>670</v>
      </c>
      <c r="O29" s="735" t="s">
        <v>706</v>
      </c>
      <c r="P29" s="735" t="s">
        <v>681</v>
      </c>
      <c r="Q29" s="735" t="s">
        <v>681</v>
      </c>
      <c r="R29" s="735" t="s">
        <v>681</v>
      </c>
      <c r="S29" s="736" t="s">
        <v>681</v>
      </c>
      <c r="T29" s="737">
        <v>2018</v>
      </c>
      <c r="V29" s="706"/>
      <c r="X29" s="717"/>
    </row>
    <row r="30" spans="1:24" ht="15" x14ac:dyDescent="0.25">
      <c r="A30" s="738" t="s">
        <v>999</v>
      </c>
      <c r="B30" s="719">
        <v>176</v>
      </c>
      <c r="C30" s="719">
        <v>17</v>
      </c>
      <c r="D30" s="720">
        <f>10490*B30*1.21</f>
        <v>2233950.4</v>
      </c>
      <c r="E30" s="720">
        <v>0</v>
      </c>
      <c r="F30" s="720">
        <v>550000</v>
      </c>
      <c r="G30" s="720">
        <f t="shared" si="0"/>
        <v>2233950.4</v>
      </c>
      <c r="H30" s="720">
        <f t="shared" si="1"/>
        <v>550000</v>
      </c>
      <c r="I30" s="726" t="s">
        <v>679</v>
      </c>
      <c r="J30" s="722" t="s">
        <v>670</v>
      </c>
      <c r="K30" s="722" t="s">
        <v>670</v>
      </c>
      <c r="L30" s="722" t="s">
        <v>670</v>
      </c>
      <c r="M30" s="727" t="s">
        <v>690</v>
      </c>
      <c r="N30" s="722" t="s">
        <v>670</v>
      </c>
      <c r="O30" s="724" t="s">
        <v>706</v>
      </c>
      <c r="P30" s="724" t="s">
        <v>681</v>
      </c>
      <c r="Q30" s="724" t="s">
        <v>681</v>
      </c>
      <c r="R30" s="724" t="s">
        <v>681</v>
      </c>
      <c r="S30" s="725" t="s">
        <v>681</v>
      </c>
      <c r="T30" s="723">
        <v>2017</v>
      </c>
      <c r="V30" s="706"/>
      <c r="X30" s="717"/>
    </row>
    <row r="31" spans="1:24" ht="15" x14ac:dyDescent="0.25">
      <c r="A31" s="738" t="s">
        <v>714</v>
      </c>
      <c r="B31" s="719">
        <v>174</v>
      </c>
      <c r="C31" s="719">
        <v>17</v>
      </c>
      <c r="D31" s="720">
        <f>10490*B31*1.21</f>
        <v>2208564.6</v>
      </c>
      <c r="E31" s="720">
        <v>0</v>
      </c>
      <c r="F31" s="720">
        <v>480000</v>
      </c>
      <c r="G31" s="720">
        <f>D31-E31</f>
        <v>2208564.6</v>
      </c>
      <c r="H31" s="720">
        <f t="shared" si="1"/>
        <v>480000</v>
      </c>
      <c r="I31" s="726" t="s">
        <v>679</v>
      </c>
      <c r="J31" s="722" t="s">
        <v>670</v>
      </c>
      <c r="K31" s="722" t="s">
        <v>670</v>
      </c>
      <c r="L31" s="722" t="s">
        <v>670</v>
      </c>
      <c r="M31" s="727" t="s">
        <v>690</v>
      </c>
      <c r="N31" s="722" t="s">
        <v>670</v>
      </c>
      <c r="O31" s="724" t="s">
        <v>706</v>
      </c>
      <c r="P31" s="724" t="s">
        <v>681</v>
      </c>
      <c r="Q31" s="724" t="s">
        <v>681</v>
      </c>
      <c r="R31" s="724" t="s">
        <v>681</v>
      </c>
      <c r="S31" s="725" t="s">
        <v>681</v>
      </c>
      <c r="T31" s="723">
        <v>2017</v>
      </c>
      <c r="V31" s="706"/>
      <c r="X31" s="717"/>
    </row>
    <row r="32" spans="1:24" ht="15" x14ac:dyDescent="0.25">
      <c r="A32" s="738" t="s">
        <v>1000</v>
      </c>
      <c r="B32" s="719">
        <v>100</v>
      </c>
      <c r="C32" s="719">
        <v>16</v>
      </c>
      <c r="D32" s="720">
        <f>9150*B32*1.21</f>
        <v>1107150</v>
      </c>
      <c r="E32" s="720">
        <v>0</v>
      </c>
      <c r="F32" s="720">
        <v>211000</v>
      </c>
      <c r="G32" s="720">
        <f>D32-E32</f>
        <v>1107150</v>
      </c>
      <c r="H32" s="720">
        <f t="shared" si="1"/>
        <v>211000</v>
      </c>
      <c r="I32" s="726" t="s">
        <v>679</v>
      </c>
      <c r="J32" s="722" t="s">
        <v>670</v>
      </c>
      <c r="K32" s="722" t="s">
        <v>670</v>
      </c>
      <c r="L32" s="722" t="s">
        <v>670</v>
      </c>
      <c r="M32" s="727" t="s">
        <v>690</v>
      </c>
      <c r="N32" s="722" t="s">
        <v>670</v>
      </c>
      <c r="O32" s="724" t="s">
        <v>706</v>
      </c>
      <c r="P32" s="724" t="s">
        <v>681</v>
      </c>
      <c r="Q32" s="724" t="s">
        <v>681</v>
      </c>
      <c r="R32" s="724" t="s">
        <v>681</v>
      </c>
      <c r="S32" s="725" t="s">
        <v>681</v>
      </c>
      <c r="T32" s="723">
        <v>2017</v>
      </c>
      <c r="V32" s="706"/>
      <c r="X32" s="717"/>
    </row>
    <row r="33" spans="1:24" ht="15" x14ac:dyDescent="0.25">
      <c r="A33" s="738" t="s">
        <v>1001</v>
      </c>
      <c r="B33" s="719">
        <v>286</v>
      </c>
      <c r="C33" s="719">
        <v>7</v>
      </c>
      <c r="D33" s="720">
        <f>5490*1.21*B33</f>
        <v>1899869.4</v>
      </c>
      <c r="E33" s="720">
        <v>0</v>
      </c>
      <c r="F33" s="720">
        <v>1050000</v>
      </c>
      <c r="G33" s="720">
        <f>D33-E33</f>
        <v>1899869.4</v>
      </c>
      <c r="H33" s="720">
        <f t="shared" si="1"/>
        <v>1050000</v>
      </c>
      <c r="I33" s="726" t="s">
        <v>679</v>
      </c>
      <c r="J33" s="722" t="s">
        <v>670</v>
      </c>
      <c r="K33" s="722" t="s">
        <v>670</v>
      </c>
      <c r="L33" s="722" t="s">
        <v>670</v>
      </c>
      <c r="M33" s="727" t="s">
        <v>690</v>
      </c>
      <c r="N33" s="722" t="s">
        <v>670</v>
      </c>
      <c r="O33" s="724" t="s">
        <v>706</v>
      </c>
      <c r="P33" s="724" t="s">
        <v>681</v>
      </c>
      <c r="Q33" s="724" t="s">
        <v>681</v>
      </c>
      <c r="R33" s="724" t="s">
        <v>681</v>
      </c>
      <c r="S33" s="725" t="s">
        <v>681</v>
      </c>
      <c r="T33" s="723">
        <v>2017</v>
      </c>
      <c r="V33" s="706"/>
      <c r="X33" s="717"/>
    </row>
    <row r="34" spans="1:24" ht="15" x14ac:dyDescent="0.25">
      <c r="A34" s="728" t="s">
        <v>693</v>
      </c>
      <c r="B34" s="729">
        <v>372</v>
      </c>
      <c r="C34" s="729">
        <v>12</v>
      </c>
      <c r="D34" s="731">
        <v>8400000</v>
      </c>
      <c r="E34" s="731">
        <v>0</v>
      </c>
      <c r="F34" s="731">
        <v>1380000</v>
      </c>
      <c r="G34" s="731">
        <f>D34-E34</f>
        <v>8400000</v>
      </c>
      <c r="H34" s="731">
        <f t="shared" si="1"/>
        <v>1380000</v>
      </c>
      <c r="I34" s="732" t="s">
        <v>679</v>
      </c>
      <c r="J34" s="733" t="s">
        <v>670</v>
      </c>
      <c r="K34" s="733" t="s">
        <v>670</v>
      </c>
      <c r="L34" s="733" t="s">
        <v>670</v>
      </c>
      <c r="M34" s="734" t="s">
        <v>690</v>
      </c>
      <c r="N34" s="733" t="s">
        <v>670</v>
      </c>
      <c r="O34" s="735" t="s">
        <v>706</v>
      </c>
      <c r="P34" s="735" t="s">
        <v>681</v>
      </c>
      <c r="Q34" s="735" t="s">
        <v>681</v>
      </c>
      <c r="R34" s="735" t="s">
        <v>681</v>
      </c>
      <c r="S34" s="736" t="s">
        <v>681</v>
      </c>
      <c r="T34" s="737">
        <v>2018</v>
      </c>
      <c r="V34" s="706"/>
      <c r="X34" s="717"/>
    </row>
    <row r="35" spans="1:24" ht="15" x14ac:dyDescent="0.25">
      <c r="A35" s="738" t="s">
        <v>1002</v>
      </c>
      <c r="B35" s="719">
        <v>70</v>
      </c>
      <c r="C35" s="719">
        <v>17</v>
      </c>
      <c r="D35" s="720">
        <f>10490*B35*1.21</f>
        <v>888503</v>
      </c>
      <c r="E35" s="720">
        <v>0</v>
      </c>
      <c r="F35" s="720">
        <v>80000</v>
      </c>
      <c r="G35" s="720">
        <f>D35-E35</f>
        <v>888503</v>
      </c>
      <c r="H35" s="720">
        <f t="shared" si="1"/>
        <v>80000</v>
      </c>
      <c r="I35" s="726" t="s">
        <v>679</v>
      </c>
      <c r="J35" s="722" t="s">
        <v>670</v>
      </c>
      <c r="K35" s="722" t="s">
        <v>670</v>
      </c>
      <c r="L35" s="722" t="s">
        <v>670</v>
      </c>
      <c r="M35" s="727" t="s">
        <v>690</v>
      </c>
      <c r="N35" s="722" t="s">
        <v>670</v>
      </c>
      <c r="O35" s="724" t="s">
        <v>706</v>
      </c>
      <c r="P35" s="724" t="s">
        <v>681</v>
      </c>
      <c r="Q35" s="724" t="s">
        <v>681</v>
      </c>
      <c r="R35" s="724" t="s">
        <v>681</v>
      </c>
      <c r="S35" s="725" t="s">
        <v>681</v>
      </c>
      <c r="T35" s="723">
        <v>2017</v>
      </c>
      <c r="V35" s="706"/>
      <c r="X35" s="717"/>
    </row>
    <row r="36" spans="1:24" ht="15" x14ac:dyDescent="0.25">
      <c r="A36" s="739" t="s">
        <v>675</v>
      </c>
      <c r="B36" s="729">
        <v>500</v>
      </c>
      <c r="C36" s="729">
        <v>1</v>
      </c>
      <c r="D36" s="740">
        <v>6700000</v>
      </c>
      <c r="E36" s="731">
        <f>0*D36</f>
        <v>0</v>
      </c>
      <c r="F36" s="731">
        <v>6700000</v>
      </c>
      <c r="G36" s="731">
        <f t="shared" si="0"/>
        <v>6700000</v>
      </c>
      <c r="H36" s="731">
        <f t="shared" si="1"/>
        <v>6700000</v>
      </c>
      <c r="I36" s="741" t="s">
        <v>669</v>
      </c>
      <c r="J36" s="733" t="s">
        <v>670</v>
      </c>
      <c r="K36" s="733" t="s">
        <v>670</v>
      </c>
      <c r="L36" s="733" t="s">
        <v>670</v>
      </c>
      <c r="M36" s="733" t="s">
        <v>670</v>
      </c>
      <c r="N36" s="733" t="s">
        <v>670</v>
      </c>
      <c r="O36" s="741" t="s">
        <v>671</v>
      </c>
      <c r="P36" s="741" t="s">
        <v>672</v>
      </c>
      <c r="Q36" s="741" t="s">
        <v>672</v>
      </c>
      <c r="R36" s="741" t="s">
        <v>672</v>
      </c>
      <c r="S36" s="737" t="s">
        <v>672</v>
      </c>
      <c r="T36" s="737">
        <v>2018</v>
      </c>
      <c r="V36" s="706" t="s">
        <v>676</v>
      </c>
      <c r="X36" s="717" t="s">
        <v>677</v>
      </c>
    </row>
    <row r="37" spans="1:24" ht="15" x14ac:dyDescent="0.25">
      <c r="A37" s="742" t="s">
        <v>678</v>
      </c>
      <c r="B37" s="743">
        <v>97</v>
      </c>
      <c r="C37" s="743">
        <v>7</v>
      </c>
      <c r="D37" s="744">
        <v>1400000</v>
      </c>
      <c r="E37" s="720">
        <f t="shared" ref="E37:E56" si="2">0*D37</f>
        <v>0</v>
      </c>
      <c r="F37" s="744">
        <v>1400000</v>
      </c>
      <c r="G37" s="720">
        <f t="shared" si="0"/>
        <v>1400000</v>
      </c>
      <c r="H37" s="720">
        <f t="shared" si="1"/>
        <v>1400000</v>
      </c>
      <c r="I37" s="726" t="s">
        <v>679</v>
      </c>
      <c r="J37" s="745" t="s">
        <v>670</v>
      </c>
      <c r="K37" s="745" t="s">
        <v>670</v>
      </c>
      <c r="L37" s="745" t="s">
        <v>670</v>
      </c>
      <c r="M37" s="745" t="s">
        <v>670</v>
      </c>
      <c r="N37" s="745" t="s">
        <v>670</v>
      </c>
      <c r="O37" s="726" t="s">
        <v>680</v>
      </c>
      <c r="P37" s="726" t="s">
        <v>672</v>
      </c>
      <c r="Q37" s="746" t="s">
        <v>681</v>
      </c>
      <c r="R37" s="746" t="s">
        <v>681</v>
      </c>
      <c r="S37" s="747" t="s">
        <v>681</v>
      </c>
      <c r="T37" s="748">
        <v>2017</v>
      </c>
      <c r="V37" s="706" t="s">
        <v>682</v>
      </c>
      <c r="X37" s="717" t="s">
        <v>683</v>
      </c>
    </row>
    <row r="38" spans="1:24" ht="15" x14ac:dyDescent="0.25">
      <c r="A38" s="742" t="s">
        <v>684</v>
      </c>
      <c r="B38" s="743">
        <v>332</v>
      </c>
      <c r="C38" s="743">
        <v>17</v>
      </c>
      <c r="D38" s="744">
        <v>4200000</v>
      </c>
      <c r="E38" s="720">
        <f t="shared" si="2"/>
        <v>0</v>
      </c>
      <c r="F38" s="744">
        <v>1500000</v>
      </c>
      <c r="G38" s="720">
        <f t="shared" si="0"/>
        <v>4200000</v>
      </c>
      <c r="H38" s="720">
        <f t="shared" si="1"/>
        <v>1500000</v>
      </c>
      <c r="I38" s="726" t="s">
        <v>685</v>
      </c>
      <c r="J38" s="745" t="s">
        <v>670</v>
      </c>
      <c r="K38" s="745" t="s">
        <v>670</v>
      </c>
      <c r="L38" s="745" t="s">
        <v>670</v>
      </c>
      <c r="M38" s="745" t="s">
        <v>670</v>
      </c>
      <c r="N38" s="745" t="s">
        <v>670</v>
      </c>
      <c r="O38" s="726" t="s">
        <v>680</v>
      </c>
      <c r="P38" s="726" t="s">
        <v>672</v>
      </c>
      <c r="Q38" s="746" t="s">
        <v>681</v>
      </c>
      <c r="R38" s="746" t="s">
        <v>681</v>
      </c>
      <c r="S38" s="747" t="s">
        <v>681</v>
      </c>
      <c r="T38" s="748">
        <v>2018</v>
      </c>
      <c r="V38" s="706" t="s">
        <v>686</v>
      </c>
      <c r="X38" s="717" t="s">
        <v>687</v>
      </c>
    </row>
    <row r="39" spans="1:24" ht="15" x14ac:dyDescent="0.25">
      <c r="A39" s="749" t="s">
        <v>688</v>
      </c>
      <c r="B39" s="730">
        <v>95</v>
      </c>
      <c r="C39" s="730">
        <v>12</v>
      </c>
      <c r="D39" s="740">
        <v>1500000</v>
      </c>
      <c r="E39" s="731">
        <f t="shared" si="2"/>
        <v>0</v>
      </c>
      <c r="F39" s="740">
        <v>500000</v>
      </c>
      <c r="G39" s="731">
        <f t="shared" si="0"/>
        <v>1500000</v>
      </c>
      <c r="H39" s="731">
        <f t="shared" si="1"/>
        <v>500000</v>
      </c>
      <c r="I39" s="732" t="s">
        <v>689</v>
      </c>
      <c r="J39" s="750" t="s">
        <v>670</v>
      </c>
      <c r="K39" s="750" t="s">
        <v>670</v>
      </c>
      <c r="L39" s="750" t="s">
        <v>670</v>
      </c>
      <c r="M39" s="751" t="s">
        <v>690</v>
      </c>
      <c r="N39" s="750" t="s">
        <v>670</v>
      </c>
      <c r="O39" s="732" t="s">
        <v>680</v>
      </c>
      <c r="P39" s="732" t="s">
        <v>672</v>
      </c>
      <c r="Q39" s="752" t="s">
        <v>681</v>
      </c>
      <c r="R39" s="752" t="s">
        <v>681</v>
      </c>
      <c r="S39" s="753" t="s">
        <v>681</v>
      </c>
      <c r="T39" s="754">
        <v>2018</v>
      </c>
      <c r="V39" s="706" t="s">
        <v>691</v>
      </c>
      <c r="X39" s="717" t="s">
        <v>692</v>
      </c>
    </row>
    <row r="40" spans="1:24" ht="15" x14ac:dyDescent="0.25">
      <c r="A40" s="742" t="s">
        <v>694</v>
      </c>
      <c r="B40" s="743">
        <v>380</v>
      </c>
      <c r="C40" s="743">
        <v>12</v>
      </c>
      <c r="D40" s="744">
        <v>5900000</v>
      </c>
      <c r="E40" s="720">
        <f t="shared" si="2"/>
        <v>0</v>
      </c>
      <c r="F40" s="744">
        <v>370000</v>
      </c>
      <c r="G40" s="720">
        <f t="shared" si="0"/>
        <v>5900000</v>
      </c>
      <c r="H40" s="720">
        <f t="shared" si="1"/>
        <v>370000</v>
      </c>
      <c r="I40" s="726" t="s">
        <v>695</v>
      </c>
      <c r="J40" s="745" t="s">
        <v>670</v>
      </c>
      <c r="K40" s="745" t="s">
        <v>670</v>
      </c>
      <c r="L40" s="745" t="s">
        <v>670</v>
      </c>
      <c r="M40" s="755" t="s">
        <v>690</v>
      </c>
      <c r="N40" s="755" t="s">
        <v>690</v>
      </c>
      <c r="O40" s="726" t="s">
        <v>680</v>
      </c>
      <c r="P40" s="726" t="s">
        <v>672</v>
      </c>
      <c r="Q40" s="746" t="s">
        <v>681</v>
      </c>
      <c r="R40" s="746" t="s">
        <v>681</v>
      </c>
      <c r="S40" s="747" t="s">
        <v>681</v>
      </c>
      <c r="T40" s="748">
        <v>2017</v>
      </c>
      <c r="V40" s="706" t="s">
        <v>217</v>
      </c>
      <c r="X40" s="717" t="s">
        <v>696</v>
      </c>
    </row>
    <row r="41" spans="1:24" ht="15" x14ac:dyDescent="0.25">
      <c r="A41" s="756" t="s">
        <v>697</v>
      </c>
      <c r="B41" s="757">
        <v>132</v>
      </c>
      <c r="C41" s="757">
        <v>12</v>
      </c>
      <c r="D41" s="758">
        <v>2000000</v>
      </c>
      <c r="E41" s="759">
        <f t="shared" si="2"/>
        <v>0</v>
      </c>
      <c r="F41" s="758">
        <v>500000</v>
      </c>
      <c r="G41" s="759">
        <f t="shared" si="0"/>
        <v>2000000</v>
      </c>
      <c r="H41" s="759">
        <f t="shared" si="1"/>
        <v>500000</v>
      </c>
      <c r="I41" s="760" t="s">
        <v>679</v>
      </c>
      <c r="J41" s="761" t="s">
        <v>670</v>
      </c>
      <c r="K41" s="761" t="s">
        <v>670</v>
      </c>
      <c r="L41" s="761" t="s">
        <v>670</v>
      </c>
      <c r="M41" s="761" t="s">
        <v>670</v>
      </c>
      <c r="N41" s="761" t="s">
        <v>670</v>
      </c>
      <c r="O41" s="760" t="s">
        <v>680</v>
      </c>
      <c r="P41" s="760" t="s">
        <v>672</v>
      </c>
      <c r="Q41" s="762" t="s">
        <v>681</v>
      </c>
      <c r="R41" s="762" t="s">
        <v>681</v>
      </c>
      <c r="S41" s="763" t="s">
        <v>681</v>
      </c>
      <c r="T41" s="764">
        <v>2016</v>
      </c>
    </row>
    <row r="42" spans="1:24" ht="15" x14ac:dyDescent="0.25">
      <c r="A42" s="756" t="s">
        <v>698</v>
      </c>
      <c r="B42" s="757">
        <v>168</v>
      </c>
      <c r="C42" s="757">
        <v>9</v>
      </c>
      <c r="D42" s="758">
        <v>2650000</v>
      </c>
      <c r="E42" s="759">
        <f t="shared" si="2"/>
        <v>0</v>
      </c>
      <c r="F42" s="758">
        <v>500000</v>
      </c>
      <c r="G42" s="759">
        <f t="shared" si="0"/>
        <v>2650000</v>
      </c>
      <c r="H42" s="759">
        <f t="shared" si="1"/>
        <v>500000</v>
      </c>
      <c r="I42" s="760" t="s">
        <v>699</v>
      </c>
      <c r="J42" s="761" t="s">
        <v>670</v>
      </c>
      <c r="K42" s="761" t="s">
        <v>670</v>
      </c>
      <c r="L42" s="761" t="s">
        <v>670</v>
      </c>
      <c r="M42" s="765" t="s">
        <v>690</v>
      </c>
      <c r="N42" s="761" t="s">
        <v>670</v>
      </c>
      <c r="O42" s="760" t="s">
        <v>680</v>
      </c>
      <c r="P42" s="760" t="s">
        <v>672</v>
      </c>
      <c r="Q42" s="762" t="s">
        <v>681</v>
      </c>
      <c r="R42" s="762" t="s">
        <v>681</v>
      </c>
      <c r="S42" s="763" t="s">
        <v>681</v>
      </c>
      <c r="T42" s="764">
        <v>2016</v>
      </c>
    </row>
    <row r="43" spans="1:24" ht="15" x14ac:dyDescent="0.25">
      <c r="A43" s="749" t="s">
        <v>700</v>
      </c>
      <c r="B43" s="730">
        <v>825</v>
      </c>
      <c r="C43" s="730">
        <v>12</v>
      </c>
      <c r="D43" s="740">
        <v>17000000</v>
      </c>
      <c r="E43" s="731">
        <f t="shared" si="2"/>
        <v>0</v>
      </c>
      <c r="F43" s="740">
        <v>1917000</v>
      </c>
      <c r="G43" s="731">
        <f t="shared" si="0"/>
        <v>17000000</v>
      </c>
      <c r="H43" s="731">
        <f t="shared" si="1"/>
        <v>1917000</v>
      </c>
      <c r="I43" s="732" t="s">
        <v>695</v>
      </c>
      <c r="J43" s="750" t="s">
        <v>670</v>
      </c>
      <c r="K43" s="750" t="s">
        <v>670</v>
      </c>
      <c r="L43" s="750" t="s">
        <v>670</v>
      </c>
      <c r="M43" s="751" t="s">
        <v>701</v>
      </c>
      <c r="N43" s="750" t="s">
        <v>670</v>
      </c>
      <c r="O43" s="732" t="s">
        <v>702</v>
      </c>
      <c r="P43" s="732" t="s">
        <v>672</v>
      </c>
      <c r="Q43" s="732" t="s">
        <v>703</v>
      </c>
      <c r="R43" s="752" t="s">
        <v>681</v>
      </c>
      <c r="S43" s="753" t="s">
        <v>681</v>
      </c>
      <c r="T43" s="754">
        <v>2018</v>
      </c>
    </row>
    <row r="44" spans="1:24" ht="15" x14ac:dyDescent="0.25">
      <c r="A44" s="742" t="s">
        <v>704</v>
      </c>
      <c r="B44" s="743">
        <v>93</v>
      </c>
      <c r="C44" s="743">
        <v>12</v>
      </c>
      <c r="D44" s="744">
        <v>4000000</v>
      </c>
      <c r="E44" s="720">
        <f t="shared" si="2"/>
        <v>0</v>
      </c>
      <c r="F44" s="744">
        <f>D44</f>
        <v>4000000</v>
      </c>
      <c r="G44" s="720">
        <f t="shared" si="0"/>
        <v>4000000</v>
      </c>
      <c r="H44" s="720">
        <f t="shared" si="1"/>
        <v>4000000</v>
      </c>
      <c r="I44" s="726" t="s">
        <v>679</v>
      </c>
      <c r="J44" s="745" t="s">
        <v>670</v>
      </c>
      <c r="K44" s="745" t="s">
        <v>670</v>
      </c>
      <c r="L44" s="766" t="s">
        <v>670</v>
      </c>
      <c r="M44" s="755" t="s">
        <v>690</v>
      </c>
      <c r="N44" s="745" t="s">
        <v>670</v>
      </c>
      <c r="O44" s="726" t="s">
        <v>702</v>
      </c>
      <c r="P44" s="726" t="s">
        <v>672</v>
      </c>
      <c r="Q44" s="726" t="s">
        <v>672</v>
      </c>
      <c r="R44" s="726" t="s">
        <v>703</v>
      </c>
      <c r="S44" s="747" t="s">
        <v>681</v>
      </c>
      <c r="T44" s="748">
        <v>2016</v>
      </c>
    </row>
    <row r="45" spans="1:24" ht="15" x14ac:dyDescent="0.25">
      <c r="A45" s="749" t="s">
        <v>1003</v>
      </c>
      <c r="B45" s="730">
        <v>348</v>
      </c>
      <c r="C45" s="730">
        <v>13</v>
      </c>
      <c r="D45" s="740">
        <f>15940*B45*1.21</f>
        <v>6712015.2000000002</v>
      </c>
      <c r="E45" s="731">
        <f t="shared" si="2"/>
        <v>0</v>
      </c>
      <c r="F45" s="740">
        <v>1250000</v>
      </c>
      <c r="G45" s="731">
        <f>D45-E45</f>
        <v>6712015.2000000002</v>
      </c>
      <c r="H45" s="731">
        <f>F45-E45</f>
        <v>1250000</v>
      </c>
      <c r="I45" s="732" t="s">
        <v>1004</v>
      </c>
      <c r="J45" s="750" t="s">
        <v>670</v>
      </c>
      <c r="K45" s="750" t="s">
        <v>670</v>
      </c>
      <c r="L45" s="767" t="s">
        <v>670</v>
      </c>
      <c r="M45" s="751" t="s">
        <v>690</v>
      </c>
      <c r="N45" s="751" t="s">
        <v>690</v>
      </c>
      <c r="O45" s="752" t="s">
        <v>706</v>
      </c>
      <c r="P45" s="752" t="s">
        <v>681</v>
      </c>
      <c r="Q45" s="752" t="s">
        <v>681</v>
      </c>
      <c r="R45" s="752" t="s">
        <v>681</v>
      </c>
      <c r="S45" s="752" t="s">
        <v>681</v>
      </c>
      <c r="T45" s="754">
        <v>2018</v>
      </c>
    </row>
    <row r="46" spans="1:24" ht="15" x14ac:dyDescent="0.25">
      <c r="A46" s="742" t="s">
        <v>1005</v>
      </c>
      <c r="B46" s="743">
        <v>180</v>
      </c>
      <c r="C46" s="743">
        <v>12</v>
      </c>
      <c r="D46" s="720">
        <f>B46*1.21*12900</f>
        <v>2809620</v>
      </c>
      <c r="E46" s="720">
        <f t="shared" si="2"/>
        <v>0</v>
      </c>
      <c r="F46" s="744">
        <v>480000</v>
      </c>
      <c r="G46" s="720">
        <f>D46-E46</f>
        <v>2809620</v>
      </c>
      <c r="H46" s="720">
        <f>F46-E46</f>
        <v>480000</v>
      </c>
      <c r="I46" s="726" t="s">
        <v>679</v>
      </c>
      <c r="J46" s="745" t="s">
        <v>670</v>
      </c>
      <c r="K46" s="745" t="s">
        <v>670</v>
      </c>
      <c r="L46" s="766" t="s">
        <v>670</v>
      </c>
      <c r="M46" s="755" t="s">
        <v>690</v>
      </c>
      <c r="N46" s="755" t="s">
        <v>690</v>
      </c>
      <c r="O46" s="746" t="s">
        <v>706</v>
      </c>
      <c r="P46" s="746" t="s">
        <v>681</v>
      </c>
      <c r="Q46" s="746" t="s">
        <v>681</v>
      </c>
      <c r="R46" s="746" t="s">
        <v>681</v>
      </c>
      <c r="S46" s="746" t="s">
        <v>681</v>
      </c>
      <c r="T46" s="748">
        <v>2017</v>
      </c>
    </row>
    <row r="47" spans="1:24" ht="15" x14ac:dyDescent="0.25">
      <c r="A47" s="749" t="s">
        <v>1006</v>
      </c>
      <c r="B47" s="730">
        <v>172</v>
      </c>
      <c r="C47" s="730">
        <v>12</v>
      </c>
      <c r="D47" s="731">
        <f>B47*1.21*12900</f>
        <v>2684748</v>
      </c>
      <c r="E47" s="731">
        <f t="shared" si="2"/>
        <v>0</v>
      </c>
      <c r="F47" s="740">
        <v>450000</v>
      </c>
      <c r="G47" s="731">
        <f>D47-E47</f>
        <v>2684748</v>
      </c>
      <c r="H47" s="731">
        <f>F47-E47</f>
        <v>450000</v>
      </c>
      <c r="I47" s="732" t="s">
        <v>679</v>
      </c>
      <c r="J47" s="750" t="s">
        <v>670</v>
      </c>
      <c r="K47" s="750" t="s">
        <v>670</v>
      </c>
      <c r="L47" s="767" t="s">
        <v>670</v>
      </c>
      <c r="M47" s="751" t="s">
        <v>690</v>
      </c>
      <c r="N47" s="751" t="s">
        <v>690</v>
      </c>
      <c r="O47" s="752" t="s">
        <v>706</v>
      </c>
      <c r="P47" s="752" t="s">
        <v>681</v>
      </c>
      <c r="Q47" s="752" t="s">
        <v>681</v>
      </c>
      <c r="R47" s="752" t="s">
        <v>681</v>
      </c>
      <c r="S47" s="752" t="s">
        <v>681</v>
      </c>
      <c r="T47" s="754">
        <v>2018</v>
      </c>
    </row>
    <row r="48" spans="1:24" ht="15" x14ac:dyDescent="0.25">
      <c r="A48" s="749" t="s">
        <v>705</v>
      </c>
      <c r="B48" s="730">
        <v>520</v>
      </c>
      <c r="C48" s="730">
        <v>13</v>
      </c>
      <c r="D48" s="740">
        <v>9800000</v>
      </c>
      <c r="E48" s="731">
        <f t="shared" si="2"/>
        <v>0</v>
      </c>
      <c r="F48" s="740">
        <v>1500000</v>
      </c>
      <c r="G48" s="731">
        <f t="shared" si="0"/>
        <v>9800000</v>
      </c>
      <c r="H48" s="731">
        <f t="shared" si="1"/>
        <v>1500000</v>
      </c>
      <c r="I48" s="732" t="s">
        <v>679</v>
      </c>
      <c r="J48" s="750" t="s">
        <v>670</v>
      </c>
      <c r="K48" s="750" t="s">
        <v>670</v>
      </c>
      <c r="L48" s="750" t="s">
        <v>670</v>
      </c>
      <c r="M48" s="750" t="s">
        <v>670</v>
      </c>
      <c r="N48" s="751" t="s">
        <v>690</v>
      </c>
      <c r="O48" s="752" t="s">
        <v>706</v>
      </c>
      <c r="P48" s="752" t="s">
        <v>681</v>
      </c>
      <c r="Q48" s="752" t="s">
        <v>681</v>
      </c>
      <c r="R48" s="752" t="s">
        <v>681</v>
      </c>
      <c r="S48" s="753" t="s">
        <v>681</v>
      </c>
      <c r="T48" s="754">
        <v>2018</v>
      </c>
    </row>
    <row r="49" spans="1:20" ht="15" x14ac:dyDescent="0.25">
      <c r="A49" s="742" t="s">
        <v>707</v>
      </c>
      <c r="B49" s="743">
        <v>323</v>
      </c>
      <c r="C49" s="743">
        <v>12</v>
      </c>
      <c r="D49" s="744">
        <v>5000000</v>
      </c>
      <c r="E49" s="720">
        <f t="shared" si="2"/>
        <v>0</v>
      </c>
      <c r="F49" s="744">
        <v>1250000</v>
      </c>
      <c r="G49" s="720">
        <f t="shared" si="0"/>
        <v>5000000</v>
      </c>
      <c r="H49" s="720">
        <f t="shared" si="1"/>
        <v>1250000</v>
      </c>
      <c r="I49" s="726" t="s">
        <v>679</v>
      </c>
      <c r="J49" s="745" t="s">
        <v>670</v>
      </c>
      <c r="K49" s="745" t="s">
        <v>670</v>
      </c>
      <c r="L49" s="745" t="s">
        <v>670</v>
      </c>
      <c r="M49" s="745" t="s">
        <v>670</v>
      </c>
      <c r="N49" s="745" t="s">
        <v>670</v>
      </c>
      <c r="O49" s="746" t="s">
        <v>706</v>
      </c>
      <c r="P49" s="746" t="s">
        <v>681</v>
      </c>
      <c r="Q49" s="746" t="s">
        <v>681</v>
      </c>
      <c r="R49" s="746" t="s">
        <v>681</v>
      </c>
      <c r="S49" s="747" t="s">
        <v>681</v>
      </c>
      <c r="T49" s="748">
        <v>2017</v>
      </c>
    </row>
    <row r="50" spans="1:20" ht="15" x14ac:dyDescent="0.25">
      <c r="A50" s="742" t="s">
        <v>708</v>
      </c>
      <c r="B50" s="743">
        <v>218</v>
      </c>
      <c r="C50" s="743">
        <v>7</v>
      </c>
      <c r="D50" s="744">
        <v>1450000</v>
      </c>
      <c r="E50" s="720">
        <f t="shared" si="2"/>
        <v>0</v>
      </c>
      <c r="F50" s="744">
        <f>D50</f>
        <v>1450000</v>
      </c>
      <c r="G50" s="720">
        <f t="shared" si="0"/>
        <v>1450000</v>
      </c>
      <c r="H50" s="720">
        <f t="shared" si="1"/>
        <v>1450000</v>
      </c>
      <c r="I50" s="726" t="s">
        <v>679</v>
      </c>
      <c r="J50" s="745" t="s">
        <v>670</v>
      </c>
      <c r="K50" s="745" t="s">
        <v>670</v>
      </c>
      <c r="L50" s="755" t="s">
        <v>709</v>
      </c>
      <c r="M50" s="745" t="s">
        <v>670</v>
      </c>
      <c r="N50" s="745" t="s">
        <v>670</v>
      </c>
      <c r="O50" s="746" t="s">
        <v>706</v>
      </c>
      <c r="P50" s="746" t="s">
        <v>681</v>
      </c>
      <c r="Q50" s="746" t="s">
        <v>681</v>
      </c>
      <c r="R50" s="746" t="s">
        <v>681</v>
      </c>
      <c r="S50" s="747" t="s">
        <v>681</v>
      </c>
      <c r="T50" s="748">
        <v>2017</v>
      </c>
    </row>
    <row r="51" spans="1:20" ht="15" x14ac:dyDescent="0.25">
      <c r="A51" s="768" t="s">
        <v>710</v>
      </c>
      <c r="B51" s="769">
        <v>214</v>
      </c>
      <c r="C51" s="769">
        <v>12</v>
      </c>
      <c r="D51" s="770">
        <v>0</v>
      </c>
      <c r="E51" s="771">
        <f t="shared" si="2"/>
        <v>0</v>
      </c>
      <c r="F51" s="770">
        <v>0</v>
      </c>
      <c r="G51" s="771">
        <f t="shared" si="0"/>
        <v>0</v>
      </c>
      <c r="H51" s="771">
        <f t="shared" si="1"/>
        <v>0</v>
      </c>
      <c r="I51" s="772" t="s">
        <v>679</v>
      </c>
      <c r="J51" s="773" t="s">
        <v>670</v>
      </c>
      <c r="K51" s="773" t="s">
        <v>670</v>
      </c>
      <c r="L51" s="773" t="s">
        <v>670</v>
      </c>
      <c r="M51" s="774" t="s">
        <v>690</v>
      </c>
      <c r="N51" s="773" t="s">
        <v>670</v>
      </c>
      <c r="O51" s="772" t="s">
        <v>702</v>
      </c>
      <c r="P51" s="772" t="s">
        <v>672</v>
      </c>
      <c r="Q51" s="772" t="s">
        <v>681</v>
      </c>
      <c r="R51" s="772" t="s">
        <v>681</v>
      </c>
      <c r="S51" s="775" t="s">
        <v>681</v>
      </c>
      <c r="T51" s="753">
        <v>2016</v>
      </c>
    </row>
    <row r="52" spans="1:20" ht="15" x14ac:dyDescent="0.25">
      <c r="A52" s="742" t="s">
        <v>711</v>
      </c>
      <c r="B52" s="743">
        <v>148</v>
      </c>
      <c r="C52" s="743">
        <v>17</v>
      </c>
      <c r="D52" s="744">
        <v>1900000</v>
      </c>
      <c r="E52" s="720">
        <f t="shared" si="2"/>
        <v>0</v>
      </c>
      <c r="F52" s="744">
        <v>500000</v>
      </c>
      <c r="G52" s="720">
        <f t="shared" si="0"/>
        <v>1900000</v>
      </c>
      <c r="H52" s="720">
        <f t="shared" si="1"/>
        <v>500000</v>
      </c>
      <c r="I52" s="726" t="s">
        <v>673</v>
      </c>
      <c r="J52" s="745" t="s">
        <v>670</v>
      </c>
      <c r="K52" s="745" t="s">
        <v>670</v>
      </c>
      <c r="L52" s="745" t="s">
        <v>670</v>
      </c>
      <c r="M52" s="745" t="s">
        <v>670</v>
      </c>
      <c r="N52" s="745" t="s">
        <v>670</v>
      </c>
      <c r="O52" s="746" t="s">
        <v>706</v>
      </c>
      <c r="P52" s="746" t="s">
        <v>681</v>
      </c>
      <c r="Q52" s="746" t="s">
        <v>681</v>
      </c>
      <c r="R52" s="746" t="s">
        <v>681</v>
      </c>
      <c r="S52" s="747" t="s">
        <v>681</v>
      </c>
      <c r="T52" s="748">
        <v>2017</v>
      </c>
    </row>
    <row r="53" spans="1:20" ht="15" x14ac:dyDescent="0.25">
      <c r="A53" s="742" t="s">
        <v>712</v>
      </c>
      <c r="B53" s="743">
        <v>147</v>
      </c>
      <c r="C53" s="743">
        <v>17</v>
      </c>
      <c r="D53" s="744">
        <v>1870000</v>
      </c>
      <c r="E53" s="720">
        <f t="shared" si="2"/>
        <v>0</v>
      </c>
      <c r="F53" s="744">
        <v>500000</v>
      </c>
      <c r="G53" s="720">
        <f t="shared" si="0"/>
        <v>1870000</v>
      </c>
      <c r="H53" s="720">
        <f t="shared" si="1"/>
        <v>500000</v>
      </c>
      <c r="I53" s="726" t="s">
        <v>713</v>
      </c>
      <c r="J53" s="745" t="s">
        <v>670</v>
      </c>
      <c r="K53" s="745" t="s">
        <v>670</v>
      </c>
      <c r="L53" s="745" t="s">
        <v>670</v>
      </c>
      <c r="M53" s="745" t="s">
        <v>670</v>
      </c>
      <c r="N53" s="745" t="s">
        <v>670</v>
      </c>
      <c r="O53" s="746" t="s">
        <v>706</v>
      </c>
      <c r="P53" s="746" t="s">
        <v>681</v>
      </c>
      <c r="Q53" s="746" t="s">
        <v>681</v>
      </c>
      <c r="R53" s="746" t="s">
        <v>681</v>
      </c>
      <c r="S53" s="747" t="s">
        <v>681</v>
      </c>
      <c r="T53" s="748">
        <v>2017</v>
      </c>
    </row>
    <row r="54" spans="1:20" ht="15" x14ac:dyDescent="0.25">
      <c r="A54" s="742" t="s">
        <v>714</v>
      </c>
      <c r="B54" s="743">
        <v>174</v>
      </c>
      <c r="C54" s="743">
        <v>17</v>
      </c>
      <c r="D54" s="744">
        <v>2200000</v>
      </c>
      <c r="E54" s="720">
        <f t="shared" si="2"/>
        <v>0</v>
      </c>
      <c r="F54" s="744">
        <v>400000</v>
      </c>
      <c r="G54" s="720">
        <f t="shared" si="0"/>
        <v>2200000</v>
      </c>
      <c r="H54" s="720">
        <f t="shared" si="1"/>
        <v>400000</v>
      </c>
      <c r="I54" s="726" t="s">
        <v>679</v>
      </c>
      <c r="J54" s="745" t="s">
        <v>670</v>
      </c>
      <c r="K54" s="745" t="s">
        <v>670</v>
      </c>
      <c r="L54" s="745" t="s">
        <v>670</v>
      </c>
      <c r="M54" s="745" t="s">
        <v>690</v>
      </c>
      <c r="N54" s="745" t="s">
        <v>670</v>
      </c>
      <c r="O54" s="746" t="s">
        <v>706</v>
      </c>
      <c r="P54" s="746" t="s">
        <v>681</v>
      </c>
      <c r="Q54" s="746" t="s">
        <v>681</v>
      </c>
      <c r="R54" s="746" t="s">
        <v>681</v>
      </c>
      <c r="S54" s="747" t="s">
        <v>681</v>
      </c>
      <c r="T54" s="748">
        <v>2017</v>
      </c>
    </row>
    <row r="55" spans="1:20" ht="15" x14ac:dyDescent="0.25">
      <c r="A55" s="776" t="s">
        <v>715</v>
      </c>
      <c r="B55" s="777">
        <v>409</v>
      </c>
      <c r="C55" s="777">
        <v>13</v>
      </c>
      <c r="D55" s="778">
        <v>7700000</v>
      </c>
      <c r="E55" s="779">
        <f t="shared" si="2"/>
        <v>0</v>
      </c>
      <c r="F55" s="778">
        <v>1200000</v>
      </c>
      <c r="G55" s="779">
        <f t="shared" si="0"/>
        <v>7700000</v>
      </c>
      <c r="H55" s="779">
        <f t="shared" si="1"/>
        <v>1200000</v>
      </c>
      <c r="I55" s="780" t="s">
        <v>679</v>
      </c>
      <c r="J55" s="781" t="s">
        <v>670</v>
      </c>
      <c r="K55" s="781" t="s">
        <v>670</v>
      </c>
      <c r="L55" s="781" t="s">
        <v>670</v>
      </c>
      <c r="M55" s="781" t="s">
        <v>670</v>
      </c>
      <c r="N55" s="781" t="s">
        <v>670</v>
      </c>
      <c r="O55" s="782" t="s">
        <v>706</v>
      </c>
      <c r="P55" s="782" t="s">
        <v>681</v>
      </c>
      <c r="Q55" s="782" t="s">
        <v>681</v>
      </c>
      <c r="R55" s="782" t="s">
        <v>681</v>
      </c>
      <c r="S55" s="783" t="s">
        <v>681</v>
      </c>
      <c r="T55" s="784">
        <v>2017</v>
      </c>
    </row>
    <row r="56" spans="1:20" ht="15" x14ac:dyDescent="0.25">
      <c r="A56" s="776" t="s">
        <v>716</v>
      </c>
      <c r="B56" s="777">
        <v>402</v>
      </c>
      <c r="C56" s="777">
        <v>13</v>
      </c>
      <c r="D56" s="778">
        <v>7500000</v>
      </c>
      <c r="E56" s="779">
        <f t="shared" si="2"/>
        <v>0</v>
      </c>
      <c r="F56" s="778">
        <v>1200000</v>
      </c>
      <c r="G56" s="779">
        <f t="shared" si="0"/>
        <v>7500000</v>
      </c>
      <c r="H56" s="779">
        <f t="shared" si="1"/>
        <v>1200000</v>
      </c>
      <c r="I56" s="780" t="s">
        <v>679</v>
      </c>
      <c r="J56" s="781" t="s">
        <v>670</v>
      </c>
      <c r="K56" s="781" t="s">
        <v>670</v>
      </c>
      <c r="L56" s="781" t="s">
        <v>670</v>
      </c>
      <c r="M56" s="781" t="s">
        <v>670</v>
      </c>
      <c r="N56" s="781" t="s">
        <v>670</v>
      </c>
      <c r="O56" s="782" t="s">
        <v>706</v>
      </c>
      <c r="P56" s="782" t="s">
        <v>681</v>
      </c>
      <c r="Q56" s="782" t="s">
        <v>681</v>
      </c>
      <c r="R56" s="782" t="s">
        <v>681</v>
      </c>
      <c r="S56" s="783" t="s">
        <v>681</v>
      </c>
      <c r="T56" s="784">
        <v>2017</v>
      </c>
    </row>
    <row r="57" spans="1:20" ht="15.75" thickBot="1" x14ac:dyDescent="0.3">
      <c r="A57" s="785" t="s">
        <v>717</v>
      </c>
      <c r="B57" s="786">
        <v>98</v>
      </c>
      <c r="C57" s="786">
        <v>12</v>
      </c>
      <c r="D57" s="787">
        <v>1500000</v>
      </c>
      <c r="E57" s="787">
        <f>0*D57</f>
        <v>0</v>
      </c>
      <c r="F57" s="787">
        <v>400000</v>
      </c>
      <c r="G57" s="787">
        <f t="shared" si="0"/>
        <v>1500000</v>
      </c>
      <c r="H57" s="787">
        <f t="shared" si="1"/>
        <v>400000</v>
      </c>
      <c r="I57" s="788" t="s">
        <v>679</v>
      </c>
      <c r="J57" s="789" t="s">
        <v>670</v>
      </c>
      <c r="K57" s="789" t="s">
        <v>670</v>
      </c>
      <c r="L57" s="789" t="s">
        <v>670</v>
      </c>
      <c r="M57" s="789" t="s">
        <v>701</v>
      </c>
      <c r="N57" s="789" t="s">
        <v>670</v>
      </c>
      <c r="O57" s="790" t="s">
        <v>706</v>
      </c>
      <c r="P57" s="790" t="s">
        <v>681</v>
      </c>
      <c r="Q57" s="790" t="s">
        <v>681</v>
      </c>
      <c r="R57" s="790" t="s">
        <v>681</v>
      </c>
      <c r="S57" s="791" t="s">
        <v>681</v>
      </c>
      <c r="T57" s="792">
        <v>2017</v>
      </c>
    </row>
    <row r="59" spans="1:20" ht="15" x14ac:dyDescent="0.25">
      <c r="A59" s="706" t="s">
        <v>718</v>
      </c>
      <c r="B59" s="793">
        <f>SUM(B37:B57)</f>
        <v>5475</v>
      </c>
      <c r="D59" s="794">
        <f>SUM(D9:D57)</f>
        <v>225915198.76999998</v>
      </c>
      <c r="E59" s="794">
        <f>SUM(E9:E57)</f>
        <v>31750000</v>
      </c>
      <c r="F59" s="794">
        <f>SUM(F9:F57)</f>
        <v>101216000</v>
      </c>
      <c r="G59" s="794">
        <f>SUM(G9:G57)</f>
        <v>194165198.76999998</v>
      </c>
      <c r="H59" s="794">
        <f>SUM(H9:H57)</f>
        <v>69466000</v>
      </c>
    </row>
    <row r="60" spans="1:20" ht="13.5" thickBot="1" x14ac:dyDescent="0.25"/>
    <row r="61" spans="1:20" ht="15.75" thickBot="1" x14ac:dyDescent="0.3">
      <c r="A61" s="795" t="s">
        <v>1007</v>
      </c>
      <c r="B61" s="796" t="s">
        <v>651</v>
      </c>
      <c r="D61" s="796" t="s">
        <v>653</v>
      </c>
      <c r="E61" s="796" t="s">
        <v>719</v>
      </c>
      <c r="F61" s="796" t="s">
        <v>655</v>
      </c>
      <c r="G61" s="796" t="s">
        <v>656</v>
      </c>
      <c r="H61" s="796" t="s">
        <v>657</v>
      </c>
      <c r="I61" s="796" t="s">
        <v>658</v>
      </c>
      <c r="M61" s="796" t="s">
        <v>662</v>
      </c>
      <c r="N61" s="796" t="s">
        <v>663</v>
      </c>
      <c r="O61" s="796" t="s">
        <v>664</v>
      </c>
      <c r="P61" s="796" t="s">
        <v>665</v>
      </c>
      <c r="Q61" s="797" t="s">
        <v>217</v>
      </c>
      <c r="R61" s="797" t="s">
        <v>666</v>
      </c>
    </row>
    <row r="62" spans="1:20" x14ac:dyDescent="0.2">
      <c r="A62" s="718" t="s">
        <v>1008</v>
      </c>
      <c r="B62" s="719">
        <v>500</v>
      </c>
      <c r="D62" s="720">
        <v>6000000</v>
      </c>
      <c r="E62" s="720">
        <v>4200000</v>
      </c>
      <c r="F62" s="720">
        <v>6000000</v>
      </c>
      <c r="G62" s="720">
        <f>D62-E62</f>
        <v>1800000</v>
      </c>
      <c r="H62" s="720">
        <f>G62</f>
        <v>1800000</v>
      </c>
      <c r="I62" s="721" t="s">
        <v>669</v>
      </c>
      <c r="M62" s="798" t="s">
        <v>680</v>
      </c>
      <c r="N62" s="798" t="s">
        <v>672</v>
      </c>
      <c r="O62" s="798" t="s">
        <v>672</v>
      </c>
      <c r="P62" s="798" t="s">
        <v>672</v>
      </c>
      <c r="Q62" s="799" t="s">
        <v>681</v>
      </c>
      <c r="R62" s="799">
        <v>2017</v>
      </c>
    </row>
    <row r="63" spans="1:20" x14ac:dyDescent="0.2">
      <c r="A63" s="718" t="s">
        <v>721</v>
      </c>
      <c r="B63" s="719">
        <v>350</v>
      </c>
      <c r="D63" s="720">
        <v>650000</v>
      </c>
      <c r="E63" s="720">
        <v>350000</v>
      </c>
      <c r="F63" s="744">
        <v>650000</v>
      </c>
      <c r="G63" s="744">
        <f>D63-E63</f>
        <v>300000</v>
      </c>
      <c r="H63" s="744">
        <f>G63</f>
        <v>300000</v>
      </c>
      <c r="I63" s="721" t="s">
        <v>679</v>
      </c>
      <c r="M63" s="798" t="s">
        <v>722</v>
      </c>
      <c r="N63" s="798" t="s">
        <v>672</v>
      </c>
      <c r="O63" s="798" t="s">
        <v>681</v>
      </c>
      <c r="P63" s="798" t="s">
        <v>681</v>
      </c>
      <c r="Q63" s="799" t="s">
        <v>681</v>
      </c>
      <c r="R63" s="799">
        <v>2017</v>
      </c>
    </row>
    <row r="64" spans="1:20" x14ac:dyDescent="0.2">
      <c r="A64" s="739" t="s">
        <v>1009</v>
      </c>
      <c r="B64" s="729">
        <v>300</v>
      </c>
      <c r="D64" s="731">
        <v>1500000</v>
      </c>
      <c r="E64" s="731">
        <v>0</v>
      </c>
      <c r="F64" s="740">
        <v>1500000</v>
      </c>
      <c r="G64" s="740">
        <f>D64-E64</f>
        <v>1500000</v>
      </c>
      <c r="H64" s="740">
        <f>G64</f>
        <v>1500000</v>
      </c>
      <c r="I64" s="741" t="s">
        <v>679</v>
      </c>
      <c r="M64" s="798"/>
      <c r="N64" s="798"/>
      <c r="O64" s="798"/>
      <c r="P64" s="798"/>
      <c r="Q64" s="799"/>
      <c r="R64" s="799">
        <v>2018</v>
      </c>
    </row>
    <row r="65" spans="1:18" x14ac:dyDescent="0.2">
      <c r="A65" s="739" t="s">
        <v>1010</v>
      </c>
      <c r="B65" s="729">
        <v>200</v>
      </c>
      <c r="D65" s="731">
        <v>400000</v>
      </c>
      <c r="E65" s="731">
        <v>0</v>
      </c>
      <c r="F65" s="740">
        <v>400000</v>
      </c>
      <c r="G65" s="740">
        <v>400000</v>
      </c>
      <c r="H65" s="740">
        <v>400000</v>
      </c>
      <c r="I65" s="741" t="s">
        <v>679</v>
      </c>
      <c r="M65" s="798"/>
      <c r="N65" s="798"/>
      <c r="O65" s="798"/>
      <c r="P65" s="798"/>
      <c r="Q65" s="799"/>
      <c r="R65" s="799">
        <v>2018</v>
      </c>
    </row>
    <row r="66" spans="1:18" x14ac:dyDescent="0.2">
      <c r="A66" s="718" t="s">
        <v>723</v>
      </c>
      <c r="B66" s="800">
        <v>3000</v>
      </c>
      <c r="D66" s="720">
        <v>7400000</v>
      </c>
      <c r="E66" s="720">
        <f>0.5*D66</f>
        <v>3700000</v>
      </c>
      <c r="F66" s="744">
        <v>500000</v>
      </c>
      <c r="G66" s="744">
        <f t="shared" ref="G66:G71" si="3">D66-E66</f>
        <v>3700000</v>
      </c>
      <c r="H66" s="744">
        <f>F66</f>
        <v>500000</v>
      </c>
      <c r="I66" s="721" t="s">
        <v>679</v>
      </c>
      <c r="M66" s="798" t="s">
        <v>722</v>
      </c>
      <c r="N66" s="798" t="s">
        <v>681</v>
      </c>
      <c r="O66" s="798" t="s">
        <v>681</v>
      </c>
      <c r="P66" s="798" t="s">
        <v>681</v>
      </c>
      <c r="Q66" s="799" t="s">
        <v>681</v>
      </c>
      <c r="R66" s="799">
        <v>2017</v>
      </c>
    </row>
    <row r="67" spans="1:18" x14ac:dyDescent="0.2">
      <c r="A67" s="801" t="s">
        <v>724</v>
      </c>
      <c r="B67" s="802">
        <v>100</v>
      </c>
      <c r="D67" s="803">
        <v>12000000</v>
      </c>
      <c r="E67" s="803">
        <f>0.7*D67</f>
        <v>8400000</v>
      </c>
      <c r="F67" s="803">
        <v>12000000</v>
      </c>
      <c r="G67" s="803">
        <f t="shared" si="3"/>
        <v>3600000</v>
      </c>
      <c r="H67" s="803">
        <v>3600000</v>
      </c>
      <c r="I67" s="804" t="s">
        <v>679</v>
      </c>
      <c r="M67" s="780" t="s">
        <v>725</v>
      </c>
      <c r="N67" s="780" t="s">
        <v>681</v>
      </c>
      <c r="O67" s="780" t="s">
        <v>681</v>
      </c>
      <c r="P67" s="780" t="s">
        <v>681</v>
      </c>
      <c r="Q67" s="784" t="s">
        <v>681</v>
      </c>
      <c r="R67" s="784">
        <v>2018</v>
      </c>
    </row>
    <row r="68" spans="1:18" x14ac:dyDescent="0.2">
      <c r="A68" s="742" t="s">
        <v>1011</v>
      </c>
      <c r="B68" s="743">
        <v>800</v>
      </c>
      <c r="D68" s="744">
        <v>2400000</v>
      </c>
      <c r="E68" s="744">
        <v>0</v>
      </c>
      <c r="F68" s="744">
        <v>1200000</v>
      </c>
      <c r="G68" s="744">
        <f t="shared" si="3"/>
        <v>2400000</v>
      </c>
      <c r="H68" s="744">
        <v>1200000</v>
      </c>
      <c r="I68" s="726" t="s">
        <v>679</v>
      </c>
      <c r="M68" s="780"/>
      <c r="N68" s="780"/>
      <c r="O68" s="780"/>
      <c r="P68" s="780"/>
      <c r="Q68" s="784"/>
      <c r="R68" s="784">
        <v>2017</v>
      </c>
    </row>
    <row r="69" spans="1:18" x14ac:dyDescent="0.2">
      <c r="A69" s="776" t="s">
        <v>1012</v>
      </c>
      <c r="B69" s="805">
        <v>1000</v>
      </c>
      <c r="D69" s="778">
        <v>3000000</v>
      </c>
      <c r="E69" s="778">
        <v>1500000</v>
      </c>
      <c r="F69" s="778">
        <v>1500000</v>
      </c>
      <c r="G69" s="778">
        <f t="shared" si="3"/>
        <v>1500000</v>
      </c>
      <c r="H69" s="778">
        <f>G69</f>
        <v>1500000</v>
      </c>
      <c r="I69" s="780" t="s">
        <v>679</v>
      </c>
      <c r="M69" s="780"/>
      <c r="N69" s="780"/>
      <c r="O69" s="780"/>
      <c r="P69" s="780"/>
      <c r="Q69" s="784"/>
      <c r="R69" s="784"/>
    </row>
    <row r="70" spans="1:18" x14ac:dyDescent="0.2">
      <c r="A70" s="776" t="s">
        <v>726</v>
      </c>
      <c r="B70" s="777">
        <v>0</v>
      </c>
      <c r="D70" s="778">
        <v>3000000</v>
      </c>
      <c r="E70" s="778">
        <f>0.7*D70</f>
        <v>2100000</v>
      </c>
      <c r="F70" s="778">
        <v>3000000</v>
      </c>
      <c r="G70" s="778">
        <f t="shared" si="3"/>
        <v>900000</v>
      </c>
      <c r="H70" s="778">
        <f>G70</f>
        <v>900000</v>
      </c>
      <c r="I70" s="780" t="s">
        <v>679</v>
      </c>
      <c r="M70" s="780" t="s">
        <v>725</v>
      </c>
      <c r="N70" s="780" t="s">
        <v>681</v>
      </c>
      <c r="O70" s="780" t="s">
        <v>681</v>
      </c>
      <c r="P70" s="780" t="s">
        <v>681</v>
      </c>
      <c r="Q70" s="784" t="s">
        <v>681</v>
      </c>
      <c r="R70" s="784"/>
    </row>
    <row r="71" spans="1:18" ht="13.5" thickBot="1" x14ac:dyDescent="0.25">
      <c r="A71" s="785" t="s">
        <v>727</v>
      </c>
      <c r="B71" s="786">
        <v>250</v>
      </c>
      <c r="D71" s="806">
        <v>1400000</v>
      </c>
      <c r="E71" s="806">
        <v>0</v>
      </c>
      <c r="F71" s="787">
        <v>400000</v>
      </c>
      <c r="G71" s="787">
        <f t="shared" si="3"/>
        <v>1400000</v>
      </c>
      <c r="H71" s="787">
        <v>400000</v>
      </c>
      <c r="I71" s="788" t="s">
        <v>689</v>
      </c>
      <c r="M71" s="788" t="s">
        <v>680</v>
      </c>
      <c r="N71" s="788" t="s">
        <v>672</v>
      </c>
      <c r="O71" s="788" t="s">
        <v>681</v>
      </c>
      <c r="P71" s="788" t="s">
        <v>681</v>
      </c>
      <c r="Q71" s="792" t="s">
        <v>681</v>
      </c>
      <c r="R71" s="792"/>
    </row>
    <row r="73" spans="1:18" ht="15" x14ac:dyDescent="0.25">
      <c r="A73" s="706" t="s">
        <v>718</v>
      </c>
      <c r="B73" s="793">
        <f>SUM(B62:B71)</f>
        <v>6500</v>
      </c>
      <c r="D73" s="794">
        <f>SUM(D62:D71)</f>
        <v>37750000</v>
      </c>
      <c r="E73" s="794">
        <f>SUM(E62:E71)</f>
        <v>20250000</v>
      </c>
      <c r="F73" s="794">
        <f>SUM(F62:F71)</f>
        <v>27150000</v>
      </c>
      <c r="G73" s="794">
        <f>SUM(G62:G71)</f>
        <v>17500000</v>
      </c>
      <c r="H73" s="794">
        <f>SUM(H62:H71)</f>
        <v>12100000</v>
      </c>
    </row>
    <row r="74" spans="1:18" x14ac:dyDescent="0.2">
      <c r="E74" s="794"/>
    </row>
    <row r="75" spans="1:18" ht="16.5" thickBot="1" x14ac:dyDescent="0.25">
      <c r="A75" s="702" t="s">
        <v>728</v>
      </c>
      <c r="E75" s="794"/>
    </row>
    <row r="76" spans="1:18" ht="15.75" thickBot="1" x14ac:dyDescent="0.3">
      <c r="A76" s="807"/>
      <c r="D76" s="795" t="s">
        <v>653</v>
      </c>
      <c r="E76" s="808" t="s">
        <v>729</v>
      </c>
      <c r="F76" s="796" t="s">
        <v>720</v>
      </c>
      <c r="G76" s="796" t="s">
        <v>658</v>
      </c>
      <c r="M76" s="796" t="s">
        <v>662</v>
      </c>
      <c r="N76" s="796" t="s">
        <v>663</v>
      </c>
      <c r="O76" s="796" t="s">
        <v>664</v>
      </c>
      <c r="P76" s="796" t="s">
        <v>665</v>
      </c>
      <c r="Q76" s="797" t="s">
        <v>217</v>
      </c>
      <c r="R76" s="797" t="s">
        <v>666</v>
      </c>
    </row>
    <row r="77" spans="1:18" x14ac:dyDescent="0.2">
      <c r="A77" s="809" t="s">
        <v>730</v>
      </c>
      <c r="D77" s="810">
        <v>7300000</v>
      </c>
      <c r="E77" s="811">
        <f>0.25*D77</f>
        <v>1825000</v>
      </c>
      <c r="F77" s="866">
        <f t="shared" ref="F77:F82" si="4">D77-E77</f>
        <v>5475000</v>
      </c>
      <c r="G77" s="741" t="s">
        <v>669</v>
      </c>
      <c r="M77" s="798" t="s">
        <v>731</v>
      </c>
      <c r="N77" s="798" t="s">
        <v>672</v>
      </c>
      <c r="O77" s="798" t="s">
        <v>672</v>
      </c>
      <c r="P77" s="798" t="s">
        <v>672</v>
      </c>
      <c r="Q77" s="798" t="s">
        <v>672</v>
      </c>
      <c r="R77" s="799">
        <v>2018</v>
      </c>
    </row>
    <row r="78" spans="1:18" x14ac:dyDescent="0.2">
      <c r="A78" s="812" t="s">
        <v>732</v>
      </c>
      <c r="D78" s="813">
        <v>8500000</v>
      </c>
      <c r="E78" s="814">
        <f>0.25*D78</f>
        <v>2125000</v>
      </c>
      <c r="F78" s="866">
        <f t="shared" si="4"/>
        <v>6375000</v>
      </c>
      <c r="G78" s="721" t="s">
        <v>679</v>
      </c>
      <c r="M78" s="798" t="s">
        <v>731</v>
      </c>
      <c r="N78" s="798" t="s">
        <v>672</v>
      </c>
      <c r="O78" s="798" t="s">
        <v>672</v>
      </c>
      <c r="P78" s="798" t="s">
        <v>672</v>
      </c>
      <c r="Q78" s="798" t="s">
        <v>672</v>
      </c>
      <c r="R78" s="799">
        <v>2017</v>
      </c>
    </row>
    <row r="79" spans="1:18" x14ac:dyDescent="0.2">
      <c r="A79" s="815" t="s">
        <v>733</v>
      </c>
      <c r="D79" s="816">
        <v>12000000</v>
      </c>
      <c r="E79" s="817">
        <f>0.5*D79</f>
        <v>6000000</v>
      </c>
      <c r="F79" s="866">
        <f t="shared" si="4"/>
        <v>6000000</v>
      </c>
      <c r="G79" s="819" t="s">
        <v>679</v>
      </c>
      <c r="M79" s="780" t="s">
        <v>734</v>
      </c>
      <c r="N79" s="780" t="s">
        <v>672</v>
      </c>
      <c r="O79" s="780" t="s">
        <v>672</v>
      </c>
      <c r="P79" s="780" t="s">
        <v>672</v>
      </c>
      <c r="Q79" s="780" t="s">
        <v>672</v>
      </c>
      <c r="R79" s="784"/>
    </row>
    <row r="80" spans="1:18" x14ac:dyDescent="0.2">
      <c r="A80" s="812" t="s">
        <v>735</v>
      </c>
      <c r="D80" s="820">
        <v>4100000</v>
      </c>
      <c r="E80" s="814">
        <f>0.25*D80</f>
        <v>1025000</v>
      </c>
      <c r="F80" s="866">
        <f t="shared" si="4"/>
        <v>3075000</v>
      </c>
      <c r="G80" s="721" t="s">
        <v>679</v>
      </c>
      <c r="M80" s="780" t="s">
        <v>731</v>
      </c>
      <c r="N80" s="780" t="s">
        <v>672</v>
      </c>
      <c r="O80" s="780" t="s">
        <v>672</v>
      </c>
      <c r="P80" s="780" t="s">
        <v>672</v>
      </c>
      <c r="Q80" s="780" t="s">
        <v>672</v>
      </c>
      <c r="R80" s="784">
        <v>2017</v>
      </c>
    </row>
    <row r="81" spans="1:18" x14ac:dyDescent="0.2">
      <c r="A81" s="809" t="s">
        <v>736</v>
      </c>
      <c r="D81" s="821">
        <v>2900000</v>
      </c>
      <c r="E81" s="811">
        <f>0.25*D81</f>
        <v>725000</v>
      </c>
      <c r="F81" s="866">
        <f t="shared" si="4"/>
        <v>2175000</v>
      </c>
      <c r="G81" s="741" t="s">
        <v>679</v>
      </c>
      <c r="M81" s="780" t="s">
        <v>731</v>
      </c>
      <c r="N81" s="780" t="s">
        <v>672</v>
      </c>
      <c r="O81" s="780" t="s">
        <v>672</v>
      </c>
      <c r="P81" s="780" t="s">
        <v>672</v>
      </c>
      <c r="Q81" s="780" t="s">
        <v>672</v>
      </c>
      <c r="R81" s="784">
        <v>2018</v>
      </c>
    </row>
    <row r="82" spans="1:18" ht="13.5" thickBot="1" x14ac:dyDescent="0.25">
      <c r="A82" s="822" t="s">
        <v>737</v>
      </c>
      <c r="D82" s="823">
        <v>2900000</v>
      </c>
      <c r="E82" s="824">
        <f>0.25*D82</f>
        <v>725000</v>
      </c>
      <c r="F82" s="867">
        <f t="shared" si="4"/>
        <v>2175000</v>
      </c>
      <c r="G82" s="825" t="s">
        <v>679</v>
      </c>
      <c r="M82" s="826" t="s">
        <v>731</v>
      </c>
      <c r="N82" s="788" t="s">
        <v>672</v>
      </c>
      <c r="O82" s="788" t="s">
        <v>672</v>
      </c>
      <c r="P82" s="788" t="s">
        <v>672</v>
      </c>
      <c r="Q82" s="788" t="s">
        <v>672</v>
      </c>
      <c r="R82" s="792">
        <v>2017</v>
      </c>
    </row>
    <row r="83" spans="1:18" x14ac:dyDescent="0.2">
      <c r="D83" s="794"/>
      <c r="E83" s="794"/>
      <c r="F83" s="794"/>
    </row>
    <row r="84" spans="1:18" ht="15" x14ac:dyDescent="0.25">
      <c r="A84" s="706" t="s">
        <v>718</v>
      </c>
      <c r="D84" s="794">
        <f>SUM(D77:D82)</f>
        <v>37700000</v>
      </c>
      <c r="E84" s="794">
        <f>SUM(E77:E82)</f>
        <v>12425000</v>
      </c>
      <c r="F84" s="794">
        <f>SUM(F77:F82)</f>
        <v>25275000</v>
      </c>
      <c r="G84" s="794"/>
      <c r="H84" s="794">
        <f>SUM(M78:M82)</f>
        <v>0</v>
      </c>
    </row>
    <row r="87" spans="1:18" ht="16.5" thickBot="1" x14ac:dyDescent="0.25">
      <c r="A87" s="702" t="s">
        <v>738</v>
      </c>
      <c r="E87" s="794"/>
    </row>
    <row r="88" spans="1:18" ht="15.75" thickBot="1" x14ac:dyDescent="0.3">
      <c r="A88" s="807"/>
      <c r="D88" s="795" t="s">
        <v>653</v>
      </c>
      <c r="E88" s="808" t="s">
        <v>729</v>
      </c>
      <c r="F88" s="808" t="s">
        <v>655</v>
      </c>
      <c r="G88" s="796" t="s">
        <v>656</v>
      </c>
      <c r="H88" s="796" t="s">
        <v>657</v>
      </c>
      <c r="I88" s="797" t="s">
        <v>658</v>
      </c>
      <c r="L88" s="796" t="s">
        <v>662</v>
      </c>
      <c r="M88" s="796" t="s">
        <v>663</v>
      </c>
      <c r="N88" s="796" t="s">
        <v>664</v>
      </c>
      <c r="O88" s="796" t="s">
        <v>665</v>
      </c>
      <c r="P88" s="797" t="s">
        <v>217</v>
      </c>
      <c r="Q88" s="797" t="s">
        <v>666</v>
      </c>
    </row>
    <row r="89" spans="1:18" x14ac:dyDescent="0.2">
      <c r="A89" s="809" t="s">
        <v>739</v>
      </c>
      <c r="D89" s="810">
        <v>24000000</v>
      </c>
      <c r="E89" s="811">
        <f>0.8*D89</f>
        <v>19200000</v>
      </c>
      <c r="F89" s="810">
        <v>24000000</v>
      </c>
      <c r="G89" s="866">
        <f t="shared" ref="G89:G95" si="5">D89-E89</f>
        <v>4800000</v>
      </c>
      <c r="H89" s="731">
        <f t="shared" ref="H89:H95" si="6">F89-E89</f>
        <v>4800000</v>
      </c>
      <c r="I89" s="737" t="s">
        <v>669</v>
      </c>
      <c r="L89" s="798" t="s">
        <v>731</v>
      </c>
      <c r="M89" s="798" t="s">
        <v>672</v>
      </c>
      <c r="N89" s="798" t="s">
        <v>672</v>
      </c>
      <c r="O89" s="798" t="s">
        <v>672</v>
      </c>
      <c r="P89" s="798" t="s">
        <v>672</v>
      </c>
      <c r="Q89" s="799">
        <v>2018</v>
      </c>
    </row>
    <row r="90" spans="1:18" x14ac:dyDescent="0.2">
      <c r="A90" s="812" t="s">
        <v>1013</v>
      </c>
      <c r="D90" s="813">
        <v>46000000</v>
      </c>
      <c r="E90" s="814">
        <f>0.6*D90</f>
        <v>27600000</v>
      </c>
      <c r="F90" s="813">
        <v>46000000</v>
      </c>
      <c r="G90" s="866">
        <f t="shared" si="5"/>
        <v>18400000</v>
      </c>
      <c r="H90" s="720">
        <f t="shared" si="6"/>
        <v>18400000</v>
      </c>
      <c r="I90" s="723" t="s">
        <v>679</v>
      </c>
      <c r="L90" s="798"/>
      <c r="M90" s="798"/>
      <c r="N90" s="798"/>
      <c r="O90" s="798"/>
      <c r="P90" s="798"/>
      <c r="Q90" s="799">
        <v>2017</v>
      </c>
    </row>
    <row r="91" spans="1:18" x14ac:dyDescent="0.2">
      <c r="A91" s="812" t="s">
        <v>819</v>
      </c>
      <c r="D91" s="813">
        <v>14000000</v>
      </c>
      <c r="E91" s="814">
        <f>0.6*D91</f>
        <v>8400000</v>
      </c>
      <c r="F91" s="813">
        <v>14000000</v>
      </c>
      <c r="G91" s="866">
        <f t="shared" si="5"/>
        <v>5600000</v>
      </c>
      <c r="H91" s="720">
        <f t="shared" si="6"/>
        <v>5600000</v>
      </c>
      <c r="I91" s="723" t="s">
        <v>679</v>
      </c>
      <c r="L91" s="798"/>
      <c r="M91" s="798"/>
      <c r="N91" s="798"/>
      <c r="O91" s="798"/>
      <c r="P91" s="798"/>
      <c r="Q91" s="799">
        <v>2017</v>
      </c>
    </row>
    <row r="92" spans="1:18" x14ac:dyDescent="0.2">
      <c r="A92" s="812" t="s">
        <v>740</v>
      </c>
      <c r="D92" s="813">
        <v>2000000</v>
      </c>
      <c r="E92" s="814">
        <f>0.5*D92</f>
        <v>1000000</v>
      </c>
      <c r="F92" s="813">
        <v>2000000</v>
      </c>
      <c r="G92" s="720">
        <f t="shared" si="5"/>
        <v>1000000</v>
      </c>
      <c r="H92" s="720">
        <f t="shared" si="6"/>
        <v>1000000</v>
      </c>
      <c r="I92" s="723" t="s">
        <v>679</v>
      </c>
      <c r="L92" s="798" t="s">
        <v>741</v>
      </c>
      <c r="M92" s="798" t="s">
        <v>681</v>
      </c>
      <c r="N92" s="798" t="s">
        <v>681</v>
      </c>
      <c r="O92" s="798" t="s">
        <v>681</v>
      </c>
      <c r="P92" s="798" t="s">
        <v>681</v>
      </c>
      <c r="Q92" s="799">
        <v>2017</v>
      </c>
    </row>
    <row r="93" spans="1:18" x14ac:dyDescent="0.2">
      <c r="A93" s="827" t="s">
        <v>1014</v>
      </c>
      <c r="D93" s="828">
        <v>30000000</v>
      </c>
      <c r="E93" s="817">
        <v>0</v>
      </c>
      <c r="F93" s="828">
        <v>15000000</v>
      </c>
      <c r="G93" s="866">
        <f t="shared" si="5"/>
        <v>30000000</v>
      </c>
      <c r="H93" s="818">
        <f t="shared" si="6"/>
        <v>15000000</v>
      </c>
      <c r="I93" s="829" t="s">
        <v>679</v>
      </c>
      <c r="L93" s="798"/>
      <c r="M93" s="798"/>
      <c r="N93" s="798"/>
      <c r="O93" s="798"/>
      <c r="P93" s="798"/>
      <c r="Q93" s="799"/>
    </row>
    <row r="94" spans="1:18" x14ac:dyDescent="0.2">
      <c r="A94" s="809" t="s">
        <v>1015</v>
      </c>
      <c r="D94" s="810">
        <v>8000000</v>
      </c>
      <c r="E94" s="811">
        <v>2500000</v>
      </c>
      <c r="F94" s="810">
        <v>8000000</v>
      </c>
      <c r="G94" s="731">
        <f t="shared" si="5"/>
        <v>5500000</v>
      </c>
      <c r="H94" s="731">
        <f t="shared" si="6"/>
        <v>5500000</v>
      </c>
      <c r="I94" s="737" t="s">
        <v>679</v>
      </c>
      <c r="L94" s="798" t="s">
        <v>731</v>
      </c>
      <c r="M94" s="798" t="s">
        <v>672</v>
      </c>
      <c r="N94" s="798" t="s">
        <v>672</v>
      </c>
      <c r="O94" s="798" t="s">
        <v>672</v>
      </c>
      <c r="P94" s="798" t="s">
        <v>672</v>
      </c>
      <c r="Q94" s="799">
        <v>2018</v>
      </c>
    </row>
    <row r="95" spans="1:18" ht="13.5" thickBot="1" x14ac:dyDescent="0.25">
      <c r="A95" s="830" t="s">
        <v>742</v>
      </c>
      <c r="D95" s="831">
        <v>3000000</v>
      </c>
      <c r="E95" s="832">
        <f>0.5*D95</f>
        <v>1500000</v>
      </c>
      <c r="F95" s="831">
        <v>3000000</v>
      </c>
      <c r="G95" s="806">
        <f t="shared" si="5"/>
        <v>1500000</v>
      </c>
      <c r="H95" s="806">
        <f t="shared" si="6"/>
        <v>1500000</v>
      </c>
      <c r="I95" s="833" t="s">
        <v>679</v>
      </c>
      <c r="L95" s="780" t="s">
        <v>734</v>
      </c>
      <c r="M95" s="780" t="s">
        <v>672</v>
      </c>
      <c r="N95" s="780" t="s">
        <v>672</v>
      </c>
      <c r="O95" s="780" t="s">
        <v>672</v>
      </c>
      <c r="P95" s="780" t="s">
        <v>672</v>
      </c>
      <c r="Q95" s="784">
        <v>2016</v>
      </c>
    </row>
    <row r="96" spans="1:18" x14ac:dyDescent="0.2">
      <c r="D96" s="794"/>
      <c r="E96" s="794"/>
      <c r="F96" s="794"/>
      <c r="G96" s="794"/>
      <c r="H96" s="794"/>
    </row>
    <row r="97" spans="1:17" ht="15" x14ac:dyDescent="0.25">
      <c r="A97" s="706" t="s">
        <v>718</v>
      </c>
      <c r="D97" s="794">
        <f>SUM(D89:D95)</f>
        <v>127000000</v>
      </c>
      <c r="E97" s="794">
        <f>SUM(E89:E95)</f>
        <v>60200000</v>
      </c>
      <c r="F97" s="794">
        <f>SUM(F89:F95)</f>
        <v>112000000</v>
      </c>
      <c r="G97" s="794">
        <f>SUM(G89:G95)</f>
        <v>66800000</v>
      </c>
      <c r="H97" s="794">
        <f>SUM(H89:H95)</f>
        <v>51800000</v>
      </c>
      <c r="I97" s="794"/>
    </row>
    <row r="100" spans="1:17" ht="16.5" thickBot="1" x14ac:dyDescent="0.25">
      <c r="A100" s="702" t="s">
        <v>743</v>
      </c>
      <c r="E100" s="794"/>
    </row>
    <row r="101" spans="1:17" ht="15.75" thickBot="1" x14ac:dyDescent="0.3">
      <c r="A101" s="807"/>
      <c r="D101" s="795" t="s">
        <v>653</v>
      </c>
      <c r="E101" s="808" t="s">
        <v>729</v>
      </c>
      <c r="F101" s="796" t="s">
        <v>720</v>
      </c>
      <c r="G101" s="797" t="s">
        <v>658</v>
      </c>
      <c r="L101" s="796" t="s">
        <v>662</v>
      </c>
      <c r="M101" s="796" t="s">
        <v>663</v>
      </c>
      <c r="N101" s="796" t="s">
        <v>664</v>
      </c>
      <c r="O101" s="796" t="s">
        <v>665</v>
      </c>
      <c r="P101" s="797" t="s">
        <v>217</v>
      </c>
      <c r="Q101" s="797" t="s">
        <v>666</v>
      </c>
    </row>
    <row r="102" spans="1:17" x14ac:dyDescent="0.2">
      <c r="A102" s="812" t="s">
        <v>744</v>
      </c>
      <c r="D102" s="813">
        <v>11500000</v>
      </c>
      <c r="E102" s="814">
        <f>0.25*D102</f>
        <v>2875000</v>
      </c>
      <c r="F102" s="866">
        <f t="shared" ref="F102:F112" si="7">D102-E102</f>
        <v>8625000</v>
      </c>
      <c r="G102" s="723" t="s">
        <v>669</v>
      </c>
      <c r="L102" s="798" t="s">
        <v>731</v>
      </c>
      <c r="M102" s="798" t="s">
        <v>672</v>
      </c>
      <c r="N102" s="798" t="s">
        <v>672</v>
      </c>
      <c r="O102" s="798" t="s">
        <v>672</v>
      </c>
      <c r="P102" s="798" t="s">
        <v>672</v>
      </c>
      <c r="Q102" s="799">
        <v>2017</v>
      </c>
    </row>
    <row r="103" spans="1:17" x14ac:dyDescent="0.2">
      <c r="A103" s="809" t="s">
        <v>1016</v>
      </c>
      <c r="D103" s="810"/>
      <c r="E103" s="811"/>
      <c r="F103" s="731">
        <v>2000000</v>
      </c>
      <c r="G103" s="737" t="s">
        <v>679</v>
      </c>
      <c r="L103" s="798"/>
      <c r="M103" s="798"/>
      <c r="N103" s="798"/>
      <c r="O103" s="798"/>
      <c r="P103" s="798"/>
      <c r="Q103" s="799">
        <v>2018</v>
      </c>
    </row>
    <row r="104" spans="1:17" x14ac:dyDescent="0.2">
      <c r="A104" s="812" t="s">
        <v>745</v>
      </c>
      <c r="D104" s="813">
        <v>1600000</v>
      </c>
      <c r="E104" s="814">
        <v>0</v>
      </c>
      <c r="F104" s="866">
        <f t="shared" si="7"/>
        <v>1600000</v>
      </c>
      <c r="G104" s="723" t="s">
        <v>679</v>
      </c>
      <c r="L104" s="798" t="s">
        <v>731</v>
      </c>
      <c r="M104" s="798" t="s">
        <v>672</v>
      </c>
      <c r="N104" s="798" t="s">
        <v>672</v>
      </c>
      <c r="O104" s="798" t="s">
        <v>672</v>
      </c>
      <c r="P104" s="798" t="s">
        <v>672</v>
      </c>
      <c r="Q104" s="799">
        <v>2017</v>
      </c>
    </row>
    <row r="105" spans="1:17" x14ac:dyDescent="0.2">
      <c r="A105" s="812" t="s">
        <v>746</v>
      </c>
      <c r="D105" s="813">
        <v>19000000</v>
      </c>
      <c r="E105" s="814">
        <f>0.7*D105</f>
        <v>13300000</v>
      </c>
      <c r="F105" s="866">
        <f t="shared" si="7"/>
        <v>5700000</v>
      </c>
      <c r="G105" s="723" t="s">
        <v>679</v>
      </c>
      <c r="L105" s="798" t="s">
        <v>731</v>
      </c>
      <c r="M105" s="798" t="s">
        <v>681</v>
      </c>
      <c r="N105" s="798" t="s">
        <v>681</v>
      </c>
      <c r="O105" s="798" t="s">
        <v>681</v>
      </c>
      <c r="P105" s="798" t="s">
        <v>681</v>
      </c>
      <c r="Q105" s="799">
        <v>2017</v>
      </c>
    </row>
    <row r="106" spans="1:17" x14ac:dyDescent="0.2">
      <c r="A106" s="809" t="s">
        <v>747</v>
      </c>
      <c r="D106" s="810">
        <v>18000000</v>
      </c>
      <c r="E106" s="811">
        <f>0.5*D106</f>
        <v>9000000</v>
      </c>
      <c r="F106" s="731">
        <f t="shared" si="7"/>
        <v>9000000</v>
      </c>
      <c r="G106" s="737" t="s">
        <v>679</v>
      </c>
      <c r="L106" s="798" t="s">
        <v>731</v>
      </c>
      <c r="M106" s="798" t="s">
        <v>681</v>
      </c>
      <c r="N106" s="798" t="s">
        <v>681</v>
      </c>
      <c r="O106" s="798" t="s">
        <v>681</v>
      </c>
      <c r="P106" s="798" t="s">
        <v>681</v>
      </c>
      <c r="Q106" s="799">
        <v>2018</v>
      </c>
    </row>
    <row r="107" spans="1:17" ht="25.5" x14ac:dyDescent="0.2">
      <c r="A107" s="885" t="s">
        <v>1017</v>
      </c>
      <c r="D107" s="834"/>
      <c r="E107" s="835"/>
      <c r="F107" s="779">
        <v>3500000</v>
      </c>
      <c r="G107" s="799" t="s">
        <v>679</v>
      </c>
      <c r="L107" s="798"/>
      <c r="M107" s="798"/>
      <c r="N107" s="798"/>
      <c r="O107" s="798"/>
      <c r="P107" s="798"/>
      <c r="Q107" s="799">
        <v>2020</v>
      </c>
    </row>
    <row r="108" spans="1:17" x14ac:dyDescent="0.2">
      <c r="A108" s="809" t="s">
        <v>1018</v>
      </c>
      <c r="D108" s="810">
        <v>280000000</v>
      </c>
      <c r="E108" s="811">
        <f>0.85*D108</f>
        <v>238000000</v>
      </c>
      <c r="F108" s="731">
        <f t="shared" si="7"/>
        <v>42000000</v>
      </c>
      <c r="G108" s="737" t="s">
        <v>1019</v>
      </c>
      <c r="L108" s="798"/>
      <c r="M108" s="798"/>
      <c r="N108" s="798"/>
      <c r="O108" s="798"/>
      <c r="P108" s="798"/>
      <c r="Q108" s="799">
        <v>2019</v>
      </c>
    </row>
    <row r="109" spans="1:17" x14ac:dyDescent="0.2">
      <c r="A109" s="812" t="s">
        <v>748</v>
      </c>
      <c r="D109" s="813">
        <v>8000000</v>
      </c>
      <c r="E109" s="814">
        <v>4000000</v>
      </c>
      <c r="F109" s="866">
        <f t="shared" si="7"/>
        <v>4000000</v>
      </c>
      <c r="G109" s="723" t="s">
        <v>679</v>
      </c>
      <c r="L109" s="798"/>
      <c r="M109" s="798"/>
      <c r="N109" s="798"/>
      <c r="O109" s="798"/>
      <c r="P109" s="798"/>
      <c r="Q109" s="799">
        <v>2017</v>
      </c>
    </row>
    <row r="110" spans="1:17" x14ac:dyDescent="0.2">
      <c r="A110" s="809" t="s">
        <v>749</v>
      </c>
      <c r="D110" s="810">
        <v>8500000</v>
      </c>
      <c r="E110" s="811">
        <v>3500000</v>
      </c>
      <c r="F110" s="731">
        <f>D110-E110</f>
        <v>5000000</v>
      </c>
      <c r="G110" s="737" t="s">
        <v>679</v>
      </c>
      <c r="L110" s="798"/>
      <c r="M110" s="798"/>
      <c r="N110" s="798"/>
      <c r="O110" s="798"/>
      <c r="P110" s="798"/>
      <c r="Q110" s="799">
        <v>2018</v>
      </c>
    </row>
    <row r="111" spans="1:17" x14ac:dyDescent="0.2">
      <c r="A111" s="812" t="s">
        <v>750</v>
      </c>
      <c r="D111" s="813">
        <v>4500000</v>
      </c>
      <c r="E111" s="814">
        <f>0.8*D111</f>
        <v>3600000</v>
      </c>
      <c r="F111" s="720">
        <f t="shared" si="7"/>
        <v>900000</v>
      </c>
      <c r="G111" s="723" t="s">
        <v>679</v>
      </c>
      <c r="L111" s="798" t="s">
        <v>731</v>
      </c>
      <c r="M111" s="798" t="s">
        <v>672</v>
      </c>
      <c r="N111" s="798" t="s">
        <v>681</v>
      </c>
      <c r="O111" s="798" t="s">
        <v>681</v>
      </c>
      <c r="P111" s="798" t="s">
        <v>681</v>
      </c>
      <c r="Q111" s="799">
        <v>2017</v>
      </c>
    </row>
    <row r="112" spans="1:17" ht="13.5" thickBot="1" x14ac:dyDescent="0.25">
      <c r="A112" s="836" t="s">
        <v>751</v>
      </c>
      <c r="D112" s="837">
        <v>1000000</v>
      </c>
      <c r="E112" s="838">
        <v>0</v>
      </c>
      <c r="F112" s="839">
        <f t="shared" si="7"/>
        <v>1000000</v>
      </c>
      <c r="G112" s="840" t="s">
        <v>679</v>
      </c>
      <c r="L112" s="780" t="s">
        <v>734</v>
      </c>
      <c r="M112" s="780" t="s">
        <v>672</v>
      </c>
      <c r="N112" s="780" t="s">
        <v>672</v>
      </c>
      <c r="O112" s="780" t="s">
        <v>672</v>
      </c>
      <c r="P112" s="780" t="s">
        <v>672</v>
      </c>
      <c r="Q112" s="784">
        <v>2018</v>
      </c>
    </row>
    <row r="113" spans="1:7" x14ac:dyDescent="0.2">
      <c r="D113" s="794"/>
      <c r="E113" s="794"/>
      <c r="F113" s="794"/>
    </row>
    <row r="114" spans="1:7" ht="15" x14ac:dyDescent="0.25">
      <c r="A114" s="706" t="s">
        <v>718</v>
      </c>
      <c r="D114" s="794">
        <f>SUM(D102:D112)</f>
        <v>352100000</v>
      </c>
      <c r="E114" s="794">
        <f>SUM(E102:E112)</f>
        <v>274275000</v>
      </c>
      <c r="F114" s="794">
        <f>SUM(F102:F112)</f>
        <v>83325000</v>
      </c>
      <c r="G114" s="794"/>
    </row>
    <row r="115" spans="1:7" ht="15" x14ac:dyDescent="0.25">
      <c r="A115" s="706"/>
      <c r="D115" s="794"/>
      <c r="E115" s="794"/>
      <c r="F115" s="794"/>
      <c r="G115" s="794"/>
    </row>
    <row r="116" spans="1:7" ht="15" x14ac:dyDescent="0.25">
      <c r="B116" s="841" t="s">
        <v>752</v>
      </c>
      <c r="C116" s="841" t="s">
        <v>753</v>
      </c>
      <c r="D116" s="841"/>
    </row>
    <row r="117" spans="1:7" ht="15" x14ac:dyDescent="0.25">
      <c r="A117" s="706" t="s">
        <v>754</v>
      </c>
      <c r="B117" s="794">
        <f>D59+D73+D84+D97+D114</f>
        <v>780465198.76999998</v>
      </c>
      <c r="C117" s="794">
        <f>SUM(E59,H59,E73,H73,E84,F84,E97,H97,E114,F114)</f>
        <v>640866000</v>
      </c>
      <c r="D117" s="794"/>
      <c r="F117" s="794">
        <f>+F104+F105+F109+G89+G90+G91+G93+F84+G9</f>
        <v>119875000</v>
      </c>
    </row>
    <row r="118" spans="1:7" ht="15" x14ac:dyDescent="0.25">
      <c r="A118" s="706" t="s">
        <v>755</v>
      </c>
      <c r="B118" s="794">
        <f>E59+E73+E84+E97+E114</f>
        <v>398900000</v>
      </c>
      <c r="C118" s="794">
        <f>E59+E73+E84+E97+E114</f>
        <v>398900000</v>
      </c>
      <c r="D118" s="794"/>
    </row>
    <row r="119" spans="1:7" ht="15" x14ac:dyDescent="0.25">
      <c r="A119" s="706" t="s">
        <v>756</v>
      </c>
      <c r="B119" s="794">
        <f>B117-B118</f>
        <v>381565198.76999998</v>
      </c>
      <c r="C119" s="794">
        <f>C117-C118</f>
        <v>241966000</v>
      </c>
      <c r="D119" s="794"/>
    </row>
    <row r="120" spans="1:7" ht="15" x14ac:dyDescent="0.25">
      <c r="A120" s="842" t="s">
        <v>757</v>
      </c>
      <c r="B120" s="843">
        <f>G59</f>
        <v>194165198.76999998</v>
      </c>
      <c r="C120" s="843">
        <f>H59</f>
        <v>69466000</v>
      </c>
      <c r="D120" s="843"/>
    </row>
    <row r="121" spans="1:7" ht="15" x14ac:dyDescent="0.25">
      <c r="A121" s="842" t="s">
        <v>758</v>
      </c>
      <c r="B121" s="843">
        <f>G73</f>
        <v>17500000</v>
      </c>
      <c r="C121" s="843">
        <f>H73</f>
        <v>12100000</v>
      </c>
      <c r="D121" s="843"/>
    </row>
    <row r="122" spans="1:7" ht="15" x14ac:dyDescent="0.25">
      <c r="A122" s="842" t="s">
        <v>759</v>
      </c>
      <c r="B122" s="843">
        <f>G97</f>
        <v>66800000</v>
      </c>
      <c r="C122" s="843">
        <f>G97</f>
        <v>66800000</v>
      </c>
      <c r="D122" s="843"/>
    </row>
    <row r="123" spans="1:7" ht="15" x14ac:dyDescent="0.25">
      <c r="A123" s="842" t="s">
        <v>760</v>
      </c>
      <c r="B123" s="843">
        <f>F114</f>
        <v>83325000</v>
      </c>
      <c r="C123" s="843">
        <f>F114</f>
        <v>83325000</v>
      </c>
      <c r="D123" s="843"/>
    </row>
    <row r="124" spans="1:7" ht="15" x14ac:dyDescent="0.25">
      <c r="A124" s="842" t="s">
        <v>761</v>
      </c>
      <c r="B124" s="843">
        <f>F84</f>
        <v>25275000</v>
      </c>
      <c r="C124" s="843">
        <f>F84</f>
        <v>25275000</v>
      </c>
      <c r="D124" s="843"/>
    </row>
    <row r="126" spans="1:7" ht="15" x14ac:dyDescent="0.25">
      <c r="A126" s="706" t="s">
        <v>762</v>
      </c>
      <c r="B126" s="794">
        <v>40000000</v>
      </c>
      <c r="C126" s="794">
        <f>B126</f>
        <v>40000000</v>
      </c>
      <c r="D126" s="794"/>
    </row>
    <row r="127" spans="1:7" ht="15" x14ac:dyDescent="0.25">
      <c r="A127" s="706" t="s">
        <v>1020</v>
      </c>
      <c r="B127" s="794">
        <v>20000000</v>
      </c>
      <c r="C127" s="794">
        <v>20000000</v>
      </c>
      <c r="D127" s="794"/>
    </row>
    <row r="128" spans="1:7" ht="15" x14ac:dyDescent="0.25">
      <c r="A128" s="706" t="s">
        <v>1021</v>
      </c>
      <c r="B128" s="794">
        <v>20000000</v>
      </c>
      <c r="C128" s="794">
        <v>20000000</v>
      </c>
      <c r="D128" s="794"/>
    </row>
    <row r="130" spans="1:4" ht="15" x14ac:dyDescent="0.25">
      <c r="A130" s="706" t="s">
        <v>763</v>
      </c>
      <c r="B130" s="844">
        <f>B119-SUM(B126:B128)</f>
        <v>301565198.76999998</v>
      </c>
      <c r="C130" s="844">
        <f>C119-SUM(C126:C128)</f>
        <v>161966000</v>
      </c>
      <c r="D130" s="844"/>
    </row>
    <row r="132" spans="1:4" ht="15" x14ac:dyDescent="0.25">
      <c r="A132" s="706" t="s">
        <v>764</v>
      </c>
    </row>
    <row r="133" spans="1:4" ht="15" x14ac:dyDescent="0.25">
      <c r="A133" s="842" t="s">
        <v>765</v>
      </c>
      <c r="B133" s="794">
        <v>10000000</v>
      </c>
      <c r="C133" s="794">
        <v>10000000</v>
      </c>
      <c r="D133" s="794"/>
    </row>
    <row r="134" spans="1:4" ht="15" x14ac:dyDescent="0.25">
      <c r="A134" s="842" t="s">
        <v>766</v>
      </c>
      <c r="B134" s="794">
        <f>35000000</f>
        <v>35000000</v>
      </c>
      <c r="C134" s="794">
        <f>35000000</f>
        <v>35000000</v>
      </c>
      <c r="D134" s="794"/>
    </row>
    <row r="135" spans="1:4" ht="15" x14ac:dyDescent="0.25">
      <c r="A135" s="842" t="s">
        <v>767</v>
      </c>
      <c r="B135" s="845">
        <f>33000*1800*0.7</f>
        <v>41580000</v>
      </c>
      <c r="C135" s="845">
        <f>33000*1800*0.7</f>
        <v>41580000</v>
      </c>
      <c r="D135" s="845"/>
    </row>
    <row r="136" spans="1:4" ht="15" x14ac:dyDescent="0.25">
      <c r="A136" s="842" t="s">
        <v>768</v>
      </c>
      <c r="B136" s="794">
        <f>15000*780</f>
        <v>11700000</v>
      </c>
      <c r="C136" s="794">
        <f>15000*780</f>
        <v>11700000</v>
      </c>
      <c r="D136" s="794"/>
    </row>
    <row r="137" spans="1:4" ht="15" x14ac:dyDescent="0.25">
      <c r="A137" s="845"/>
      <c r="B137" s="794"/>
      <c r="C137" s="794"/>
      <c r="D137" s="794"/>
    </row>
    <row r="138" spans="1:4" ht="15" x14ac:dyDescent="0.25">
      <c r="A138" s="706" t="s">
        <v>769</v>
      </c>
      <c r="B138" s="794">
        <f>SUM(B133:B134,B136)</f>
        <v>56700000</v>
      </c>
      <c r="C138" s="794">
        <f>SUM(C133:C134,C136)</f>
        <v>56700000</v>
      </c>
      <c r="D138" s="794"/>
    </row>
    <row r="139" spans="1:4" ht="15" x14ac:dyDescent="0.25">
      <c r="A139" s="706" t="s">
        <v>770</v>
      </c>
      <c r="B139" s="794">
        <f>SUM(B133,B135,B136)</f>
        <v>63280000</v>
      </c>
      <c r="C139" s="794">
        <f>SUM(C133,C135,C136)</f>
        <v>63280000</v>
      </c>
      <c r="D139" s="794"/>
    </row>
    <row r="140" spans="1:4" x14ac:dyDescent="0.2">
      <c r="B140" s="794"/>
      <c r="C140" s="794"/>
      <c r="D140" s="794"/>
    </row>
    <row r="141" spans="1:4" ht="15" x14ac:dyDescent="0.25">
      <c r="A141" s="706" t="s">
        <v>771</v>
      </c>
      <c r="B141" s="794">
        <v>77000000</v>
      </c>
      <c r="C141" s="794">
        <v>77000000</v>
      </c>
      <c r="D141" s="794"/>
    </row>
    <row r="142" spans="1:4" ht="15" x14ac:dyDescent="0.25">
      <c r="A142" s="706" t="s">
        <v>772</v>
      </c>
      <c r="B142" s="794">
        <v>145000000</v>
      </c>
      <c r="C142" s="794">
        <v>145000000</v>
      </c>
      <c r="D142" s="794"/>
    </row>
    <row r="144" spans="1:4" ht="15" x14ac:dyDescent="0.25">
      <c r="A144" s="706" t="s">
        <v>773</v>
      </c>
      <c r="B144" s="794">
        <f>B142-B141</f>
        <v>68000000</v>
      </c>
      <c r="C144" s="794">
        <f>C142-C141</f>
        <v>68000000</v>
      </c>
      <c r="D144" s="794"/>
    </row>
    <row r="145" spans="1:4" x14ac:dyDescent="0.2">
      <c r="A145" s="422" t="s">
        <v>774</v>
      </c>
      <c r="B145" s="794">
        <f>4*10908000</f>
        <v>43632000</v>
      </c>
      <c r="C145" s="794">
        <f>4*10908000</f>
        <v>43632000</v>
      </c>
      <c r="D145" s="794"/>
    </row>
    <row r="146" spans="1:4" x14ac:dyDescent="0.2">
      <c r="B146" s="794"/>
      <c r="C146" s="794"/>
      <c r="D146" s="794"/>
    </row>
    <row r="147" spans="1:4" ht="15" x14ac:dyDescent="0.25">
      <c r="A147" s="706" t="s">
        <v>775</v>
      </c>
      <c r="B147" s="844">
        <f>SUM(B144:B145)</f>
        <v>111632000</v>
      </c>
      <c r="C147" s="844">
        <f>SUM(C144:C145)</f>
        <v>111632000</v>
      </c>
      <c r="D147" s="844"/>
    </row>
    <row r="149" spans="1:4" ht="15" x14ac:dyDescent="0.25">
      <c r="A149" s="706" t="s">
        <v>776</v>
      </c>
      <c r="B149" s="846">
        <f>B147-B130</f>
        <v>-189933198.76999998</v>
      </c>
      <c r="C149" s="846">
        <f>C147-C130</f>
        <v>-50334000</v>
      </c>
      <c r="D149" s="846"/>
    </row>
    <row r="151" spans="1:4" ht="23.25" x14ac:dyDescent="0.35">
      <c r="A151" s="847" t="s">
        <v>1022</v>
      </c>
    </row>
    <row r="153" spans="1:4" ht="15" x14ac:dyDescent="0.25">
      <c r="A153" s="706" t="s">
        <v>1023</v>
      </c>
      <c r="B153" s="706" t="s">
        <v>1024</v>
      </c>
      <c r="C153" s="706" t="s">
        <v>720</v>
      </c>
    </row>
    <row r="154" spans="1:4" ht="15" x14ac:dyDescent="0.25">
      <c r="A154" s="717"/>
      <c r="B154" s="843"/>
      <c r="C154" s="843"/>
    </row>
    <row r="155" spans="1:4" ht="15" x14ac:dyDescent="0.25">
      <c r="A155" s="848" t="s">
        <v>1012</v>
      </c>
      <c r="B155" s="849">
        <f>D69</f>
        <v>3000000</v>
      </c>
      <c r="C155" s="849">
        <f>H69</f>
        <v>1500000</v>
      </c>
    </row>
    <row r="156" spans="1:4" ht="15" x14ac:dyDescent="0.25">
      <c r="A156" s="848" t="str">
        <f>A21</f>
        <v>Fibichova</v>
      </c>
      <c r="B156" s="849">
        <f>D21</f>
        <v>5401730.3999999994</v>
      </c>
      <c r="C156" s="849">
        <f>H21</f>
        <v>900000</v>
      </c>
    </row>
    <row r="157" spans="1:4" ht="15" x14ac:dyDescent="0.25">
      <c r="A157" s="848" t="str">
        <f>A25</f>
        <v>Na Ztraceném Korci</v>
      </c>
      <c r="B157" s="849">
        <f>D25</f>
        <v>1760368.5</v>
      </c>
      <c r="C157" s="849">
        <f>H25</f>
        <v>180000</v>
      </c>
    </row>
    <row r="158" spans="1:4" ht="15" x14ac:dyDescent="0.25">
      <c r="A158" s="848" t="str">
        <f>A26</f>
        <v>Kupkova</v>
      </c>
      <c r="B158" s="849">
        <f>D26</f>
        <v>2477003.1</v>
      </c>
      <c r="C158" s="849">
        <f>H26</f>
        <v>550000</v>
      </c>
    </row>
    <row r="159" spans="1:4" ht="15" x14ac:dyDescent="0.25">
      <c r="A159" s="848" t="str">
        <f>A38</f>
        <v>Táboritská</v>
      </c>
      <c r="B159" s="849">
        <f>D38</f>
        <v>4200000</v>
      </c>
      <c r="C159" s="849">
        <f>H38</f>
        <v>1500000</v>
      </c>
    </row>
    <row r="160" spans="1:4" ht="15" x14ac:dyDescent="0.25">
      <c r="A160" s="848" t="str">
        <f>A46</f>
        <v>E.E.Kische</v>
      </c>
      <c r="B160" s="849">
        <f>D46</f>
        <v>2809620</v>
      </c>
      <c r="C160" s="849">
        <f>H46</f>
        <v>480000</v>
      </c>
    </row>
    <row r="161" spans="1:3" ht="15" x14ac:dyDescent="0.25">
      <c r="A161" s="848" t="str">
        <f>A56</f>
        <v>Srbská</v>
      </c>
      <c r="B161" s="849">
        <f>D56</f>
        <v>7500000</v>
      </c>
      <c r="C161" s="849">
        <f>H56</f>
        <v>1200000</v>
      </c>
    </row>
    <row r="162" spans="1:3" ht="15" x14ac:dyDescent="0.25">
      <c r="A162" s="848" t="str">
        <f>A68</f>
        <v>Cyklostezka - propojení Mánesova - koupaliště - Muchova</v>
      </c>
      <c r="B162" s="849">
        <f>D68</f>
        <v>2400000</v>
      </c>
      <c r="C162" s="849">
        <f>H68</f>
        <v>1200000</v>
      </c>
    </row>
    <row r="163" spans="1:3" ht="15" x14ac:dyDescent="0.25">
      <c r="A163" s="848" t="s">
        <v>726</v>
      </c>
      <c r="B163" s="849">
        <f>D70</f>
        <v>3000000</v>
      </c>
      <c r="C163" s="849">
        <f>H70</f>
        <v>900000</v>
      </c>
    </row>
    <row r="164" spans="1:3" ht="15" x14ac:dyDescent="0.25">
      <c r="A164" s="848" t="s">
        <v>727</v>
      </c>
      <c r="B164" s="849">
        <f>D71</f>
        <v>1400000</v>
      </c>
      <c r="C164" s="849">
        <f>H71</f>
        <v>400000</v>
      </c>
    </row>
    <row r="165" spans="1:3" ht="15" x14ac:dyDescent="0.25">
      <c r="A165" s="848" t="s">
        <v>1025</v>
      </c>
      <c r="B165" s="849">
        <f>D109</f>
        <v>8000000</v>
      </c>
      <c r="C165" s="849">
        <f>F109</f>
        <v>4000000</v>
      </c>
    </row>
    <row r="166" spans="1:3" ht="15" x14ac:dyDescent="0.25">
      <c r="A166" s="848" t="s">
        <v>1026</v>
      </c>
      <c r="B166" s="849">
        <f>D110</f>
        <v>8500000</v>
      </c>
      <c r="C166" s="849">
        <f>F110</f>
        <v>5000000</v>
      </c>
    </row>
    <row r="167" spans="1:3" ht="15" x14ac:dyDescent="0.25">
      <c r="A167" s="848" t="str">
        <f>A67</f>
        <v xml:space="preserve">Cyklostezka - přemostění I/12 </v>
      </c>
      <c r="B167" s="849">
        <f>D67</f>
        <v>12000000</v>
      </c>
      <c r="C167" s="849">
        <f>H67</f>
        <v>3600000</v>
      </c>
    </row>
    <row r="168" spans="1:3" ht="15" x14ac:dyDescent="0.25">
      <c r="A168" s="848" t="str">
        <f>A106</f>
        <v>Zateplení ZŠ Úvaly budova B</v>
      </c>
      <c r="B168" s="849">
        <f>D106</f>
        <v>18000000</v>
      </c>
      <c r="C168" s="849">
        <f>F106</f>
        <v>9000000</v>
      </c>
    </row>
    <row r="169" spans="1:3" ht="15" x14ac:dyDescent="0.25">
      <c r="A169" s="717"/>
      <c r="B169" s="843"/>
      <c r="C169" s="843"/>
    </row>
    <row r="170" spans="1:3" ht="23.25" x14ac:dyDescent="0.35">
      <c r="A170" s="847" t="s">
        <v>1027</v>
      </c>
      <c r="B170" s="843"/>
      <c r="C170" s="843"/>
    </row>
    <row r="171" spans="1:3" ht="15" x14ac:dyDescent="0.25">
      <c r="A171" s="717"/>
      <c r="B171" s="843"/>
      <c r="C171" s="843"/>
    </row>
    <row r="172" spans="1:3" ht="15" x14ac:dyDescent="0.25">
      <c r="A172" s="850" t="s">
        <v>1014</v>
      </c>
      <c r="B172" s="851">
        <f>D93</f>
        <v>30000000</v>
      </c>
      <c r="C172" s="851">
        <f>H93</f>
        <v>15000000</v>
      </c>
    </row>
    <row r="173" spans="1:3" ht="15" x14ac:dyDescent="0.25">
      <c r="A173" s="850" t="s">
        <v>733</v>
      </c>
      <c r="B173" s="851">
        <f>D79</f>
        <v>12000000</v>
      </c>
      <c r="C173" s="851">
        <f>F79</f>
        <v>6000000</v>
      </c>
    </row>
    <row r="174" spans="1:3" ht="15" x14ac:dyDescent="0.25">
      <c r="A174" s="717"/>
      <c r="C174" s="843"/>
    </row>
    <row r="175" spans="1:3" ht="21" x14ac:dyDescent="0.35">
      <c r="A175" s="852" t="s">
        <v>776</v>
      </c>
      <c r="C175" s="853">
        <f>C149+SUM(C155:C168,C172:C173)</f>
        <v>1076000</v>
      </c>
    </row>
    <row r="176" spans="1:3" ht="15" x14ac:dyDescent="0.25">
      <c r="A176" s="717"/>
      <c r="C176" s="843"/>
    </row>
    <row r="177" spans="1:3" ht="15" x14ac:dyDescent="0.25">
      <c r="A177" s="717"/>
      <c r="C177" s="843"/>
    </row>
    <row r="178" spans="1:3" ht="15" x14ac:dyDescent="0.25">
      <c r="A178" s="717"/>
      <c r="C178" s="843"/>
    </row>
    <row r="179" spans="1:3" ht="15" x14ac:dyDescent="0.25">
      <c r="A179" s="717"/>
      <c r="C179" s="843"/>
    </row>
  </sheetData>
  <mergeCells count="1">
    <mergeCell ref="J5:N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7"/>
  <sheetViews>
    <sheetView workbookViewId="0"/>
  </sheetViews>
  <sheetFormatPr defaultRowHeight="15.75" outlineLevelRow="1" outlineLevelCol="1" x14ac:dyDescent="0.25"/>
  <cols>
    <col min="1" max="1" width="10.7109375" style="1092" customWidth="1"/>
    <col min="2" max="2" width="52.28515625" style="129" bestFit="1" customWidth="1"/>
    <col min="3" max="3" width="17.28515625" style="237" customWidth="1" outlineLevel="1"/>
    <col min="4" max="5" width="15.5703125" style="237" customWidth="1" outlineLevel="1"/>
    <col min="6" max="6" width="15.5703125" style="237" customWidth="1"/>
    <col min="7" max="7" width="13.28515625" style="1161" hidden="1" customWidth="1"/>
    <col min="8" max="8" width="12.42578125" style="1276" hidden="1" customWidth="1"/>
    <col min="9" max="9" width="18.42578125" style="1273" hidden="1" customWidth="1"/>
    <col min="10" max="10" width="48.28515625" style="1162" customWidth="1"/>
    <col min="11" max="11" width="83.140625" style="1208" bestFit="1" customWidth="1"/>
    <col min="12" max="16384" width="9.140625" style="129"/>
  </cols>
  <sheetData>
    <row r="2" spans="1:11" x14ac:dyDescent="0.25">
      <c r="A2" s="1092" t="s">
        <v>1367</v>
      </c>
      <c r="B2" s="33"/>
    </row>
    <row r="4" spans="1:11" ht="33" customHeight="1" thickBot="1" x14ac:dyDescent="0.3">
      <c r="A4" s="1093" t="s">
        <v>344</v>
      </c>
      <c r="B4" s="240"/>
      <c r="C4" s="242" t="s">
        <v>1255</v>
      </c>
      <c r="D4" s="242" t="s">
        <v>1343</v>
      </c>
      <c r="E4" s="242" t="s">
        <v>1403</v>
      </c>
      <c r="F4" s="267" t="s">
        <v>1369</v>
      </c>
      <c r="G4" s="1912" t="s">
        <v>7</v>
      </c>
      <c r="H4" s="1913"/>
      <c r="I4" s="1914"/>
      <c r="J4" s="1242" t="s">
        <v>1076</v>
      </c>
    </row>
    <row r="5" spans="1:11" x14ac:dyDescent="0.25">
      <c r="G5" s="1271"/>
      <c r="H5" s="1267" t="s">
        <v>1351</v>
      </c>
      <c r="I5" s="1269" t="s">
        <v>1352</v>
      </c>
    </row>
    <row r="6" spans="1:11" s="33" customFormat="1" ht="15" customHeight="1" thickBot="1" x14ac:dyDescent="0.3">
      <c r="A6" s="261" t="s">
        <v>345</v>
      </c>
      <c r="B6" s="243" t="s">
        <v>346</v>
      </c>
      <c r="C6" s="245">
        <f>SUM(C7:C24)</f>
        <v>99343846</v>
      </c>
      <c r="D6" s="245">
        <v>101443846</v>
      </c>
      <c r="E6" s="245">
        <v>103443846</v>
      </c>
      <c r="F6" s="245">
        <f>SUM(F7:F24)</f>
        <v>108848000</v>
      </c>
      <c r="G6" s="693">
        <f>+F6-E6</f>
        <v>5404154</v>
      </c>
      <c r="H6" s="1277"/>
      <c r="I6" s="1274"/>
      <c r="J6" s="1163"/>
      <c r="K6" s="1209"/>
    </row>
    <row r="7" spans="1:11" s="249" customFormat="1" ht="18" customHeight="1" outlineLevel="1" x14ac:dyDescent="0.25">
      <c r="A7" s="1173">
        <v>1111</v>
      </c>
      <c r="B7" s="250" t="s">
        <v>20</v>
      </c>
      <c r="C7" s="238">
        <f>'Sumář příjmů kapitol'!F8</f>
        <v>18500000</v>
      </c>
      <c r="D7" s="238">
        <v>18500000</v>
      </c>
      <c r="E7" s="238">
        <v>19000000</v>
      </c>
      <c r="F7" s="238">
        <f>'Sumář příjmů kapitol'!I8</f>
        <v>21600000</v>
      </c>
      <c r="G7" s="1159">
        <f t="shared" ref="G7:G70" si="0">+F7-E7</f>
        <v>2600000</v>
      </c>
      <c r="H7" s="1276"/>
      <c r="I7" s="1273"/>
      <c r="J7" s="1160"/>
      <c r="K7" s="1208"/>
    </row>
    <row r="8" spans="1:11" s="249" customFormat="1" ht="18" customHeight="1" outlineLevel="1" x14ac:dyDescent="0.25">
      <c r="A8" s="1173">
        <v>1112</v>
      </c>
      <c r="B8" s="250" t="s">
        <v>21</v>
      </c>
      <c r="C8" s="238">
        <f>'Sumář příjmů kapitol'!F9</f>
        <v>0</v>
      </c>
      <c r="D8" s="238">
        <v>2100000</v>
      </c>
      <c r="E8" s="238">
        <v>2100000</v>
      </c>
      <c r="F8" s="238">
        <f>'Sumář příjmů kapitol'!I9</f>
        <v>2100000</v>
      </c>
      <c r="G8" s="1159">
        <f t="shared" si="0"/>
        <v>0</v>
      </c>
      <c r="H8" s="1276"/>
      <c r="I8" s="1273"/>
      <c r="J8" s="1160"/>
      <c r="K8" s="1208"/>
    </row>
    <row r="9" spans="1:11" s="249" customFormat="1" ht="18" customHeight="1" outlineLevel="1" x14ac:dyDescent="0.25">
      <c r="A9" s="1173">
        <v>1121</v>
      </c>
      <c r="B9" s="250" t="s">
        <v>22</v>
      </c>
      <c r="C9" s="238">
        <f>'Sumář příjmů kapitol'!F10</f>
        <v>18500000</v>
      </c>
      <c r="D9" s="238">
        <v>18500000</v>
      </c>
      <c r="E9" s="238">
        <v>19000000</v>
      </c>
      <c r="F9" s="238">
        <f>'Sumář příjmů kapitol'!I10</f>
        <v>20300000</v>
      </c>
      <c r="G9" s="1159">
        <f t="shared" si="0"/>
        <v>1300000</v>
      </c>
      <c r="H9" s="1276"/>
      <c r="I9" s="1273"/>
      <c r="J9" s="1160"/>
      <c r="K9" s="1208"/>
    </row>
    <row r="10" spans="1:11" s="249" customFormat="1" ht="18" customHeight="1" outlineLevel="1" x14ac:dyDescent="0.25">
      <c r="A10" s="1173">
        <v>1113</v>
      </c>
      <c r="B10" s="250" t="s">
        <v>809</v>
      </c>
      <c r="C10" s="238">
        <f>'Sumář příjmů kapitol'!F11</f>
        <v>600000</v>
      </c>
      <c r="D10" s="238">
        <v>600000</v>
      </c>
      <c r="E10" s="238">
        <v>600000</v>
      </c>
      <c r="F10" s="238">
        <f>'Sumář příjmů kapitol'!I11</f>
        <v>600000</v>
      </c>
      <c r="G10" s="1159">
        <f t="shared" si="0"/>
        <v>0</v>
      </c>
      <c r="H10" s="1276"/>
      <c r="I10" s="1273"/>
      <c r="J10" s="1160"/>
      <c r="K10" s="1208"/>
    </row>
    <row r="11" spans="1:11" s="249" customFormat="1" ht="18" customHeight="1" outlineLevel="1" x14ac:dyDescent="0.25">
      <c r="A11" s="1173">
        <v>1211</v>
      </c>
      <c r="B11" s="250" t="s">
        <v>23</v>
      </c>
      <c r="C11" s="238">
        <f>'Sumář příjmů kapitol'!F12</f>
        <v>35000000</v>
      </c>
      <c r="D11" s="238">
        <v>35000000</v>
      </c>
      <c r="E11" s="238">
        <v>36000000</v>
      </c>
      <c r="F11" s="238">
        <f>'Sumář příjmů kapitol'!I12</f>
        <v>45000000</v>
      </c>
      <c r="G11" s="1159">
        <f t="shared" si="0"/>
        <v>9000000</v>
      </c>
      <c r="H11" s="1276"/>
      <c r="I11" s="1273"/>
      <c r="J11" s="1160"/>
      <c r="K11" s="1208"/>
    </row>
    <row r="12" spans="1:11" ht="18" customHeight="1" outlineLevel="1" x14ac:dyDescent="0.25">
      <c r="A12" s="266" t="s">
        <v>24</v>
      </c>
      <c r="B12" s="246" t="s">
        <v>25</v>
      </c>
      <c r="C12" s="237">
        <f>'Sumář příjmů kapitol'!F13</f>
        <v>0</v>
      </c>
      <c r="D12" s="237">
        <v>0</v>
      </c>
      <c r="E12" s="237">
        <v>0</v>
      </c>
      <c r="F12" s="237">
        <f>'Sumář příjmů kapitol'!I13</f>
        <v>0</v>
      </c>
      <c r="G12" s="1159">
        <f t="shared" si="0"/>
        <v>0</v>
      </c>
      <c r="J12" s="1160"/>
    </row>
    <row r="13" spans="1:11" ht="18" customHeight="1" outlineLevel="1" x14ac:dyDescent="0.25">
      <c r="A13" s="266" t="s">
        <v>26</v>
      </c>
      <c r="B13" s="246" t="s">
        <v>27</v>
      </c>
      <c r="C13" s="237">
        <f>'Sumář příjmů kapitol'!F15</f>
        <v>4000000</v>
      </c>
      <c r="D13" s="237">
        <v>4000000</v>
      </c>
      <c r="E13" s="237">
        <v>4000000</v>
      </c>
      <c r="F13" s="237">
        <f>'Sumář příjmů kapitol'!I15</f>
        <v>4000000</v>
      </c>
      <c r="G13" s="1159">
        <f t="shared" si="0"/>
        <v>0</v>
      </c>
      <c r="J13" s="1160"/>
    </row>
    <row r="14" spans="1:11" ht="18" customHeight="1" outlineLevel="1" x14ac:dyDescent="0.25">
      <c r="A14" s="266">
        <v>1341</v>
      </c>
      <c r="B14" s="246" t="s">
        <v>28</v>
      </c>
      <c r="C14" s="237">
        <f>'Sumář příjmů kapitol'!F16</f>
        <v>260000</v>
      </c>
      <c r="D14" s="237">
        <v>260000</v>
      </c>
      <c r="E14" s="237">
        <v>260000</v>
      </c>
      <c r="F14" s="237">
        <f>'Sumář příjmů kapitol'!I16</f>
        <v>260000</v>
      </c>
      <c r="G14" s="1159">
        <f t="shared" si="0"/>
        <v>0</v>
      </c>
      <c r="J14" s="1160"/>
    </row>
    <row r="15" spans="1:11" ht="18" customHeight="1" outlineLevel="1" x14ac:dyDescent="0.25">
      <c r="A15" s="266">
        <v>1343</v>
      </c>
      <c r="B15" s="246" t="s">
        <v>29</v>
      </c>
      <c r="C15" s="237">
        <f>'Sumář příjmů kapitol'!F17</f>
        <v>75000</v>
      </c>
      <c r="D15" s="237">
        <v>75000</v>
      </c>
      <c r="E15" s="237">
        <v>75000</v>
      </c>
      <c r="F15" s="237">
        <f>'Sumář příjmů kapitol'!I17</f>
        <v>75000</v>
      </c>
      <c r="G15" s="1159">
        <f t="shared" si="0"/>
        <v>0</v>
      </c>
      <c r="J15" s="1160"/>
    </row>
    <row r="16" spans="1:11" ht="18" customHeight="1" outlineLevel="1" x14ac:dyDescent="0.25">
      <c r="A16" s="266">
        <v>1344</v>
      </c>
      <c r="B16" s="246" t="s">
        <v>30</v>
      </c>
      <c r="C16" s="237">
        <f>'Sumář příjmů kapitol'!F18</f>
        <v>3000</v>
      </c>
      <c r="D16" s="237">
        <v>3000</v>
      </c>
      <c r="E16" s="237">
        <v>3000</v>
      </c>
      <c r="F16" s="237">
        <f>'Sumář příjmů kapitol'!I18</f>
        <v>3000</v>
      </c>
      <c r="G16" s="1159">
        <f t="shared" si="0"/>
        <v>0</v>
      </c>
      <c r="J16" s="1160"/>
    </row>
    <row r="17" spans="1:11" ht="18" customHeight="1" outlineLevel="1" x14ac:dyDescent="0.25">
      <c r="A17" s="266">
        <v>1345</v>
      </c>
      <c r="B17" s="246" t="s">
        <v>31</v>
      </c>
      <c r="C17" s="237">
        <f>'Sumář příjmů kapitol'!F19</f>
        <v>10000</v>
      </c>
      <c r="D17" s="237">
        <v>10000</v>
      </c>
      <c r="E17" s="237">
        <v>10000</v>
      </c>
      <c r="F17" s="237">
        <f>'Sumář příjmů kapitol'!I19</f>
        <v>10000</v>
      </c>
      <c r="G17" s="1159">
        <f t="shared" si="0"/>
        <v>0</v>
      </c>
      <c r="J17" s="1160"/>
    </row>
    <row r="18" spans="1:11" ht="18" customHeight="1" outlineLevel="1" x14ac:dyDescent="0.25">
      <c r="A18" s="266">
        <v>1347</v>
      </c>
      <c r="B18" s="246" t="s">
        <v>32</v>
      </c>
      <c r="C18" s="237">
        <f>'Sumář příjmů kapitol'!F20</f>
        <v>0</v>
      </c>
      <c r="D18" s="237">
        <v>0</v>
      </c>
      <c r="E18" s="237">
        <v>0</v>
      </c>
      <c r="F18" s="237">
        <f>'Sumář příjmů kapitol'!I20</f>
        <v>0</v>
      </c>
      <c r="G18" s="1159">
        <f t="shared" si="0"/>
        <v>0</v>
      </c>
      <c r="J18" s="1160"/>
    </row>
    <row r="19" spans="1:11" ht="18" customHeight="1" outlineLevel="1" x14ac:dyDescent="0.25">
      <c r="A19" s="266" t="s">
        <v>33</v>
      </c>
      <c r="B19" s="246" t="s">
        <v>34</v>
      </c>
      <c r="C19" s="237">
        <f>'Sumář příjmů kapitol'!F21</f>
        <v>100000</v>
      </c>
      <c r="D19" s="237">
        <v>100000</v>
      </c>
      <c r="E19" s="237">
        <v>100000</v>
      </c>
      <c r="F19" s="237">
        <f>'Sumář příjmů kapitol'!I21</f>
        <v>100000</v>
      </c>
      <c r="G19" s="1159">
        <f t="shared" si="0"/>
        <v>0</v>
      </c>
      <c r="J19" s="1160"/>
    </row>
    <row r="20" spans="1:11" ht="18" customHeight="1" outlineLevel="1" x14ac:dyDescent="0.25">
      <c r="A20" s="266" t="s">
        <v>33</v>
      </c>
      <c r="B20" s="246" t="s">
        <v>808</v>
      </c>
      <c r="C20" s="594">
        <f>'Sumář příjmů kapitol'!F22</f>
        <v>11995846</v>
      </c>
      <c r="D20" s="594">
        <v>11995846</v>
      </c>
      <c r="E20" s="594">
        <v>11995846</v>
      </c>
      <c r="F20" s="594">
        <f>'Sumář příjmů kapitol'!I22</f>
        <v>4000000</v>
      </c>
      <c r="G20" s="1159">
        <f t="shared" si="0"/>
        <v>-7995846</v>
      </c>
      <c r="J20" s="1160"/>
    </row>
    <row r="21" spans="1:11" ht="18" customHeight="1" outlineLevel="1" x14ac:dyDescent="0.25">
      <c r="A21" s="266">
        <v>1355</v>
      </c>
      <c r="B21" s="246" t="s">
        <v>810</v>
      </c>
      <c r="C21" s="237">
        <f>'Sumář příjmů kapitol'!F23</f>
        <v>1000000</v>
      </c>
      <c r="D21" s="237">
        <v>1000000</v>
      </c>
      <c r="E21" s="237">
        <v>1000000</v>
      </c>
      <c r="F21" s="237">
        <f>'Sumář příjmů kapitol'!I23</f>
        <v>2000000</v>
      </c>
      <c r="G21" s="1159">
        <f t="shared" si="0"/>
        <v>1000000</v>
      </c>
      <c r="J21" s="1160"/>
    </row>
    <row r="22" spans="1:11" ht="18" customHeight="1" outlineLevel="1" x14ac:dyDescent="0.25">
      <c r="A22" s="266" t="s">
        <v>35</v>
      </c>
      <c r="B22" s="246" t="s">
        <v>36</v>
      </c>
      <c r="C22" s="237">
        <f>'Sumář příjmů kapitol'!F24</f>
        <v>500000</v>
      </c>
      <c r="D22" s="237">
        <v>500000</v>
      </c>
      <c r="E22" s="237">
        <v>500000</v>
      </c>
      <c r="F22" s="237">
        <f>'Sumář příjmů kapitol'!I24</f>
        <v>0</v>
      </c>
      <c r="G22" s="1159">
        <f t="shared" si="0"/>
        <v>-500000</v>
      </c>
      <c r="J22" s="1160"/>
    </row>
    <row r="23" spans="1:11" ht="18" customHeight="1" outlineLevel="1" x14ac:dyDescent="0.25">
      <c r="A23" s="266" t="s">
        <v>37</v>
      </c>
      <c r="B23" s="246" t="s">
        <v>38</v>
      </c>
      <c r="C23" s="237">
        <f>'Sumář příjmů kapitol'!F25</f>
        <v>1400000</v>
      </c>
      <c r="D23" s="237">
        <v>1400000</v>
      </c>
      <c r="E23" s="237">
        <v>1400000</v>
      </c>
      <c r="F23" s="237">
        <f>'Sumář příjmů kapitol'!I25</f>
        <v>1400000</v>
      </c>
      <c r="G23" s="1159">
        <f t="shared" si="0"/>
        <v>0</v>
      </c>
      <c r="J23" s="1160"/>
    </row>
    <row r="24" spans="1:11" ht="18" customHeight="1" outlineLevel="1" x14ac:dyDescent="0.25">
      <c r="A24" s="266">
        <v>1511</v>
      </c>
      <c r="B24" s="246" t="s">
        <v>39</v>
      </c>
      <c r="C24" s="237">
        <f>'Sumář příjmů kapitol'!F26</f>
        <v>7400000</v>
      </c>
      <c r="D24" s="237">
        <v>7400000</v>
      </c>
      <c r="E24" s="237">
        <v>7400000</v>
      </c>
      <c r="F24" s="237">
        <f>'Sumář příjmů kapitol'!I26</f>
        <v>7400000</v>
      </c>
      <c r="G24" s="1159">
        <f t="shared" si="0"/>
        <v>0</v>
      </c>
      <c r="J24" s="1160"/>
    </row>
    <row r="25" spans="1:11" ht="10.5" customHeight="1" x14ac:dyDescent="0.25">
      <c r="G25" s="1159">
        <f t="shared" si="0"/>
        <v>0</v>
      </c>
      <c r="J25" s="1160"/>
    </row>
    <row r="26" spans="1:11" s="33" customFormat="1" ht="16.5" thickBot="1" x14ac:dyDescent="0.3">
      <c r="A26" s="261" t="s">
        <v>347</v>
      </c>
      <c r="B26" s="243" t="s">
        <v>348</v>
      </c>
      <c r="C26" s="245">
        <f>SUM(C27:C89)</f>
        <v>18418700</v>
      </c>
      <c r="D26" s="245">
        <v>18523900</v>
      </c>
      <c r="E26" s="245">
        <v>18579900</v>
      </c>
      <c r="F26" s="245">
        <f>SUM(F27:F89)</f>
        <v>19045200</v>
      </c>
      <c r="G26" s="1159">
        <f t="shared" si="0"/>
        <v>465300</v>
      </c>
      <c r="H26" s="1276"/>
      <c r="I26" s="1273"/>
      <c r="J26" s="1160"/>
      <c r="K26" s="1209"/>
    </row>
    <row r="27" spans="1:11" ht="22.5" hidden="1" customHeight="1" x14ac:dyDescent="0.25">
      <c r="B27" s="246" t="s">
        <v>41</v>
      </c>
      <c r="C27" s="237">
        <f>'Sumář příjmů kapitol'!F28</f>
        <v>0</v>
      </c>
      <c r="D27" s="237">
        <v>0</v>
      </c>
      <c r="E27" s="237">
        <v>0</v>
      </c>
      <c r="F27" s="237">
        <f>'Sumář příjmů kapitol'!G28</f>
        <v>0</v>
      </c>
      <c r="G27" s="1159">
        <f t="shared" si="0"/>
        <v>0</v>
      </c>
      <c r="J27" s="1160"/>
    </row>
    <row r="28" spans="1:11" ht="22.5" customHeight="1" x14ac:dyDescent="0.25">
      <c r="A28" s="266" t="s">
        <v>42</v>
      </c>
      <c r="B28" s="246" t="s">
        <v>1349</v>
      </c>
      <c r="C28" s="237">
        <f>'Sumář příjmů kapitol'!F29</f>
        <v>0</v>
      </c>
      <c r="D28" s="237">
        <v>0</v>
      </c>
      <c r="E28" s="237">
        <v>56000</v>
      </c>
      <c r="F28" s="237">
        <f>'Souhrn příjmů a výdajů 2018'!H28</f>
        <v>0</v>
      </c>
      <c r="G28" s="1159">
        <f t="shared" si="0"/>
        <v>-56000</v>
      </c>
      <c r="J28" s="1160"/>
    </row>
    <row r="29" spans="1:11" ht="22.5" customHeight="1" outlineLevel="1" x14ac:dyDescent="0.25">
      <c r="A29" s="266" t="s">
        <v>44</v>
      </c>
      <c r="B29" s="246" t="s">
        <v>45</v>
      </c>
      <c r="C29" s="237">
        <f>'Sumář příjmů kapitol'!F30</f>
        <v>100000</v>
      </c>
      <c r="D29" s="237">
        <v>100000</v>
      </c>
      <c r="E29" s="237">
        <v>100000</v>
      </c>
      <c r="F29" s="237">
        <f>'Sumář příjmů kapitol'!I30</f>
        <v>0</v>
      </c>
      <c r="G29" s="1159">
        <f t="shared" si="0"/>
        <v>-100000</v>
      </c>
      <c r="J29" s="1160"/>
    </row>
    <row r="30" spans="1:11" ht="17.25" hidden="1" customHeight="1" outlineLevel="1" x14ac:dyDescent="0.25">
      <c r="A30" s="266">
        <v>2460</v>
      </c>
      <c r="B30" s="246" t="s">
        <v>288</v>
      </c>
      <c r="C30" s="237">
        <f>'Sumář příjmů kapitol'!F31</f>
        <v>0</v>
      </c>
      <c r="D30" s="237">
        <v>0</v>
      </c>
      <c r="E30" s="237">
        <v>0</v>
      </c>
      <c r="F30" s="237">
        <f>'Sumář příjmů kapitol'!G31</f>
        <v>0</v>
      </c>
      <c r="G30" s="1159">
        <f t="shared" si="0"/>
        <v>0</v>
      </c>
      <c r="J30" s="1160"/>
    </row>
    <row r="31" spans="1:11" ht="17.25" hidden="1" customHeight="1" outlineLevel="1" x14ac:dyDescent="0.25">
      <c r="A31" s="266">
        <v>2481</v>
      </c>
      <c r="B31" s="246" t="s">
        <v>289</v>
      </c>
      <c r="C31" s="237">
        <f>'Sumář příjmů kapitol'!F32</f>
        <v>0</v>
      </c>
      <c r="D31" s="237">
        <v>0</v>
      </c>
      <c r="E31" s="237">
        <v>0</v>
      </c>
      <c r="F31" s="237">
        <f>'Sumář příjmů kapitol'!G32</f>
        <v>0</v>
      </c>
      <c r="G31" s="1159">
        <f t="shared" si="0"/>
        <v>0</v>
      </c>
      <c r="J31" s="1160"/>
    </row>
    <row r="32" spans="1:11" ht="17.25" hidden="1" customHeight="1" outlineLevel="1" x14ac:dyDescent="0.25">
      <c r="A32" s="266" t="s">
        <v>72</v>
      </c>
      <c r="B32" s="246" t="s">
        <v>73</v>
      </c>
      <c r="C32" s="237">
        <f>'Sumář příjmů kapitol'!F69</f>
        <v>0</v>
      </c>
      <c r="D32" s="237">
        <v>0</v>
      </c>
      <c r="E32" s="237">
        <v>0</v>
      </c>
      <c r="F32" s="237">
        <f>'Sumář příjmů kapitol'!G69</f>
        <v>0</v>
      </c>
      <c r="G32" s="1159">
        <f t="shared" si="0"/>
        <v>0</v>
      </c>
      <c r="J32" s="1160"/>
    </row>
    <row r="33" spans="1:10" ht="17.25" hidden="1" customHeight="1" outlineLevel="1" x14ac:dyDescent="0.25">
      <c r="A33" s="266" t="s">
        <v>72</v>
      </c>
      <c r="B33" s="246" t="s">
        <v>349</v>
      </c>
      <c r="G33" s="1159">
        <f t="shared" si="0"/>
        <v>0</v>
      </c>
      <c r="J33" s="1160"/>
    </row>
    <row r="34" spans="1:10" ht="17.25" hidden="1" customHeight="1" outlineLevel="1" x14ac:dyDescent="0.25">
      <c r="A34" s="266" t="s">
        <v>72</v>
      </c>
      <c r="B34" s="246" t="s">
        <v>75</v>
      </c>
      <c r="C34" s="237">
        <f>'Sumář příjmů kapitol'!F70</f>
        <v>0</v>
      </c>
      <c r="D34" s="237">
        <v>0</v>
      </c>
      <c r="E34" s="237">
        <v>0</v>
      </c>
      <c r="F34" s="237">
        <f>'Sumář příjmů kapitol'!G70</f>
        <v>0</v>
      </c>
      <c r="G34" s="1159">
        <f t="shared" si="0"/>
        <v>0</v>
      </c>
      <c r="J34" s="1160"/>
    </row>
    <row r="35" spans="1:10" ht="17.25" hidden="1" customHeight="1" outlineLevel="1" x14ac:dyDescent="0.25">
      <c r="A35" s="266" t="s">
        <v>72</v>
      </c>
      <c r="B35" s="246" t="s">
        <v>349</v>
      </c>
      <c r="C35" s="237">
        <v>0</v>
      </c>
      <c r="D35" s="237">
        <v>0</v>
      </c>
      <c r="E35" s="237">
        <v>0</v>
      </c>
      <c r="F35" s="237">
        <v>0</v>
      </c>
      <c r="G35" s="1159">
        <f t="shared" si="0"/>
        <v>0</v>
      </c>
      <c r="J35" s="1160"/>
    </row>
    <row r="36" spans="1:10" ht="17.25" hidden="1" customHeight="1" outlineLevel="1" x14ac:dyDescent="0.25">
      <c r="A36" s="266">
        <v>2132</v>
      </c>
      <c r="B36" s="246" t="s">
        <v>629</v>
      </c>
      <c r="C36" s="237">
        <v>0</v>
      </c>
      <c r="D36" s="237">
        <v>0</v>
      </c>
      <c r="E36" s="237">
        <v>0</v>
      </c>
      <c r="F36" s="237">
        <v>0</v>
      </c>
      <c r="G36" s="1159">
        <f t="shared" si="0"/>
        <v>0</v>
      </c>
      <c r="J36" s="1160"/>
    </row>
    <row r="37" spans="1:10" ht="17.25" customHeight="1" outlineLevel="1" x14ac:dyDescent="0.25">
      <c r="A37" s="266" t="s">
        <v>76</v>
      </c>
      <c r="B37" s="246" t="s">
        <v>77</v>
      </c>
      <c r="C37" s="238">
        <f>'Sumář příjmů kapitol'!F71</f>
        <v>2660000</v>
      </c>
      <c r="D37" s="238">
        <v>2660000</v>
      </c>
      <c r="E37" s="238">
        <v>2660000</v>
      </c>
      <c r="F37" s="238">
        <f>'Sumář příjmů kapitol'!I71</f>
        <v>3075000</v>
      </c>
      <c r="G37" s="1159">
        <f t="shared" si="0"/>
        <v>415000</v>
      </c>
      <c r="J37" s="1160"/>
    </row>
    <row r="38" spans="1:10" ht="17.25" customHeight="1" outlineLevel="1" x14ac:dyDescent="0.25">
      <c r="A38" s="266" t="s">
        <v>76</v>
      </c>
      <c r="B38" s="246" t="s">
        <v>79</v>
      </c>
      <c r="C38" s="238">
        <f>'Sumář příjmů kapitol'!F72</f>
        <v>5490000</v>
      </c>
      <c r="D38" s="238">
        <v>5490000</v>
      </c>
      <c r="E38" s="238">
        <v>5490000</v>
      </c>
      <c r="F38" s="238">
        <f>'Sumář příjmů kapitol'!I72</f>
        <v>6016000</v>
      </c>
      <c r="G38" s="1159">
        <f t="shared" si="0"/>
        <v>526000</v>
      </c>
      <c r="J38" s="1160"/>
    </row>
    <row r="39" spans="1:10" ht="17.25" customHeight="1" outlineLevel="1" x14ac:dyDescent="0.25">
      <c r="A39" s="266" t="s">
        <v>80</v>
      </c>
      <c r="B39" s="246" t="s">
        <v>81</v>
      </c>
      <c r="C39" s="237">
        <f>'Sumář příjmů kapitol'!F75</f>
        <v>50000</v>
      </c>
      <c r="D39" s="237">
        <v>50000</v>
      </c>
      <c r="E39" s="237">
        <v>50000</v>
      </c>
      <c r="F39" s="237">
        <f>'Sumář příjmů kapitol'!I75</f>
        <v>50000</v>
      </c>
      <c r="G39" s="1159">
        <f t="shared" si="0"/>
        <v>0</v>
      </c>
      <c r="J39" s="1160"/>
    </row>
    <row r="40" spans="1:10" ht="17.25" customHeight="1" outlineLevel="1" x14ac:dyDescent="0.25">
      <c r="A40" s="266" t="s">
        <v>76</v>
      </c>
      <c r="B40" s="246" t="s">
        <v>82</v>
      </c>
      <c r="C40" s="237">
        <f>'Sumář příjmů kapitol'!F76</f>
        <v>154000</v>
      </c>
      <c r="D40" s="237">
        <v>154000</v>
      </c>
      <c r="E40" s="237">
        <v>154000</v>
      </c>
      <c r="F40" s="237">
        <f>'Sumář příjmů kapitol'!I76</f>
        <v>154000</v>
      </c>
      <c r="G40" s="1159">
        <f t="shared" si="0"/>
        <v>0</v>
      </c>
      <c r="J40" s="1160"/>
    </row>
    <row r="41" spans="1:10" ht="17.25" hidden="1" customHeight="1" outlineLevel="1" x14ac:dyDescent="0.25">
      <c r="A41" s="266">
        <v>2111</v>
      </c>
      <c r="B41" s="246" t="s">
        <v>83</v>
      </c>
      <c r="C41" s="237">
        <f>'Sumář příjmů kapitol'!F78</f>
        <v>0</v>
      </c>
      <c r="D41" s="237">
        <v>0</v>
      </c>
      <c r="E41" s="237">
        <v>0</v>
      </c>
      <c r="F41" s="237">
        <f>'Sumář příjmů kapitol'!G78</f>
        <v>0</v>
      </c>
      <c r="G41" s="1159">
        <f t="shared" si="0"/>
        <v>0</v>
      </c>
      <c r="J41" s="1160"/>
    </row>
    <row r="42" spans="1:10" ht="17.25" hidden="1" customHeight="1" outlineLevel="1" x14ac:dyDescent="0.25">
      <c r="A42" s="266">
        <v>2132</v>
      </c>
      <c r="B42" s="246" t="s">
        <v>84</v>
      </c>
      <c r="C42" s="237">
        <f>'Sumář příjmů kapitol'!F79</f>
        <v>0</v>
      </c>
      <c r="D42" s="237">
        <v>0</v>
      </c>
      <c r="E42" s="237">
        <v>0</v>
      </c>
      <c r="F42" s="237">
        <f>'Sumář příjmů kapitol'!G79</f>
        <v>0</v>
      </c>
      <c r="G42" s="1159">
        <f t="shared" si="0"/>
        <v>0</v>
      </c>
      <c r="J42" s="1160"/>
    </row>
    <row r="43" spans="1:10" ht="17.25" hidden="1" customHeight="1" outlineLevel="1" x14ac:dyDescent="0.25">
      <c r="A43" s="266">
        <v>2322</v>
      </c>
      <c r="B43" s="246" t="s">
        <v>615</v>
      </c>
      <c r="G43" s="1159">
        <f t="shared" si="0"/>
        <v>0</v>
      </c>
      <c r="J43" s="1160"/>
    </row>
    <row r="44" spans="1:10" ht="17.25" customHeight="1" outlineLevel="1" x14ac:dyDescent="0.25">
      <c r="A44" s="266">
        <v>2111</v>
      </c>
      <c r="B44" s="246" t="s">
        <v>85</v>
      </c>
      <c r="C44" s="237">
        <f>'Sumář příjmů kapitol'!F80</f>
        <v>50000</v>
      </c>
      <c r="D44" s="237">
        <v>50000</v>
      </c>
      <c r="E44" s="237">
        <v>50000</v>
      </c>
      <c r="F44" s="237">
        <f>'Sumář příjmů kapitol'!I80</f>
        <v>50000</v>
      </c>
      <c r="G44" s="1159">
        <f t="shared" si="0"/>
        <v>0</v>
      </c>
      <c r="J44" s="1160"/>
    </row>
    <row r="45" spans="1:10" ht="17.25" customHeight="1" outlineLevel="1" x14ac:dyDescent="0.25">
      <c r="A45" s="266">
        <v>2111</v>
      </c>
      <c r="B45" s="246" t="s">
        <v>86</v>
      </c>
      <c r="C45" s="237">
        <f>'Sumář příjmů kapitol'!F81</f>
        <v>200000</v>
      </c>
      <c r="D45" s="237">
        <v>200000</v>
      </c>
      <c r="E45" s="237">
        <v>200000</v>
      </c>
      <c r="F45" s="237">
        <f>'Sumář příjmů kapitol'!I81</f>
        <v>250000</v>
      </c>
      <c r="G45" s="1159">
        <f t="shared" si="0"/>
        <v>50000</v>
      </c>
      <c r="J45" s="1160"/>
    </row>
    <row r="46" spans="1:10" ht="17.25" customHeight="1" outlineLevel="1" x14ac:dyDescent="0.25">
      <c r="A46" s="266" t="s">
        <v>80</v>
      </c>
      <c r="B46" s="246" t="s">
        <v>87</v>
      </c>
      <c r="C46" s="237">
        <f>'Sumář příjmů kapitol'!F82</f>
        <v>70000</v>
      </c>
      <c r="D46" s="237">
        <v>70000</v>
      </c>
      <c r="E46" s="237">
        <v>70000</v>
      </c>
      <c r="F46" s="237">
        <f>'Sumář příjmů kapitol'!I82</f>
        <v>70000</v>
      </c>
      <c r="G46" s="1159">
        <f t="shared" si="0"/>
        <v>0</v>
      </c>
      <c r="J46" s="1160"/>
    </row>
    <row r="47" spans="1:10" ht="17.25" hidden="1" customHeight="1" outlineLevel="1" x14ac:dyDescent="0.25">
      <c r="A47" s="266" t="s">
        <v>78</v>
      </c>
      <c r="B47" s="246" t="s">
        <v>88</v>
      </c>
      <c r="G47" s="1159">
        <f t="shared" si="0"/>
        <v>0</v>
      </c>
      <c r="J47" s="1160"/>
    </row>
    <row r="48" spans="1:10" ht="17.25" hidden="1" customHeight="1" outlineLevel="1" x14ac:dyDescent="0.25">
      <c r="A48" s="266">
        <v>2132</v>
      </c>
      <c r="B48" s="246" t="s">
        <v>89</v>
      </c>
      <c r="C48" s="237">
        <f>'Sumář příjmů kapitol'!F85</f>
        <v>0</v>
      </c>
      <c r="D48" s="237">
        <v>0</v>
      </c>
      <c r="E48" s="237">
        <v>0</v>
      </c>
      <c r="F48" s="237">
        <f>'Sumář příjmů kapitol'!I85</f>
        <v>0</v>
      </c>
      <c r="G48" s="1159">
        <f t="shared" si="0"/>
        <v>0</v>
      </c>
      <c r="J48" s="1160"/>
    </row>
    <row r="49" spans="1:10" ht="17.25" customHeight="1" outlineLevel="1" x14ac:dyDescent="0.25">
      <c r="A49" s="266" t="s">
        <v>80</v>
      </c>
      <c r="B49" s="597" t="s">
        <v>90</v>
      </c>
      <c r="C49" s="594">
        <f>'Sumář příjmů kapitol'!F86</f>
        <v>15000</v>
      </c>
      <c r="D49" s="594">
        <v>15000</v>
      </c>
      <c r="E49" s="594">
        <v>15000</v>
      </c>
      <c r="F49" s="594">
        <f>'Sumář příjmů kapitol'!I86</f>
        <v>0</v>
      </c>
      <c r="G49" s="1159">
        <f t="shared" si="0"/>
        <v>-15000</v>
      </c>
      <c r="J49" s="1160"/>
    </row>
    <row r="50" spans="1:10" ht="17.25" customHeight="1" outlineLevel="1" x14ac:dyDescent="0.25">
      <c r="A50" s="266" t="s">
        <v>76</v>
      </c>
      <c r="B50" s="597" t="s">
        <v>91</v>
      </c>
      <c r="C50" s="594">
        <f>'Sumář příjmů kapitol'!F87</f>
        <v>6000</v>
      </c>
      <c r="D50" s="594">
        <v>6000</v>
      </c>
      <c r="E50" s="594">
        <v>6000</v>
      </c>
      <c r="F50" s="594">
        <f>'Sumář příjmů kapitol'!I87</f>
        <v>0</v>
      </c>
      <c r="G50" s="1159">
        <f t="shared" si="0"/>
        <v>-6000</v>
      </c>
      <c r="J50" s="1160"/>
    </row>
    <row r="51" spans="1:10" ht="17.25" hidden="1" customHeight="1" outlineLevel="1" x14ac:dyDescent="0.25">
      <c r="A51" s="266" t="s">
        <v>92</v>
      </c>
      <c r="B51" s="246" t="s">
        <v>93</v>
      </c>
      <c r="C51" s="237">
        <f>'Sumář příjmů kapitol'!F88</f>
        <v>0</v>
      </c>
      <c r="D51" s="237">
        <v>0</v>
      </c>
      <c r="E51" s="237">
        <v>0</v>
      </c>
      <c r="F51" s="237">
        <f>'Sumář příjmů kapitol'!I88</f>
        <v>0</v>
      </c>
      <c r="G51" s="1159">
        <f t="shared" si="0"/>
        <v>0</v>
      </c>
      <c r="J51" s="1160"/>
    </row>
    <row r="52" spans="1:10" ht="17.25" hidden="1" customHeight="1" outlineLevel="1" x14ac:dyDescent="0.25">
      <c r="A52" s="266">
        <v>2111</v>
      </c>
      <c r="B52" s="246" t="s">
        <v>94</v>
      </c>
      <c r="C52" s="237">
        <f>'Sumář příjmů kapitol'!F89</f>
        <v>0</v>
      </c>
      <c r="D52" s="237">
        <v>0</v>
      </c>
      <c r="E52" s="237">
        <v>0</v>
      </c>
      <c r="F52" s="237">
        <f>'Sumář příjmů kapitol'!I89</f>
        <v>0</v>
      </c>
      <c r="G52" s="1159">
        <f t="shared" si="0"/>
        <v>0</v>
      </c>
      <c r="J52" s="1160"/>
    </row>
    <row r="53" spans="1:10" ht="17.25" customHeight="1" outlineLevel="1" x14ac:dyDescent="0.25">
      <c r="A53" s="266">
        <v>2132</v>
      </c>
      <c r="B53" s="246" t="s">
        <v>95</v>
      </c>
      <c r="C53" s="237">
        <f>'Sumář příjmů kapitol'!F90</f>
        <v>775800</v>
      </c>
      <c r="D53" s="237">
        <v>775800</v>
      </c>
      <c r="E53" s="237">
        <v>775800</v>
      </c>
      <c r="F53" s="237">
        <f>'Sumář příjmů kapitol'!I90</f>
        <v>775800</v>
      </c>
      <c r="G53" s="1159">
        <f t="shared" si="0"/>
        <v>0</v>
      </c>
      <c r="J53" s="1160"/>
    </row>
    <row r="54" spans="1:10" ht="17.25" hidden="1" customHeight="1" outlineLevel="1" x14ac:dyDescent="0.25">
      <c r="A54" s="266" t="s">
        <v>92</v>
      </c>
      <c r="B54" s="246" t="s">
        <v>96</v>
      </c>
      <c r="C54" s="237">
        <f>'Sumář příjmů kapitol'!F91</f>
        <v>0</v>
      </c>
      <c r="D54" s="237">
        <v>0</v>
      </c>
      <c r="E54" s="237">
        <v>0</v>
      </c>
      <c r="F54" s="237">
        <f>'Sumář příjmů kapitol'!I91</f>
        <v>0</v>
      </c>
      <c r="G54" s="1159">
        <f t="shared" si="0"/>
        <v>0</v>
      </c>
      <c r="J54" s="1160"/>
    </row>
    <row r="55" spans="1:10" ht="17.25" customHeight="1" outlineLevel="1" x14ac:dyDescent="0.25">
      <c r="A55" s="266">
        <v>2111</v>
      </c>
      <c r="B55" s="246" t="s">
        <v>97</v>
      </c>
      <c r="C55" s="237">
        <f>'Sumář příjmů kapitol'!F92</f>
        <v>1600000</v>
      </c>
      <c r="D55" s="237">
        <v>1600000</v>
      </c>
      <c r="E55" s="237">
        <v>1600000</v>
      </c>
      <c r="F55" s="237">
        <f>'Sumář příjmů kapitol'!I92</f>
        <v>1600000</v>
      </c>
      <c r="G55" s="1159">
        <f t="shared" si="0"/>
        <v>0</v>
      </c>
      <c r="J55" s="1160"/>
    </row>
    <row r="56" spans="1:10" ht="17.25" customHeight="1" outlineLevel="1" x14ac:dyDescent="0.25">
      <c r="A56" s="266">
        <v>2132</v>
      </c>
      <c r="B56" s="246" t="s">
        <v>98</v>
      </c>
      <c r="C56" s="237">
        <f>'Sumář příjmů kapitol'!F93</f>
        <v>3010000</v>
      </c>
      <c r="D56" s="237">
        <v>3010000</v>
      </c>
      <c r="E56" s="237">
        <v>3010000</v>
      </c>
      <c r="F56" s="237">
        <f>'Sumář příjmů kapitol'!I93</f>
        <v>3031000</v>
      </c>
      <c r="G56" s="1159">
        <f t="shared" si="0"/>
        <v>21000</v>
      </c>
      <c r="J56" s="1160"/>
    </row>
    <row r="57" spans="1:10" ht="17.25" hidden="1" customHeight="1" outlineLevel="1" x14ac:dyDescent="0.25">
      <c r="A57" s="266" t="s">
        <v>99</v>
      </c>
      <c r="B57" s="246" t="s">
        <v>100</v>
      </c>
      <c r="C57" s="237">
        <f>'Sumář příjmů kapitol'!F94</f>
        <v>0</v>
      </c>
      <c r="D57" s="237">
        <v>0</v>
      </c>
      <c r="E57" s="237">
        <v>0</v>
      </c>
      <c r="F57" s="237">
        <f>'Sumář příjmů kapitol'!I94</f>
        <v>0</v>
      </c>
      <c r="G57" s="1159">
        <f t="shared" si="0"/>
        <v>0</v>
      </c>
      <c r="J57" s="1160"/>
    </row>
    <row r="58" spans="1:10" ht="17.25" hidden="1" customHeight="1" outlineLevel="1" x14ac:dyDescent="0.25">
      <c r="A58" s="266" t="s">
        <v>78</v>
      </c>
      <c r="B58" s="246" t="s">
        <v>101</v>
      </c>
      <c r="C58" s="237">
        <f>'Sumář příjmů kapitol'!F95</f>
        <v>0</v>
      </c>
      <c r="D58" s="237">
        <v>0</v>
      </c>
      <c r="E58" s="237">
        <v>0</v>
      </c>
      <c r="F58" s="237">
        <f>'Sumář příjmů kapitol'!I95</f>
        <v>0</v>
      </c>
      <c r="G58" s="1159">
        <f t="shared" si="0"/>
        <v>0</v>
      </c>
      <c r="J58" s="1160"/>
    </row>
    <row r="59" spans="1:10" ht="17.25" customHeight="1" outlineLevel="1" x14ac:dyDescent="0.25">
      <c r="A59" s="266" t="s">
        <v>80</v>
      </c>
      <c r="B59" s="246" t="s">
        <v>102</v>
      </c>
      <c r="C59" s="237">
        <f>'Sumář příjmů kapitol'!F96</f>
        <v>81000</v>
      </c>
      <c r="D59" s="237">
        <v>81000</v>
      </c>
      <c r="E59" s="237">
        <v>81000</v>
      </c>
      <c r="F59" s="237">
        <f>'Sumář příjmů kapitol'!I96</f>
        <v>81000</v>
      </c>
      <c r="G59" s="1159">
        <f t="shared" si="0"/>
        <v>0</v>
      </c>
      <c r="J59" s="1160"/>
    </row>
    <row r="60" spans="1:10" ht="17.25" hidden="1" customHeight="1" outlineLevel="1" x14ac:dyDescent="0.25">
      <c r="A60" s="266">
        <v>2322</v>
      </c>
      <c r="B60" s="246" t="s">
        <v>804</v>
      </c>
      <c r="C60" s="237">
        <f>'Sumář příjmů kapitol'!F97</f>
        <v>0</v>
      </c>
      <c r="D60" s="237">
        <v>0</v>
      </c>
      <c r="E60" s="237">
        <v>0</v>
      </c>
      <c r="F60" s="237">
        <f>'Sumář příjmů kapitol'!I97</f>
        <v>0</v>
      </c>
      <c r="G60" s="1159">
        <f t="shared" si="0"/>
        <v>0</v>
      </c>
      <c r="J60" s="1160"/>
    </row>
    <row r="61" spans="1:10" ht="17.25" customHeight="1" outlineLevel="1" x14ac:dyDescent="0.25">
      <c r="A61" s="266">
        <v>2132</v>
      </c>
      <c r="B61" s="246" t="s">
        <v>965</v>
      </c>
      <c r="C61" s="237">
        <f>'Sumář příjmů kapitol'!F98</f>
        <v>240000</v>
      </c>
      <c r="D61" s="237">
        <v>240000</v>
      </c>
      <c r="E61" s="237">
        <v>240000</v>
      </c>
      <c r="F61" s="237">
        <f>'Sumář příjmů kapitol'!I98</f>
        <v>240000</v>
      </c>
      <c r="G61" s="1159">
        <f t="shared" si="0"/>
        <v>0</v>
      </c>
      <c r="J61" s="1160"/>
    </row>
    <row r="62" spans="1:10" ht="17.25" customHeight="1" outlineLevel="1" x14ac:dyDescent="0.25">
      <c r="A62" s="266">
        <v>2111</v>
      </c>
      <c r="B62" s="246" t="s">
        <v>966</v>
      </c>
      <c r="C62" s="237">
        <f>'Sumář příjmů kapitol'!F99</f>
        <v>78000</v>
      </c>
      <c r="D62" s="237">
        <v>78000</v>
      </c>
      <c r="E62" s="237">
        <v>78000</v>
      </c>
      <c r="F62" s="237">
        <f>'Sumář příjmů kapitol'!I99</f>
        <v>78000</v>
      </c>
      <c r="G62" s="1159">
        <f t="shared" si="0"/>
        <v>0</v>
      </c>
      <c r="J62" s="1160"/>
    </row>
    <row r="63" spans="1:10" ht="17.25" customHeight="1" outlineLevel="1" x14ac:dyDescent="0.25">
      <c r="A63" s="266">
        <v>2132</v>
      </c>
      <c r="B63" s="246" t="s">
        <v>103</v>
      </c>
      <c r="C63" s="237">
        <f>'Sumář příjmů kapitol'!F100</f>
        <v>400000</v>
      </c>
      <c r="D63" s="237">
        <v>400000</v>
      </c>
      <c r="E63" s="237">
        <v>400000</v>
      </c>
      <c r="F63" s="237">
        <f>'Sumář příjmů kapitol'!I100</f>
        <v>400000</v>
      </c>
      <c r="G63" s="1159">
        <f t="shared" si="0"/>
        <v>0</v>
      </c>
      <c r="J63" s="1160"/>
    </row>
    <row r="64" spans="1:10" ht="17.25" customHeight="1" outlineLevel="1" x14ac:dyDescent="0.25">
      <c r="A64" s="266">
        <v>2132</v>
      </c>
      <c r="B64" s="246" t="s">
        <v>824</v>
      </c>
      <c r="C64" s="238">
        <f>'Sumář příjmů kapitol'!F101</f>
        <v>1063000</v>
      </c>
      <c r="D64" s="238">
        <v>1063000</v>
      </c>
      <c r="E64" s="238">
        <v>1063000</v>
      </c>
      <c r="F64" s="238">
        <f>'Sumář příjmů kapitol'!I101</f>
        <v>1063000</v>
      </c>
      <c r="G64" s="1159">
        <f t="shared" si="0"/>
        <v>0</v>
      </c>
      <c r="J64" s="1160"/>
    </row>
    <row r="65" spans="1:10" ht="17.25" customHeight="1" outlineLevel="1" x14ac:dyDescent="0.25">
      <c r="A65" s="266">
        <v>2111</v>
      </c>
      <c r="B65" s="246" t="s">
        <v>104</v>
      </c>
      <c r="C65" s="237">
        <f>'Sumář příjmů kapitol'!F102</f>
        <v>450000</v>
      </c>
      <c r="D65" s="237">
        <v>450000</v>
      </c>
      <c r="E65" s="237">
        <v>450000</v>
      </c>
      <c r="F65" s="237">
        <f>'Sumář příjmů kapitol'!I102</f>
        <v>250000</v>
      </c>
      <c r="G65" s="1159">
        <f t="shared" si="0"/>
        <v>-200000</v>
      </c>
      <c r="J65" s="1160"/>
    </row>
    <row r="66" spans="1:10" ht="17.25" hidden="1" customHeight="1" outlineLevel="1" x14ac:dyDescent="0.25">
      <c r="A66" s="266" t="s">
        <v>80</v>
      </c>
      <c r="B66" s="246" t="s">
        <v>106</v>
      </c>
      <c r="C66" s="237">
        <f>'Sumář příjmů kapitol'!F104</f>
        <v>0</v>
      </c>
      <c r="D66" s="237">
        <v>0</v>
      </c>
      <c r="E66" s="237">
        <v>0</v>
      </c>
      <c r="F66" s="237">
        <f>'Sumář příjmů kapitol'!I104</f>
        <v>0</v>
      </c>
      <c r="G66" s="1159">
        <f t="shared" si="0"/>
        <v>0</v>
      </c>
      <c r="J66" s="1160"/>
    </row>
    <row r="67" spans="1:10" ht="17.25" hidden="1" customHeight="1" outlineLevel="1" x14ac:dyDescent="0.25">
      <c r="A67" s="266" t="s">
        <v>76</v>
      </c>
      <c r="B67" s="246" t="s">
        <v>105</v>
      </c>
      <c r="C67" s="594">
        <f>'Sumář příjmů kapitol'!F103</f>
        <v>0</v>
      </c>
      <c r="D67" s="594">
        <v>0</v>
      </c>
      <c r="E67" s="594">
        <v>0</v>
      </c>
      <c r="F67" s="594">
        <f>'Sumář příjmů kapitol'!I103</f>
        <v>0</v>
      </c>
      <c r="G67" s="1159">
        <f t="shared" si="0"/>
        <v>0</v>
      </c>
      <c r="J67" s="1160"/>
    </row>
    <row r="68" spans="1:10" ht="17.25" customHeight="1" outlineLevel="1" x14ac:dyDescent="0.25">
      <c r="A68" s="266" t="s">
        <v>80</v>
      </c>
      <c r="B68" s="246" t="s">
        <v>107</v>
      </c>
      <c r="C68" s="237">
        <f>'Sumář příjmů kapitol'!F105</f>
        <v>800000</v>
      </c>
      <c r="D68" s="237">
        <v>800000</v>
      </c>
      <c r="E68" s="237">
        <v>800000</v>
      </c>
      <c r="F68" s="237">
        <f>'Sumář příjmů kapitol'!I105</f>
        <v>800000</v>
      </c>
      <c r="G68" s="1159">
        <f t="shared" si="0"/>
        <v>0</v>
      </c>
      <c r="J68" s="1160"/>
    </row>
    <row r="69" spans="1:10" ht="17.25" customHeight="1" outlineLevel="1" x14ac:dyDescent="0.25">
      <c r="A69" s="266" t="s">
        <v>80</v>
      </c>
      <c r="B69" s="246" t="s">
        <v>108</v>
      </c>
      <c r="C69" s="237">
        <f>'Sumář příjmů kapitol'!F106</f>
        <v>350000</v>
      </c>
      <c r="D69" s="237">
        <v>350000</v>
      </c>
      <c r="E69" s="237">
        <v>350000</v>
      </c>
      <c r="F69" s="237">
        <f>'Sumář příjmů kapitol'!I106</f>
        <v>350000</v>
      </c>
      <c r="G69" s="1159">
        <f t="shared" si="0"/>
        <v>0</v>
      </c>
      <c r="J69" s="1160"/>
    </row>
    <row r="70" spans="1:10" ht="17.25" hidden="1" customHeight="1" outlineLevel="1" x14ac:dyDescent="0.25">
      <c r="A70" s="266">
        <v>2321</v>
      </c>
      <c r="B70" s="246" t="s">
        <v>630</v>
      </c>
      <c r="G70" s="1159">
        <f t="shared" si="0"/>
        <v>0</v>
      </c>
      <c r="J70" s="1160"/>
    </row>
    <row r="71" spans="1:10" ht="17.25" customHeight="1" outlineLevel="1" x14ac:dyDescent="0.25">
      <c r="A71" s="266">
        <v>2111</v>
      </c>
      <c r="B71" s="246" t="s">
        <v>109</v>
      </c>
      <c r="C71" s="237">
        <v>20000</v>
      </c>
      <c r="D71" s="237">
        <v>20000</v>
      </c>
      <c r="E71" s="237">
        <v>20000</v>
      </c>
      <c r="F71" s="237">
        <v>20000</v>
      </c>
      <c r="G71" s="1159">
        <f t="shared" ref="G71:G135" si="1">+F71-E71</f>
        <v>0</v>
      </c>
      <c r="J71" s="1160"/>
    </row>
    <row r="72" spans="1:10" ht="17.25" hidden="1" customHeight="1" outlineLevel="1" x14ac:dyDescent="0.25">
      <c r="A72" s="266" t="s">
        <v>92</v>
      </c>
      <c r="B72" s="246" t="s">
        <v>350</v>
      </c>
      <c r="G72" s="1159">
        <f t="shared" si="1"/>
        <v>0</v>
      </c>
      <c r="J72" s="1160"/>
    </row>
    <row r="73" spans="1:10" ht="17.25" customHeight="1" outlineLevel="1" x14ac:dyDescent="0.25">
      <c r="A73" s="266">
        <v>2132</v>
      </c>
      <c r="B73" s="246" t="s">
        <v>110</v>
      </c>
      <c r="C73" s="237">
        <f>'Sumář příjmů kapitol'!F109</f>
        <v>24000</v>
      </c>
      <c r="D73" s="237">
        <v>24000</v>
      </c>
      <c r="E73" s="237">
        <v>24000</v>
      </c>
      <c r="F73" s="237">
        <f>'Sumář příjmů kapitol'!I109</f>
        <v>24000</v>
      </c>
      <c r="G73" s="1159">
        <f t="shared" si="1"/>
        <v>0</v>
      </c>
      <c r="J73" s="1160"/>
    </row>
    <row r="74" spans="1:10" ht="17.25" hidden="1" customHeight="1" outlineLevel="1" x14ac:dyDescent="0.25">
      <c r="A74" s="266" t="s">
        <v>99</v>
      </c>
      <c r="B74" s="246" t="s">
        <v>111</v>
      </c>
      <c r="G74" s="1159">
        <f t="shared" si="1"/>
        <v>0</v>
      </c>
      <c r="J74" s="1160"/>
    </row>
    <row r="75" spans="1:10" ht="17.25" hidden="1" customHeight="1" outlineLevel="1" x14ac:dyDescent="0.25">
      <c r="A75" s="266" t="s">
        <v>78</v>
      </c>
      <c r="B75" s="246" t="s">
        <v>112</v>
      </c>
      <c r="G75" s="1159">
        <f t="shared" si="1"/>
        <v>0</v>
      </c>
      <c r="J75" s="1160"/>
    </row>
    <row r="76" spans="1:10" ht="17.25" hidden="1" customHeight="1" outlineLevel="1" x14ac:dyDescent="0.25">
      <c r="A76" s="266" t="s">
        <v>80</v>
      </c>
      <c r="B76" s="246" t="s">
        <v>113</v>
      </c>
      <c r="G76" s="1159">
        <f t="shared" si="1"/>
        <v>0</v>
      </c>
      <c r="J76" s="1160"/>
    </row>
    <row r="77" spans="1:10" ht="17.25" hidden="1" customHeight="1" outlineLevel="1" x14ac:dyDescent="0.25">
      <c r="A77" s="266" t="s">
        <v>78</v>
      </c>
      <c r="B77" s="246" t="s">
        <v>112</v>
      </c>
      <c r="G77" s="1159">
        <f t="shared" si="1"/>
        <v>0</v>
      </c>
      <c r="J77" s="1160"/>
    </row>
    <row r="78" spans="1:10" ht="17.25" hidden="1" customHeight="1" outlineLevel="1" x14ac:dyDescent="0.25">
      <c r="A78" s="266" t="s">
        <v>80</v>
      </c>
      <c r="B78" s="246" t="s">
        <v>113</v>
      </c>
      <c r="G78" s="1159">
        <f t="shared" si="1"/>
        <v>0</v>
      </c>
      <c r="J78" s="1160"/>
    </row>
    <row r="79" spans="1:10" ht="17.25" customHeight="1" outlineLevel="1" x14ac:dyDescent="0.25">
      <c r="A79" s="266">
        <v>2111</v>
      </c>
      <c r="B79" s="246" t="s">
        <v>114</v>
      </c>
      <c r="C79" s="237">
        <f>'Sumář příjmů kapitol'!F115</f>
        <v>3000</v>
      </c>
      <c r="D79" s="237">
        <v>3000</v>
      </c>
      <c r="E79" s="237">
        <v>3000</v>
      </c>
      <c r="F79" s="237">
        <f>'Sumář příjmů kapitol'!I115</f>
        <v>3000</v>
      </c>
      <c r="G79" s="1159">
        <f t="shared" si="1"/>
        <v>0</v>
      </c>
      <c r="J79" s="1160"/>
    </row>
    <row r="80" spans="1:10" ht="17.25" customHeight="1" outlineLevel="1" x14ac:dyDescent="0.25">
      <c r="A80" s="266">
        <v>2141</v>
      </c>
      <c r="B80" s="246" t="s">
        <v>115</v>
      </c>
      <c r="C80" s="237">
        <f>'Sumář příjmů kapitol'!F116</f>
        <v>10000</v>
      </c>
      <c r="D80" s="237">
        <v>10000</v>
      </c>
      <c r="E80" s="237">
        <v>10000</v>
      </c>
      <c r="F80" s="237">
        <f>'Sumář příjmů kapitol'!I116</f>
        <v>10000</v>
      </c>
      <c r="G80" s="1159">
        <f t="shared" si="1"/>
        <v>0</v>
      </c>
      <c r="J80" s="1160"/>
    </row>
    <row r="81" spans="1:11" ht="17.25" customHeight="1" outlineLevel="1" x14ac:dyDescent="0.25">
      <c r="A81" s="266">
        <v>2212</v>
      </c>
      <c r="B81" s="246" t="s">
        <v>814</v>
      </c>
      <c r="C81" s="594">
        <f>'Sumář příjmů kapitol'!F118</f>
        <v>0</v>
      </c>
      <c r="D81" s="594">
        <v>2000</v>
      </c>
      <c r="E81" s="594">
        <v>2000</v>
      </c>
      <c r="F81" s="594">
        <f>'Sumář příjmů kapitol'!I118</f>
        <v>0</v>
      </c>
      <c r="G81" s="1159">
        <f t="shared" si="1"/>
        <v>-2000</v>
      </c>
      <c r="J81" s="1160"/>
    </row>
    <row r="82" spans="1:11" ht="17.25" customHeight="1" outlineLevel="1" x14ac:dyDescent="0.25">
      <c r="A82" s="266">
        <v>2212</v>
      </c>
      <c r="B82" s="246" t="s">
        <v>813</v>
      </c>
      <c r="C82" s="237">
        <f>'Sumář příjmů kapitol'!F119</f>
        <v>4500</v>
      </c>
      <c r="D82" s="237">
        <v>7700</v>
      </c>
      <c r="E82" s="237">
        <v>7700</v>
      </c>
      <c r="F82" s="237">
        <f>'Sumář příjmů kapitol'!I119</f>
        <v>0</v>
      </c>
      <c r="G82" s="1159">
        <f t="shared" si="1"/>
        <v>-7700</v>
      </c>
      <c r="J82" s="1160"/>
    </row>
    <row r="83" spans="1:11" ht="17.25" customHeight="1" outlineLevel="1" x14ac:dyDescent="0.25">
      <c r="A83" s="266">
        <v>2132</v>
      </c>
      <c r="B83" s="246" t="s">
        <v>617</v>
      </c>
      <c r="C83" s="594">
        <f>'Sumář příjmů kapitol'!F125</f>
        <v>4400</v>
      </c>
      <c r="D83" s="594">
        <v>4400</v>
      </c>
      <c r="E83" s="594">
        <v>4400</v>
      </c>
      <c r="F83" s="594">
        <f>'Sumář příjmů kapitol'!I125</f>
        <v>4400</v>
      </c>
      <c r="G83" s="1159">
        <f t="shared" si="1"/>
        <v>0</v>
      </c>
      <c r="J83" s="1160"/>
    </row>
    <row r="84" spans="1:11" ht="17.25" customHeight="1" outlineLevel="1" x14ac:dyDescent="0.25">
      <c r="A84" s="266">
        <v>3122</v>
      </c>
      <c r="B84" s="246" t="s">
        <v>803</v>
      </c>
      <c r="C84" s="237">
        <f>'Sumář příjmů kapitol'!F121</f>
        <v>200000</v>
      </c>
      <c r="D84" s="237">
        <v>200000</v>
      </c>
      <c r="E84" s="237">
        <v>200000</v>
      </c>
      <c r="F84" s="237">
        <f>'Sumář příjmů kapitol'!I121</f>
        <v>200000</v>
      </c>
      <c r="G84" s="1159">
        <f t="shared" si="1"/>
        <v>0</v>
      </c>
      <c r="J84" s="1160"/>
    </row>
    <row r="85" spans="1:11" ht="17.25" customHeight="1" outlineLevel="1" x14ac:dyDescent="0.25">
      <c r="A85" s="266">
        <v>3122</v>
      </c>
      <c r="B85" s="246" t="s">
        <v>640</v>
      </c>
      <c r="C85" s="237">
        <f>'Sumář příjmů kapitol'!F122</f>
        <v>50000</v>
      </c>
      <c r="D85" s="237">
        <v>50000</v>
      </c>
      <c r="E85" s="237">
        <v>50000</v>
      </c>
      <c r="F85" s="237">
        <f>'Sumář příjmů kapitol'!I122</f>
        <v>50000</v>
      </c>
      <c r="G85" s="1159">
        <f t="shared" si="1"/>
        <v>0</v>
      </c>
      <c r="J85" s="1160"/>
    </row>
    <row r="86" spans="1:11" ht="17.25" hidden="1" customHeight="1" outlineLevel="1" x14ac:dyDescent="0.25">
      <c r="A86" s="266">
        <v>3122</v>
      </c>
      <c r="B86" s="246" t="s">
        <v>641</v>
      </c>
      <c r="C86" s="237">
        <f>'Sumář příjmů kapitol'!F123</f>
        <v>0</v>
      </c>
      <c r="D86" s="237">
        <v>0</v>
      </c>
      <c r="E86" s="237">
        <v>0</v>
      </c>
      <c r="F86" s="237">
        <f>'Sumář příjmů kapitol'!I123</f>
        <v>0</v>
      </c>
      <c r="G86" s="1159">
        <f t="shared" si="1"/>
        <v>0</v>
      </c>
      <c r="J86" s="1160"/>
    </row>
    <row r="87" spans="1:11" ht="17.25" hidden="1" customHeight="1" outlineLevel="1" x14ac:dyDescent="0.25">
      <c r="A87" s="266" t="s">
        <v>117</v>
      </c>
      <c r="B87" s="246" t="s">
        <v>118</v>
      </c>
      <c r="G87" s="1159">
        <f t="shared" si="1"/>
        <v>0</v>
      </c>
      <c r="J87" s="1160"/>
    </row>
    <row r="88" spans="1:11" ht="17.25" hidden="1" customHeight="1" outlineLevel="1" x14ac:dyDescent="0.25">
      <c r="A88" s="266">
        <v>2229</v>
      </c>
      <c r="B88" s="246" t="s">
        <v>618</v>
      </c>
      <c r="G88" s="1159">
        <f t="shared" si="1"/>
        <v>0</v>
      </c>
      <c r="J88" s="1160"/>
    </row>
    <row r="89" spans="1:11" ht="17.25" customHeight="1" outlineLevel="1" x14ac:dyDescent="0.25">
      <c r="A89" s="266">
        <v>2119</v>
      </c>
      <c r="B89" s="246" t="s">
        <v>354</v>
      </c>
      <c r="C89" s="237">
        <f>'Sumář příjmů kapitol'!F129</f>
        <v>460000</v>
      </c>
      <c r="D89" s="237">
        <v>560000</v>
      </c>
      <c r="E89" s="237">
        <v>560000</v>
      </c>
      <c r="F89" s="237">
        <f>'Sumář příjmů kapitol'!I129</f>
        <v>400000</v>
      </c>
      <c r="G89" s="1159">
        <f t="shared" si="1"/>
        <v>-160000</v>
      </c>
      <c r="J89" s="1160"/>
    </row>
    <row r="90" spans="1:11" ht="9.75" customHeight="1" x14ac:dyDescent="0.25">
      <c r="G90" s="1159">
        <f t="shared" si="1"/>
        <v>0</v>
      </c>
      <c r="J90" s="1160"/>
    </row>
    <row r="91" spans="1:11" s="33" customFormat="1" ht="16.5" thickBot="1" x14ac:dyDescent="0.3">
      <c r="A91" s="261" t="s">
        <v>351</v>
      </c>
      <c r="B91" s="243" t="s">
        <v>352</v>
      </c>
      <c r="C91" s="245">
        <f>SUM(C92:C95)</f>
        <v>60000</v>
      </c>
      <c r="D91" s="245">
        <v>60000</v>
      </c>
      <c r="E91" s="245">
        <v>60000</v>
      </c>
      <c r="F91" s="245">
        <f>SUM(F92:F95)</f>
        <v>60000</v>
      </c>
      <c r="G91" s="1159">
        <f t="shared" si="1"/>
        <v>0</v>
      </c>
      <c r="H91" s="1276"/>
      <c r="I91" s="1273"/>
      <c r="J91" s="1160"/>
      <c r="K91" s="1209"/>
    </row>
    <row r="92" spans="1:11" ht="16.5" customHeight="1" outlineLevel="1" x14ac:dyDescent="0.25">
      <c r="A92" s="266">
        <v>3111</v>
      </c>
      <c r="B92" s="246" t="s">
        <v>353</v>
      </c>
      <c r="C92" s="237">
        <f>'Sumář příjmů kapitol'!F124</f>
        <v>26000</v>
      </c>
      <c r="D92" s="237">
        <v>26000</v>
      </c>
      <c r="E92" s="237">
        <v>26000</v>
      </c>
      <c r="F92" s="237">
        <f>'Sumář příjmů kapitol'!I124</f>
        <v>26000</v>
      </c>
      <c r="G92" s="1159">
        <f t="shared" si="1"/>
        <v>0</v>
      </c>
      <c r="J92" s="1160"/>
    </row>
    <row r="93" spans="1:11" ht="16.5" hidden="1" customHeight="1" outlineLevel="1" x14ac:dyDescent="0.25">
      <c r="A93" s="266" t="s">
        <v>290</v>
      </c>
      <c r="B93" s="246" t="s">
        <v>354</v>
      </c>
      <c r="C93" s="237">
        <f>'Sumář příjmů kapitol'!F104</f>
        <v>0</v>
      </c>
      <c r="D93" s="237">
        <v>0</v>
      </c>
      <c r="E93" s="237">
        <v>0</v>
      </c>
      <c r="F93" s="237">
        <f>'Sumář příjmů kapitol'!I104</f>
        <v>0</v>
      </c>
      <c r="G93" s="1159">
        <f t="shared" si="1"/>
        <v>0</v>
      </c>
      <c r="J93" s="1160"/>
    </row>
    <row r="94" spans="1:11" ht="16.5" customHeight="1" outlineLevel="1" x14ac:dyDescent="0.25">
      <c r="A94" s="266" t="s">
        <v>119</v>
      </c>
      <c r="B94" s="246" t="s">
        <v>120</v>
      </c>
      <c r="C94" s="237">
        <f>'Sumář příjmů kapitol'!F127</f>
        <v>34000</v>
      </c>
      <c r="D94" s="237">
        <v>34000</v>
      </c>
      <c r="E94" s="237">
        <v>34000</v>
      </c>
      <c r="F94" s="237">
        <f>'Sumář příjmů kapitol'!I127</f>
        <v>34000</v>
      </c>
      <c r="G94" s="1159">
        <f t="shared" si="1"/>
        <v>0</v>
      </c>
      <c r="J94" s="1160"/>
    </row>
    <row r="95" spans="1:11" ht="16.5" customHeight="1" outlineLevel="1" x14ac:dyDescent="0.25">
      <c r="A95" s="236"/>
      <c r="B95" s="246" t="s">
        <v>355</v>
      </c>
      <c r="G95" s="1159">
        <f t="shared" si="1"/>
        <v>0</v>
      </c>
      <c r="J95" s="1160"/>
    </row>
    <row r="96" spans="1:11" ht="13.5" customHeight="1" x14ac:dyDescent="0.25">
      <c r="B96" s="246"/>
      <c r="G96" s="1159">
        <f t="shared" si="1"/>
        <v>0</v>
      </c>
      <c r="J96" s="1160"/>
    </row>
    <row r="97" spans="1:11" s="33" customFormat="1" ht="16.5" collapsed="1" thickBot="1" x14ac:dyDescent="0.3">
      <c r="A97" s="261" t="s">
        <v>356</v>
      </c>
      <c r="B97" s="243" t="s">
        <v>357</v>
      </c>
      <c r="C97" s="245">
        <f>SUM(C98:C140)</f>
        <v>9670100</v>
      </c>
      <c r="D97" s="245">
        <v>9645873</v>
      </c>
      <c r="E97" s="245">
        <v>9909673</v>
      </c>
      <c r="F97" s="245">
        <f>SUM(F98:F140)</f>
        <v>20393067</v>
      </c>
      <c r="G97" s="1159">
        <f t="shared" si="1"/>
        <v>10483394</v>
      </c>
      <c r="H97" s="1276"/>
      <c r="I97" s="1273"/>
      <c r="J97" s="1160"/>
      <c r="K97" s="1209"/>
    </row>
    <row r="98" spans="1:11" ht="19.5" customHeight="1" x14ac:dyDescent="0.25">
      <c r="B98" s="246" t="s">
        <v>47</v>
      </c>
      <c r="C98" s="237">
        <f>'Sumář příjmů kapitol'!F33</f>
        <v>0</v>
      </c>
      <c r="D98" s="237">
        <v>0</v>
      </c>
      <c r="E98" s="237">
        <v>0</v>
      </c>
      <c r="F98" s="237">
        <f>'Sumář příjmů kapitol'!I33</f>
        <v>0</v>
      </c>
      <c r="G98" s="1159">
        <f t="shared" si="1"/>
        <v>0</v>
      </c>
      <c r="J98" s="1160"/>
    </row>
    <row r="99" spans="1:11" ht="19.5" customHeight="1" x14ac:dyDescent="0.25">
      <c r="B99" s="246" t="s">
        <v>48</v>
      </c>
      <c r="C99" s="237">
        <f>'Sumář příjmů kapitol'!F34</f>
        <v>0</v>
      </c>
      <c r="D99" s="237">
        <v>17973</v>
      </c>
      <c r="E99" s="237">
        <v>17973</v>
      </c>
      <c r="F99" s="237">
        <f>'Sumář příjmů kapitol'!I34</f>
        <v>0</v>
      </c>
      <c r="G99" s="1159">
        <f t="shared" si="1"/>
        <v>-17973</v>
      </c>
      <c r="J99" s="1160"/>
    </row>
    <row r="100" spans="1:11" ht="19.5" customHeight="1" outlineLevel="1" x14ac:dyDescent="0.25">
      <c r="A100" s="266">
        <v>4112</v>
      </c>
      <c r="B100" s="246" t="s">
        <v>49</v>
      </c>
      <c r="C100" s="237">
        <f>'Sumář příjmů kapitol'!F35</f>
        <v>7480000</v>
      </c>
      <c r="D100" s="237">
        <v>7437800</v>
      </c>
      <c r="E100" s="237">
        <v>7701600</v>
      </c>
      <c r="F100" s="237">
        <f>'Sumář příjmů kapitol'!I35</f>
        <v>7701600</v>
      </c>
      <c r="G100" s="1159">
        <f t="shared" si="1"/>
        <v>0</v>
      </c>
      <c r="J100" s="1328"/>
    </row>
    <row r="101" spans="1:11" ht="19.5" customHeight="1" outlineLevel="1" x14ac:dyDescent="0.25">
      <c r="A101" s="266">
        <v>4121</v>
      </c>
      <c r="B101" s="246" t="s">
        <v>50</v>
      </c>
      <c r="C101" s="237">
        <f>'Sumář příjmů kapitol'!F36</f>
        <v>400000</v>
      </c>
      <c r="D101" s="237">
        <v>400000</v>
      </c>
      <c r="E101" s="237">
        <v>400000</v>
      </c>
      <c r="F101" s="237">
        <f>'Sumář příjmů kapitol'!I36</f>
        <v>400000</v>
      </c>
      <c r="G101" s="1159">
        <f t="shared" si="1"/>
        <v>0</v>
      </c>
      <c r="J101" s="1160"/>
    </row>
    <row r="102" spans="1:11" ht="19.5" customHeight="1" outlineLevel="1" x14ac:dyDescent="0.25">
      <c r="A102" s="266">
        <v>4121</v>
      </c>
      <c r="B102" s="246" t="s">
        <v>358</v>
      </c>
      <c r="C102" s="237">
        <f>'Sumář příjmů kapitol'!F38</f>
        <v>790100</v>
      </c>
      <c r="D102" s="237">
        <v>790100</v>
      </c>
      <c r="E102" s="237">
        <v>790100</v>
      </c>
      <c r="F102" s="237">
        <f>'Sumář příjmů kapitol'!I38</f>
        <v>800000</v>
      </c>
      <c r="G102" s="1159">
        <f t="shared" si="1"/>
        <v>9900</v>
      </c>
      <c r="J102" s="1160"/>
    </row>
    <row r="103" spans="1:11" ht="19.5" customHeight="1" outlineLevel="1" x14ac:dyDescent="0.25">
      <c r="A103" s="266">
        <v>4213</v>
      </c>
      <c r="B103" s="246" t="s">
        <v>359</v>
      </c>
      <c r="G103" s="1159">
        <f t="shared" si="1"/>
        <v>0</v>
      </c>
      <c r="J103" s="1160"/>
    </row>
    <row r="104" spans="1:11" ht="19.5" customHeight="1" outlineLevel="1" x14ac:dyDescent="0.25">
      <c r="A104" s="266">
        <v>4213</v>
      </c>
      <c r="B104" s="246" t="s">
        <v>360</v>
      </c>
      <c r="G104" s="1159">
        <f t="shared" si="1"/>
        <v>0</v>
      </c>
      <c r="J104" s="1160"/>
    </row>
    <row r="105" spans="1:11" ht="19.5" customHeight="1" outlineLevel="1" x14ac:dyDescent="0.25">
      <c r="A105" s="266">
        <v>4213</v>
      </c>
      <c r="B105" s="246" t="s">
        <v>1086</v>
      </c>
      <c r="G105" s="1159">
        <f t="shared" si="1"/>
        <v>0</v>
      </c>
      <c r="J105" s="1160"/>
    </row>
    <row r="106" spans="1:11" ht="19.5" customHeight="1" outlineLevel="1" x14ac:dyDescent="0.25">
      <c r="A106" s="266">
        <v>4213</v>
      </c>
      <c r="B106" s="246" t="s">
        <v>361</v>
      </c>
      <c r="G106" s="1159">
        <f t="shared" si="1"/>
        <v>0</v>
      </c>
      <c r="J106" s="1160"/>
    </row>
    <row r="107" spans="1:11" ht="19.5" customHeight="1" outlineLevel="1" x14ac:dyDescent="0.25">
      <c r="A107" s="266">
        <v>4213</v>
      </c>
      <c r="B107" s="246" t="s">
        <v>359</v>
      </c>
      <c r="G107" s="1159">
        <f t="shared" si="1"/>
        <v>0</v>
      </c>
      <c r="J107" s="1160"/>
    </row>
    <row r="108" spans="1:11" ht="19.5" customHeight="1" outlineLevel="1" x14ac:dyDescent="0.25">
      <c r="A108" s="266">
        <v>4213</v>
      </c>
      <c r="B108" s="246" t="s">
        <v>360</v>
      </c>
      <c r="G108" s="1159">
        <f t="shared" si="1"/>
        <v>0</v>
      </c>
      <c r="J108" s="1160"/>
    </row>
    <row r="109" spans="1:11" ht="19.5" customHeight="1" outlineLevel="1" x14ac:dyDescent="0.25">
      <c r="A109" s="266">
        <v>4213</v>
      </c>
      <c r="B109" s="246" t="s">
        <v>1509</v>
      </c>
      <c r="F109" s="237">
        <f>'Sumář příjmů kapitol'!I42</f>
        <v>368467</v>
      </c>
      <c r="G109" s="1159">
        <f t="shared" si="1"/>
        <v>368467</v>
      </c>
      <c r="J109" s="1160"/>
    </row>
    <row r="110" spans="1:11" outlineLevel="1" x14ac:dyDescent="0.25">
      <c r="A110" s="266">
        <v>4213</v>
      </c>
      <c r="B110" s="246" t="s">
        <v>361</v>
      </c>
      <c r="G110" s="1159">
        <f t="shared" si="1"/>
        <v>0</v>
      </c>
      <c r="J110" s="1160"/>
    </row>
    <row r="111" spans="1:11" ht="19.5" customHeight="1" outlineLevel="1" x14ac:dyDescent="0.25">
      <c r="A111" s="266" t="s">
        <v>42</v>
      </c>
      <c r="B111" s="246" t="s">
        <v>65</v>
      </c>
      <c r="C111" s="237">
        <f>'Sumář příjmů kapitol'!F67</f>
        <v>1000000</v>
      </c>
      <c r="D111" s="237">
        <v>1000000</v>
      </c>
      <c r="E111" s="237">
        <v>1000000</v>
      </c>
      <c r="F111" s="237">
        <f>'Sumář příjmů kapitol'!I67</f>
        <v>1000000</v>
      </c>
      <c r="G111" s="1159">
        <f t="shared" si="1"/>
        <v>0</v>
      </c>
      <c r="J111" s="1160"/>
    </row>
    <row r="112" spans="1:11" ht="19.5" customHeight="1" outlineLevel="1" x14ac:dyDescent="0.25">
      <c r="A112" s="1092">
        <v>4122</v>
      </c>
      <c r="B112" s="246" t="s">
        <v>812</v>
      </c>
      <c r="C112" s="594">
        <f>'Sumář příjmů kapitol'!F46</f>
        <v>0</v>
      </c>
      <c r="D112" s="594">
        <v>0</v>
      </c>
      <c r="E112" s="594">
        <v>0</v>
      </c>
      <c r="F112" s="594">
        <f>'Sumář příjmů kapitol'!G46</f>
        <v>0</v>
      </c>
      <c r="G112" s="1159">
        <f t="shared" si="1"/>
        <v>0</v>
      </c>
      <c r="J112" s="1160"/>
    </row>
    <row r="113" spans="1:10" ht="19.5" customHeight="1" outlineLevel="1" x14ac:dyDescent="0.25">
      <c r="A113" s="1092" t="s">
        <v>52</v>
      </c>
      <c r="B113" s="246" t="s">
        <v>1087</v>
      </c>
      <c r="C113" s="237">
        <f>'Sumář příjmů kapitol'!F45</f>
        <v>0</v>
      </c>
      <c r="D113" s="237">
        <v>0</v>
      </c>
      <c r="E113" s="237">
        <v>0</v>
      </c>
      <c r="F113" s="237">
        <f>'Sumář příjmů kapitol'!G45</f>
        <v>0</v>
      </c>
      <c r="G113" s="1159">
        <f t="shared" si="1"/>
        <v>0</v>
      </c>
      <c r="J113" s="1160"/>
    </row>
    <row r="114" spans="1:10" ht="19.5" customHeight="1" outlineLevel="1" x14ac:dyDescent="0.25">
      <c r="A114" s="1092" t="s">
        <v>42</v>
      </c>
      <c r="B114" s="246" t="s">
        <v>51</v>
      </c>
      <c r="G114" s="1159">
        <f t="shared" si="1"/>
        <v>0</v>
      </c>
      <c r="J114" s="1160"/>
    </row>
    <row r="115" spans="1:10" ht="19.5" customHeight="1" outlineLevel="1" x14ac:dyDescent="0.25">
      <c r="A115" s="1092" t="s">
        <v>52</v>
      </c>
      <c r="B115" s="246" t="s">
        <v>53</v>
      </c>
      <c r="C115" s="237">
        <f>'Sumář příjmů kapitol'!F47</f>
        <v>0</v>
      </c>
      <c r="D115" s="237">
        <v>0</v>
      </c>
      <c r="E115" s="237">
        <v>0</v>
      </c>
      <c r="F115" s="237">
        <f>'Sumář příjmů kapitol'!G47</f>
        <v>0</v>
      </c>
      <c r="G115" s="1159">
        <f t="shared" si="1"/>
        <v>0</v>
      </c>
      <c r="J115" s="1160"/>
    </row>
    <row r="116" spans="1:10" ht="19.5" customHeight="1" outlineLevel="1" x14ac:dyDescent="0.25">
      <c r="A116" s="1092">
        <v>4122</v>
      </c>
      <c r="B116" s="246" t="s">
        <v>362</v>
      </c>
      <c r="G116" s="1159">
        <f t="shared" si="1"/>
        <v>0</v>
      </c>
      <c r="J116" s="1160"/>
    </row>
    <row r="117" spans="1:10" ht="19.5" customHeight="1" outlineLevel="1" x14ac:dyDescent="0.25">
      <c r="A117" s="266">
        <v>4216</v>
      </c>
      <c r="B117" s="246" t="s">
        <v>1432</v>
      </c>
      <c r="F117" s="237">
        <f>'Sumář příjmů kapitol'!I50</f>
        <v>0</v>
      </c>
      <c r="G117" s="1159"/>
      <c r="J117" s="1160"/>
    </row>
    <row r="118" spans="1:10" ht="19.5" customHeight="1" outlineLevel="1" x14ac:dyDescent="0.25">
      <c r="A118" s="266" t="s">
        <v>54</v>
      </c>
      <c r="B118" s="246" t="s">
        <v>1430</v>
      </c>
      <c r="F118" s="237">
        <f>'Sumář příjmů kapitol'!I49</f>
        <v>0</v>
      </c>
      <c r="G118" s="1159">
        <f t="shared" si="1"/>
        <v>0</v>
      </c>
      <c r="J118" s="1160"/>
    </row>
    <row r="119" spans="1:10" ht="19.5" customHeight="1" outlineLevel="1" x14ac:dyDescent="0.25">
      <c r="A119" s="1092" t="s">
        <v>54</v>
      </c>
      <c r="B119" s="246" t="s">
        <v>1548</v>
      </c>
      <c r="C119" s="237">
        <f>'Sumář příjmů kapitol'!F48</f>
        <v>0</v>
      </c>
      <c r="D119" s="237">
        <v>0</v>
      </c>
      <c r="E119" s="237">
        <v>0</v>
      </c>
      <c r="F119" s="237">
        <f>'Sumář příjmů kapitol'!I48</f>
        <v>10123000</v>
      </c>
      <c r="G119" s="1159">
        <f t="shared" si="1"/>
        <v>10123000</v>
      </c>
      <c r="J119" s="1160"/>
    </row>
    <row r="120" spans="1:10" outlineLevel="1" x14ac:dyDescent="0.25">
      <c r="A120" s="1092" t="s">
        <v>54</v>
      </c>
      <c r="B120" s="246" t="s">
        <v>56</v>
      </c>
      <c r="C120" s="237">
        <f>'Sumář příjmů kapitol'!F49</f>
        <v>0</v>
      </c>
      <c r="D120" s="237">
        <v>0</v>
      </c>
      <c r="E120" s="237">
        <v>0</v>
      </c>
      <c r="F120" s="237">
        <f>'Sumář příjmů kapitol'!G49</f>
        <v>0</v>
      </c>
      <c r="G120" s="1159">
        <f t="shared" si="1"/>
        <v>0</v>
      </c>
      <c r="J120" s="1160"/>
    </row>
    <row r="121" spans="1:10" ht="19.5" customHeight="1" outlineLevel="1" x14ac:dyDescent="0.25">
      <c r="A121" s="1092" t="s">
        <v>54</v>
      </c>
      <c r="B121" s="246" t="s">
        <v>57</v>
      </c>
      <c r="C121" s="237">
        <f>'Sumář příjmů kapitol'!F51</f>
        <v>0</v>
      </c>
      <c r="D121" s="237">
        <v>0</v>
      </c>
      <c r="E121" s="237">
        <v>0</v>
      </c>
      <c r="F121" s="237">
        <f>'Sumář příjmů kapitol'!G51</f>
        <v>0</v>
      </c>
      <c r="G121" s="1159">
        <f t="shared" si="1"/>
        <v>0</v>
      </c>
      <c r="J121" s="1160"/>
    </row>
    <row r="122" spans="1:10" ht="19.5" customHeight="1" outlineLevel="1" x14ac:dyDescent="0.25">
      <c r="A122" s="1092" t="s">
        <v>54</v>
      </c>
      <c r="B122" s="246" t="s">
        <v>58</v>
      </c>
      <c r="C122" s="237">
        <f>'Sumář příjmů kapitol'!F52</f>
        <v>0</v>
      </c>
      <c r="D122" s="237">
        <v>0</v>
      </c>
      <c r="E122" s="237">
        <v>0</v>
      </c>
      <c r="F122" s="237">
        <f>'Sumář příjmů kapitol'!G52</f>
        <v>0</v>
      </c>
      <c r="G122" s="1159">
        <f t="shared" si="1"/>
        <v>0</v>
      </c>
      <c r="J122" s="1160"/>
    </row>
    <row r="123" spans="1:10" ht="19.5" customHeight="1" outlineLevel="1" x14ac:dyDescent="0.25">
      <c r="A123" s="1092">
        <v>4213</v>
      </c>
      <c r="B123" s="250" t="s">
        <v>363</v>
      </c>
      <c r="C123" s="237">
        <f>'Sumář příjmů kapitol'!F53</f>
        <v>0</v>
      </c>
      <c r="D123" s="237">
        <v>0</v>
      </c>
      <c r="E123" s="237">
        <v>0</v>
      </c>
      <c r="F123" s="237">
        <f>'Sumář příjmů kapitol'!G53</f>
        <v>0</v>
      </c>
      <c r="G123" s="1159">
        <f t="shared" si="1"/>
        <v>0</v>
      </c>
      <c r="J123" s="1160"/>
    </row>
    <row r="124" spans="1:10" ht="19.5" customHeight="1" outlineLevel="1" x14ac:dyDescent="0.25">
      <c r="A124" s="1092">
        <v>4213</v>
      </c>
      <c r="B124" s="250" t="s">
        <v>364</v>
      </c>
      <c r="G124" s="1159">
        <f t="shared" si="1"/>
        <v>0</v>
      </c>
      <c r="J124" s="1160"/>
    </row>
    <row r="125" spans="1:10" ht="19.5" customHeight="1" outlineLevel="1" x14ac:dyDescent="0.25">
      <c r="A125" s="1092" t="s">
        <v>54</v>
      </c>
      <c r="B125" s="246" t="s">
        <v>59</v>
      </c>
      <c r="G125" s="1159">
        <f t="shared" si="1"/>
        <v>0</v>
      </c>
      <c r="J125" s="1160"/>
    </row>
    <row r="126" spans="1:10" ht="19.5" customHeight="1" outlineLevel="1" x14ac:dyDescent="0.25">
      <c r="A126" s="1092" t="s">
        <v>54</v>
      </c>
      <c r="B126" s="246" t="s">
        <v>60</v>
      </c>
      <c r="G126" s="1159">
        <f t="shared" si="1"/>
        <v>0</v>
      </c>
      <c r="J126" s="1160"/>
    </row>
    <row r="127" spans="1:10" ht="19.5" customHeight="1" outlineLevel="1" x14ac:dyDescent="0.25">
      <c r="A127" s="1092" t="s">
        <v>54</v>
      </c>
      <c r="B127" s="246" t="s">
        <v>61</v>
      </c>
      <c r="G127" s="1159">
        <f t="shared" si="1"/>
        <v>0</v>
      </c>
      <c r="J127" s="1160"/>
    </row>
    <row r="128" spans="1:10" ht="19.5" customHeight="1" outlineLevel="1" x14ac:dyDescent="0.25">
      <c r="A128" s="1092" t="s">
        <v>62</v>
      </c>
      <c r="B128" s="246" t="s">
        <v>63</v>
      </c>
      <c r="G128" s="1159">
        <f t="shared" si="1"/>
        <v>0</v>
      </c>
      <c r="J128" s="1160"/>
    </row>
    <row r="129" spans="1:11" ht="19.5" customHeight="1" outlineLevel="1" x14ac:dyDescent="0.25">
      <c r="A129" s="1092" t="s">
        <v>54</v>
      </c>
      <c r="B129" s="246" t="s">
        <v>64</v>
      </c>
      <c r="G129" s="1159">
        <f t="shared" si="1"/>
        <v>0</v>
      </c>
      <c r="J129" s="1160"/>
    </row>
    <row r="130" spans="1:11" ht="19.5" customHeight="1" outlineLevel="1" x14ac:dyDescent="0.25">
      <c r="A130" s="1092" t="s">
        <v>54</v>
      </c>
      <c r="B130" s="246" t="s">
        <v>612</v>
      </c>
      <c r="G130" s="1159">
        <f t="shared" si="1"/>
        <v>0</v>
      </c>
      <c r="J130" s="1160"/>
    </row>
    <row r="131" spans="1:11" ht="19.5" customHeight="1" outlineLevel="1" x14ac:dyDescent="0.25">
      <c r="A131" s="1092" t="s">
        <v>613</v>
      </c>
      <c r="B131" s="246" t="s">
        <v>614</v>
      </c>
      <c r="C131" s="237">
        <f>'Sumář příjmů kapitol'!F62</f>
        <v>0</v>
      </c>
      <c r="D131" s="237">
        <v>0</v>
      </c>
      <c r="E131" s="237">
        <v>0</v>
      </c>
      <c r="F131" s="237">
        <f>'Sumář příjmů kapitol'!G62</f>
        <v>0</v>
      </c>
      <c r="G131" s="1159">
        <f t="shared" si="1"/>
        <v>0</v>
      </c>
      <c r="J131" s="1160"/>
    </row>
    <row r="132" spans="1:11" ht="19.5" customHeight="1" outlineLevel="1" x14ac:dyDescent="0.25">
      <c r="A132" s="1092">
        <v>4213</v>
      </c>
      <c r="B132" s="246" t="s">
        <v>363</v>
      </c>
      <c r="G132" s="1159">
        <f t="shared" si="1"/>
        <v>0</v>
      </c>
      <c r="J132" s="1160"/>
    </row>
    <row r="133" spans="1:11" ht="19.5" customHeight="1" outlineLevel="1" x14ac:dyDescent="0.25">
      <c r="A133" s="1092">
        <v>4213</v>
      </c>
      <c r="B133" s="246" t="s">
        <v>364</v>
      </c>
      <c r="G133" s="1159">
        <f t="shared" si="1"/>
        <v>0</v>
      </c>
      <c r="J133" s="1160"/>
    </row>
    <row r="134" spans="1:11" ht="19.5" customHeight="1" outlineLevel="1" x14ac:dyDescent="0.25">
      <c r="A134" s="1092" t="s">
        <v>54</v>
      </c>
      <c r="B134" s="246" t="s">
        <v>59</v>
      </c>
      <c r="G134" s="1159">
        <f t="shared" si="1"/>
        <v>0</v>
      </c>
      <c r="J134" s="1160"/>
    </row>
    <row r="135" spans="1:11" ht="19.5" customHeight="1" outlineLevel="1" x14ac:dyDescent="0.25">
      <c r="A135" s="1092" t="s">
        <v>54</v>
      </c>
      <c r="B135" s="246" t="s">
        <v>60</v>
      </c>
      <c r="G135" s="1159">
        <f t="shared" si="1"/>
        <v>0</v>
      </c>
      <c r="J135" s="1160"/>
    </row>
    <row r="136" spans="1:11" ht="19.5" customHeight="1" outlineLevel="1" x14ac:dyDescent="0.25">
      <c r="A136" s="1092" t="s">
        <v>54</v>
      </c>
      <c r="B136" s="246" t="s">
        <v>61</v>
      </c>
      <c r="G136" s="1159">
        <f t="shared" ref="G136:G199" si="2">+F136-E136</f>
        <v>0</v>
      </c>
      <c r="J136" s="1160"/>
    </row>
    <row r="137" spans="1:11" ht="19.5" customHeight="1" outlineLevel="1" x14ac:dyDescent="0.25">
      <c r="A137" s="1092" t="s">
        <v>62</v>
      </c>
      <c r="B137" s="246" t="s">
        <v>63</v>
      </c>
      <c r="G137" s="1159">
        <f t="shared" si="2"/>
        <v>0</v>
      </c>
      <c r="J137" s="1160"/>
    </row>
    <row r="138" spans="1:11" ht="19.5" customHeight="1" outlineLevel="1" x14ac:dyDescent="0.25">
      <c r="A138" s="1092" t="s">
        <v>54</v>
      </c>
      <c r="B138" s="246" t="s">
        <v>64</v>
      </c>
      <c r="C138" s="237">
        <f>'Sumář příjmů kapitol'!F60</f>
        <v>0</v>
      </c>
      <c r="D138" s="237">
        <v>0</v>
      </c>
      <c r="E138" s="237">
        <v>0</v>
      </c>
      <c r="F138" s="237">
        <f>'Sumář příjmů kapitol'!G60</f>
        <v>0</v>
      </c>
      <c r="G138" s="1159">
        <f t="shared" si="2"/>
        <v>0</v>
      </c>
      <c r="J138" s="1160"/>
    </row>
    <row r="139" spans="1:11" outlineLevel="1" x14ac:dyDescent="0.25">
      <c r="B139" s="246" t="s">
        <v>506</v>
      </c>
      <c r="C139" s="237">
        <f>'Sumář příjmů kapitol'!F63</f>
        <v>0</v>
      </c>
      <c r="D139" s="237">
        <v>0</v>
      </c>
      <c r="E139" s="237">
        <v>0</v>
      </c>
      <c r="F139" s="237">
        <f>'Sumář příjmů kapitol'!G63</f>
        <v>0</v>
      </c>
      <c r="G139" s="1159">
        <f t="shared" si="2"/>
        <v>0</v>
      </c>
      <c r="J139" s="1160"/>
    </row>
    <row r="140" spans="1:11" outlineLevel="1" x14ac:dyDescent="0.25">
      <c r="A140" s="266">
        <v>4222</v>
      </c>
      <c r="B140" s="246" t="s">
        <v>500</v>
      </c>
      <c r="C140" s="237">
        <f>'Sumář příjmů kapitol'!F64</f>
        <v>0</v>
      </c>
      <c r="D140" s="237">
        <v>0</v>
      </c>
      <c r="E140" s="237">
        <v>0</v>
      </c>
      <c r="F140" s="237">
        <f>'Sumář příjmů kapitol'!G64</f>
        <v>0</v>
      </c>
      <c r="G140" s="1159">
        <f t="shared" si="2"/>
        <v>0</v>
      </c>
      <c r="J140" s="1160"/>
    </row>
    <row r="141" spans="1:11" s="33" customFormat="1" ht="16.5" thickBot="1" x14ac:dyDescent="0.3">
      <c r="A141" s="261" t="s">
        <v>365</v>
      </c>
      <c r="B141" s="243" t="s">
        <v>366</v>
      </c>
      <c r="C141" s="245">
        <f>SUM(C142:C144)</f>
        <v>27000903</v>
      </c>
      <c r="D141" s="245">
        <v>133533884</v>
      </c>
      <c r="E141" s="245">
        <v>133533884</v>
      </c>
      <c r="F141" s="245">
        <f>SUM(F142:F144)</f>
        <v>90858791</v>
      </c>
      <c r="G141" s="1159">
        <f t="shared" si="2"/>
        <v>-42675093</v>
      </c>
      <c r="H141" s="1276"/>
      <c r="I141" s="1273"/>
      <c r="J141" s="1160"/>
      <c r="K141" s="1209"/>
    </row>
    <row r="142" spans="1:11" ht="17.25" customHeight="1" outlineLevel="1" x14ac:dyDescent="0.25">
      <c r="A142" s="266" t="s">
        <v>66</v>
      </c>
      <c r="B142" s="246" t="s">
        <v>367</v>
      </c>
      <c r="C142" s="237">
        <f>'Sumář příjmů kapitol'!F133</f>
        <v>25000000</v>
      </c>
      <c r="D142" s="237">
        <v>23257200</v>
      </c>
      <c r="E142" s="237">
        <v>23257200</v>
      </c>
      <c r="F142" s="237">
        <f>'Sumář příjmů kapitol'!I133</f>
        <v>27000000</v>
      </c>
      <c r="G142" s="1159">
        <f t="shared" si="2"/>
        <v>3742800</v>
      </c>
      <c r="J142" s="1160"/>
    </row>
    <row r="143" spans="1:11" ht="17.25" customHeight="1" outlineLevel="1" x14ac:dyDescent="0.25">
      <c r="A143" s="266" t="s">
        <v>66</v>
      </c>
      <c r="B143" s="246" t="s">
        <v>67</v>
      </c>
      <c r="C143" s="237">
        <f>'Sumář příjmů kapitol'!F134</f>
        <v>2000903</v>
      </c>
      <c r="D143" s="237">
        <v>276684</v>
      </c>
      <c r="E143" s="237">
        <v>276684</v>
      </c>
      <c r="F143" s="237">
        <f>'Sumář příjmů kapitol'!I134</f>
        <v>0</v>
      </c>
      <c r="G143" s="1159">
        <f t="shared" si="2"/>
        <v>-276684</v>
      </c>
      <c r="J143" s="1160"/>
    </row>
    <row r="144" spans="1:11" ht="17.25" customHeight="1" outlineLevel="1" x14ac:dyDescent="0.25">
      <c r="A144" s="236"/>
      <c r="B144" s="246" t="s">
        <v>122</v>
      </c>
      <c r="D144" s="237">
        <v>110000000</v>
      </c>
      <c r="E144" s="237">
        <v>110000000</v>
      </c>
      <c r="F144" s="237">
        <f>'Souhrn příjmů a výdajů 2018'!H152</f>
        <v>63858791</v>
      </c>
      <c r="G144" s="1159">
        <f t="shared" si="2"/>
        <v>-46141209</v>
      </c>
      <c r="J144" s="1160"/>
    </row>
    <row r="145" spans="1:11" x14ac:dyDescent="0.25">
      <c r="G145" s="1159">
        <f t="shared" si="2"/>
        <v>0</v>
      </c>
      <c r="J145" s="1160"/>
    </row>
    <row r="146" spans="1:11" s="33" customFormat="1" ht="16.5" thickBot="1" x14ac:dyDescent="0.3">
      <c r="A146" s="1094" t="s">
        <v>370</v>
      </c>
      <c r="B146" s="247"/>
      <c r="C146" s="245">
        <f>+C141+C97+C91+C26+C6</f>
        <v>154493549</v>
      </c>
      <c r="D146" s="245">
        <v>263207503</v>
      </c>
      <c r="E146" s="245">
        <v>265527303</v>
      </c>
      <c r="F146" s="245">
        <f>+F141+F97+F91+F26+F6</f>
        <v>239205058</v>
      </c>
      <c r="G146" s="1159">
        <f t="shared" si="2"/>
        <v>-26322245</v>
      </c>
      <c r="H146" s="1276"/>
      <c r="I146" s="1273"/>
      <c r="J146" s="1160"/>
      <c r="K146" s="1209"/>
    </row>
    <row r="147" spans="1:11" s="249" customFormat="1" ht="13.5" customHeight="1" x14ac:dyDescent="0.25">
      <c r="A147" s="1171"/>
      <c r="B147" s="250" t="s">
        <v>371</v>
      </c>
      <c r="C147" s="238">
        <f>C146-'Sumář příjmů kapitol'!F139</f>
        <v>0</v>
      </c>
      <c r="D147" s="238">
        <v>0</v>
      </c>
      <c r="E147" s="238">
        <v>0</v>
      </c>
      <c r="F147" s="238">
        <f>+F146-'Souhrn příjmů a výdajů 2018'!H154</f>
        <v>0</v>
      </c>
      <c r="G147" s="1159">
        <f t="shared" si="2"/>
        <v>0</v>
      </c>
      <c r="H147" s="1276"/>
      <c r="I147" s="1273"/>
      <c r="J147" s="1160"/>
      <c r="K147" s="1208"/>
    </row>
    <row r="148" spans="1:11" x14ac:dyDescent="0.25">
      <c r="A148" s="1092" t="s">
        <v>372</v>
      </c>
      <c r="G148" s="1159">
        <f t="shared" si="2"/>
        <v>0</v>
      </c>
      <c r="J148" s="1160"/>
    </row>
    <row r="149" spans="1:11" ht="32.25" thickBot="1" x14ac:dyDescent="0.3">
      <c r="A149" s="1093" t="s">
        <v>373</v>
      </c>
      <c r="B149" s="239" t="s">
        <v>374</v>
      </c>
      <c r="C149" s="267" t="s">
        <v>1255</v>
      </c>
      <c r="D149" s="267" t="s">
        <v>1322</v>
      </c>
      <c r="E149" s="267" t="s">
        <v>1431</v>
      </c>
      <c r="F149" s="267" t="s">
        <v>1369</v>
      </c>
      <c r="G149" s="1159"/>
      <c r="J149" s="1160"/>
    </row>
    <row r="150" spans="1:11" ht="18" customHeight="1" outlineLevel="1" x14ac:dyDescent="0.25">
      <c r="B150" s="246" t="s">
        <v>1241</v>
      </c>
      <c r="C150" s="237">
        <v>5194366.5202000011</v>
      </c>
      <c r="D150" s="237">
        <v>5186301.3202000009</v>
      </c>
      <c r="E150" s="237">
        <v>5240644.6378000006</v>
      </c>
      <c r="F150" s="237">
        <f>'[1]2018'!$M$3</f>
        <v>6015295</v>
      </c>
      <c r="G150" s="1159">
        <f t="shared" si="2"/>
        <v>774650.36219999939</v>
      </c>
      <c r="J150" s="1160"/>
    </row>
    <row r="151" spans="1:11" ht="18" customHeight="1" outlineLevel="1" x14ac:dyDescent="0.25">
      <c r="B151" s="246" t="s">
        <v>1240</v>
      </c>
      <c r="C151" s="237">
        <v>2470387.4210000006</v>
      </c>
      <c r="D151" s="237">
        <v>2470412.6210000003</v>
      </c>
      <c r="E151" s="237">
        <v>2498008.8562000003</v>
      </c>
      <c r="F151" s="237">
        <f>'[1]2018'!$M$12</f>
        <v>2754265.8</v>
      </c>
      <c r="G151" s="1159">
        <f t="shared" si="2"/>
        <v>256256.94379999954</v>
      </c>
      <c r="J151" s="1160"/>
    </row>
    <row r="152" spans="1:11" ht="18" customHeight="1" outlineLevel="1" x14ac:dyDescent="0.25">
      <c r="B152" s="246" t="s">
        <v>1237</v>
      </c>
      <c r="C152" s="237">
        <v>1522533.6698000003</v>
      </c>
      <c r="D152" s="237">
        <v>1522533.6698000003</v>
      </c>
      <c r="E152" s="237">
        <v>1538459.7514</v>
      </c>
      <c r="F152" s="237">
        <f>'[1]2018'!$M$15</f>
        <v>1665463.8</v>
      </c>
      <c r="G152" s="1159">
        <f t="shared" si="2"/>
        <v>127004.0486000001</v>
      </c>
      <c r="J152" s="1160"/>
    </row>
    <row r="153" spans="1:11" ht="18" customHeight="1" outlineLevel="1" x14ac:dyDescent="0.25">
      <c r="B153" s="246" t="s">
        <v>1239</v>
      </c>
      <c r="C153" s="237">
        <v>3900857.6464000004</v>
      </c>
      <c r="D153" s="237">
        <v>3900857.6464000004</v>
      </c>
      <c r="E153" s="237">
        <v>3941540.8644000003</v>
      </c>
      <c r="F153" s="237">
        <f>'[1]2018'!$M$13</f>
        <v>4473465</v>
      </c>
      <c r="G153" s="1159">
        <f t="shared" si="2"/>
        <v>531924.13559999969</v>
      </c>
      <c r="J153" s="1160"/>
    </row>
    <row r="154" spans="1:11" ht="18" customHeight="1" outlineLevel="1" x14ac:dyDescent="0.25">
      <c r="B154" s="246" t="s">
        <v>1100</v>
      </c>
      <c r="C154" s="237">
        <v>4320861.0016000001</v>
      </c>
      <c r="D154" s="237">
        <v>4320861.0016000001</v>
      </c>
      <c r="E154" s="237">
        <v>4365448.1156000001</v>
      </c>
      <c r="F154" s="237">
        <f>'[1]2018'!$M$16</f>
        <v>4788712.5</v>
      </c>
      <c r="G154" s="1159">
        <f t="shared" si="2"/>
        <v>423264.38439999986</v>
      </c>
      <c r="J154" s="1160"/>
    </row>
    <row r="155" spans="1:11" x14ac:dyDescent="0.25">
      <c r="B155" s="1096" t="s">
        <v>1251</v>
      </c>
      <c r="C155" s="1097">
        <f>SUM(C150:C154)</f>
        <v>17409006.259000003</v>
      </c>
      <c r="D155" s="1097">
        <v>17400966.259000003</v>
      </c>
      <c r="E155" s="1097">
        <f>SUM(E150:E154)</f>
        <v>17584102.225400001</v>
      </c>
      <c r="F155" s="1097">
        <f>SUM(F150:F154)</f>
        <v>19697202.100000001</v>
      </c>
      <c r="G155" s="1159">
        <f t="shared" si="2"/>
        <v>2113099.8746000007</v>
      </c>
      <c r="J155" s="1160"/>
    </row>
    <row r="156" spans="1:11" ht="18" customHeight="1" outlineLevel="1" x14ac:dyDescent="0.25">
      <c r="A156" s="266" t="s">
        <v>308</v>
      </c>
      <c r="B156" s="246" t="s">
        <v>418</v>
      </c>
      <c r="C156" s="237">
        <v>5088626.1824000003</v>
      </c>
      <c r="D156" s="237">
        <v>5088626.1824000003</v>
      </c>
      <c r="E156" s="237">
        <v>5118556.1396000003</v>
      </c>
      <c r="F156" s="237">
        <f>'[1]2018'!$M$4</f>
        <v>5456205.1600000001</v>
      </c>
      <c r="G156" s="1159">
        <f t="shared" si="2"/>
        <v>337649.0203999998</v>
      </c>
      <c r="J156" s="1160"/>
    </row>
    <row r="157" spans="1:11" ht="18" customHeight="1" outlineLevel="1" x14ac:dyDescent="0.25">
      <c r="A157" s="266">
        <v>5512</v>
      </c>
      <c r="B157" s="246" t="s">
        <v>219</v>
      </c>
      <c r="C157" s="237">
        <v>95047</v>
      </c>
      <c r="D157" s="237">
        <v>101047</v>
      </c>
      <c r="E157" s="237">
        <v>101047</v>
      </c>
      <c r="F157" s="237">
        <f>'[1]2018'!$M$5</f>
        <v>125169.36</v>
      </c>
      <c r="G157" s="1159">
        <f t="shared" si="2"/>
        <v>24122.36</v>
      </c>
      <c r="J157" s="1160"/>
    </row>
    <row r="158" spans="1:11" ht="18" customHeight="1" outlineLevel="1" x14ac:dyDescent="0.25">
      <c r="A158" s="266">
        <v>4351</v>
      </c>
      <c r="B158" s="246" t="s">
        <v>1101</v>
      </c>
      <c r="C158" s="237">
        <v>1522727.2346000001</v>
      </c>
      <c r="D158" s="237">
        <v>1522727.2346000001</v>
      </c>
      <c r="E158" s="237">
        <v>1545506.0478000001</v>
      </c>
      <c r="F158" s="237">
        <f>'[1]2018'!$M$6</f>
        <v>1670840.6</v>
      </c>
      <c r="G158" s="1159">
        <f t="shared" si="2"/>
        <v>125334.55220000003</v>
      </c>
      <c r="J158" s="1160"/>
    </row>
    <row r="159" spans="1:11" ht="18" customHeight="1" outlineLevel="1" x14ac:dyDescent="0.25">
      <c r="A159" s="266">
        <v>3319</v>
      </c>
      <c r="B159" s="246" t="s">
        <v>903</v>
      </c>
      <c r="C159" s="237">
        <v>32260.800000000003</v>
      </c>
      <c r="D159" s="237">
        <v>32260.800000000003</v>
      </c>
      <c r="E159" s="237">
        <v>32260.800000000003</v>
      </c>
      <c r="F159" s="237">
        <f>'[1]2018'!$M$7</f>
        <v>0</v>
      </c>
      <c r="G159" s="1159">
        <f t="shared" si="2"/>
        <v>-32260.800000000003</v>
      </c>
      <c r="J159" s="1160"/>
    </row>
    <row r="160" spans="1:11" ht="18" customHeight="1" outlineLevel="1" x14ac:dyDescent="0.25">
      <c r="A160" s="266">
        <v>3314</v>
      </c>
      <c r="B160" s="246" t="s">
        <v>294</v>
      </c>
      <c r="C160" s="237">
        <v>1286967.9966</v>
      </c>
      <c r="D160" s="237">
        <v>1286967.9966</v>
      </c>
      <c r="E160" s="237">
        <v>1302055.2974</v>
      </c>
      <c r="F160" s="237">
        <f>'[1]2018'!$M$8</f>
        <v>1411947.68</v>
      </c>
      <c r="G160" s="1159">
        <f t="shared" si="2"/>
        <v>109892.3825999999</v>
      </c>
      <c r="J160" s="1160"/>
    </row>
    <row r="161" spans="1:11" ht="18" customHeight="1" outlineLevel="1" x14ac:dyDescent="0.25">
      <c r="A161" s="266">
        <v>3349</v>
      </c>
      <c r="B161" s="246" t="s">
        <v>1238</v>
      </c>
      <c r="C161" s="237">
        <v>140456.4</v>
      </c>
      <c r="D161" s="237">
        <v>140456.4</v>
      </c>
      <c r="E161" s="237">
        <v>140456.4</v>
      </c>
      <c r="F161" s="237">
        <f>'[1]2018'!$M$9</f>
        <v>145856.4</v>
      </c>
      <c r="G161" s="1159">
        <f t="shared" si="2"/>
        <v>5400</v>
      </c>
      <c r="J161" s="1160"/>
    </row>
    <row r="162" spans="1:11" ht="18" customHeight="1" outlineLevel="1" x14ac:dyDescent="0.25">
      <c r="A162" s="266">
        <v>6409</v>
      </c>
      <c r="B162" s="246" t="s">
        <v>1252</v>
      </c>
      <c r="C162" s="237">
        <v>1834613.8954</v>
      </c>
      <c r="D162" s="237">
        <v>1834613.8954</v>
      </c>
      <c r="E162" s="237">
        <v>1852620.7986000001</v>
      </c>
      <c r="F162" s="237">
        <f>'[1]2018'!$M$14</f>
        <v>2016300.0000000002</v>
      </c>
      <c r="G162" s="1159">
        <f t="shared" si="2"/>
        <v>163679.20140000014</v>
      </c>
      <c r="J162" s="1160"/>
    </row>
    <row r="163" spans="1:11" s="258" customFormat="1" outlineLevel="1" x14ac:dyDescent="0.2">
      <c r="A163" s="1279"/>
      <c r="B163" s="259" t="s">
        <v>391</v>
      </c>
      <c r="C163" s="1263"/>
      <c r="D163" s="1263"/>
      <c r="E163" s="1263">
        <v>76269.90800000001</v>
      </c>
      <c r="F163" s="1263">
        <f>'[1]2018'!$M$17</f>
        <v>0</v>
      </c>
      <c r="G163" s="1280">
        <f t="shared" si="2"/>
        <v>-76269.90800000001</v>
      </c>
      <c r="H163" s="1281"/>
      <c r="I163" s="1282"/>
      <c r="J163" s="1329"/>
      <c r="K163" s="1283"/>
    </row>
    <row r="164" spans="1:11" outlineLevel="1" x14ac:dyDescent="0.25">
      <c r="A164" s="266">
        <v>6112</v>
      </c>
      <c r="B164" s="246" t="s">
        <v>902</v>
      </c>
      <c r="C164" s="237">
        <v>2340198.4320000005</v>
      </c>
      <c r="D164" s="237">
        <v>2340198.4320000005</v>
      </c>
      <c r="E164" s="237">
        <v>2340198.4320000005</v>
      </c>
      <c r="F164" s="237">
        <f>'[1]2018'!$M$18</f>
        <v>3811837.4</v>
      </c>
      <c r="G164" s="1159">
        <f t="shared" si="2"/>
        <v>1471638.9679999994</v>
      </c>
      <c r="J164" s="1160"/>
    </row>
    <row r="165" spans="1:11" x14ac:dyDescent="0.25">
      <c r="B165" s="1092" t="s">
        <v>1254</v>
      </c>
      <c r="C165" s="32">
        <f>SUM(C156:C164)</f>
        <v>12340897.941000002</v>
      </c>
      <c r="D165" s="32">
        <v>12346897.941000002</v>
      </c>
      <c r="E165" s="32">
        <f>SUM(E156:E164)</f>
        <v>12508970.8234</v>
      </c>
      <c r="F165" s="32">
        <f>SUM(F156:F164)</f>
        <v>14638156.600000001</v>
      </c>
      <c r="G165" s="1159">
        <f t="shared" si="2"/>
        <v>2129185.7766000014</v>
      </c>
      <c r="J165" s="1160"/>
    </row>
    <row r="166" spans="1:11" s="33" customFormat="1" ht="16.5" thickBot="1" x14ac:dyDescent="0.3">
      <c r="A166" s="247" t="s">
        <v>192</v>
      </c>
      <c r="B166" s="247"/>
      <c r="C166" s="245">
        <f>+C165+C155</f>
        <v>29749904.200000003</v>
      </c>
      <c r="D166" s="245">
        <v>29747864.200000003</v>
      </c>
      <c r="E166" s="245">
        <f>+E165+E155</f>
        <v>30093073.048799999</v>
      </c>
      <c r="F166" s="245">
        <f>+F165+F155</f>
        <v>34335358.700000003</v>
      </c>
      <c r="G166" s="1159">
        <f t="shared" si="2"/>
        <v>4242285.6512000039</v>
      </c>
      <c r="H166" s="1276"/>
      <c r="I166" s="1273"/>
      <c r="J166" s="1160"/>
      <c r="K166" s="1209"/>
    </row>
    <row r="167" spans="1:11" s="33" customFormat="1" x14ac:dyDescent="0.25">
      <c r="A167" s="69"/>
      <c r="B167" s="69"/>
      <c r="C167" s="75"/>
      <c r="D167" s="1244">
        <v>0</v>
      </c>
      <c r="E167" s="1244">
        <v>0</v>
      </c>
      <c r="F167" s="1244">
        <f>+F166-'Sumář  výdaje kapitol'!I16</f>
        <v>0</v>
      </c>
      <c r="G167" s="1159">
        <f t="shared" si="2"/>
        <v>0</v>
      </c>
      <c r="H167" s="1276"/>
      <c r="I167" s="1273"/>
      <c r="J167" s="1160"/>
      <c r="K167" s="1209"/>
    </row>
    <row r="168" spans="1:11" ht="18" customHeight="1" outlineLevel="1" x14ac:dyDescent="0.25">
      <c r="A168" s="266">
        <v>3113</v>
      </c>
      <c r="B168" s="246" t="s">
        <v>1242</v>
      </c>
      <c r="C168" s="237">
        <v>4381000</v>
      </c>
      <c r="D168" s="237">
        <v>4381000</v>
      </c>
      <c r="E168" s="237">
        <v>4381000</v>
      </c>
      <c r="F168" s="237">
        <f>'Sumář  výdaje kapitol'!AQ56</f>
        <v>6411000</v>
      </c>
      <c r="G168" s="1159">
        <f t="shared" si="2"/>
        <v>2030000</v>
      </c>
      <c r="J168" s="1160"/>
    </row>
    <row r="169" spans="1:11" ht="18" customHeight="1" outlineLevel="1" x14ac:dyDescent="0.25">
      <c r="A169" s="266">
        <v>3421</v>
      </c>
      <c r="B169" s="246" t="s">
        <v>226</v>
      </c>
      <c r="C169" s="237">
        <v>600000</v>
      </c>
      <c r="D169" s="237">
        <v>600000</v>
      </c>
      <c r="E169" s="237">
        <v>600000</v>
      </c>
      <c r="F169" s="237">
        <f>'Sumář  výdaje kapitol'!AW56</f>
        <v>800000</v>
      </c>
      <c r="G169" s="1159">
        <f t="shared" si="2"/>
        <v>200000</v>
      </c>
      <c r="J169" s="1160"/>
    </row>
    <row r="170" spans="1:11" ht="18" customHeight="1" outlineLevel="1" x14ac:dyDescent="0.25">
      <c r="A170" s="266" t="s">
        <v>1317</v>
      </c>
      <c r="B170" s="246" t="s">
        <v>1243</v>
      </c>
      <c r="C170" s="237">
        <v>728300</v>
      </c>
      <c r="D170" s="237">
        <v>728300</v>
      </c>
      <c r="E170" s="237">
        <v>728300</v>
      </c>
      <c r="F170" s="237">
        <f>'Sumář  výdaje kapitol'!AZ56</f>
        <v>763300</v>
      </c>
      <c r="G170" s="1159">
        <f t="shared" si="2"/>
        <v>35000</v>
      </c>
      <c r="J170" s="1160"/>
    </row>
    <row r="171" spans="1:11" ht="18" customHeight="1" outlineLevel="1" x14ac:dyDescent="0.25">
      <c r="A171" s="266" t="s">
        <v>259</v>
      </c>
      <c r="B171" s="246" t="s">
        <v>1246</v>
      </c>
      <c r="C171" s="237">
        <v>2255000</v>
      </c>
      <c r="D171" s="237">
        <v>2385000</v>
      </c>
      <c r="E171" s="237">
        <v>2385000</v>
      </c>
      <c r="F171" s="237">
        <f>'Sumář  výdaje kapitol'!BC56</f>
        <v>4223138</v>
      </c>
      <c r="G171" s="1159">
        <f t="shared" si="2"/>
        <v>1838138</v>
      </c>
      <c r="J171" s="1160"/>
    </row>
    <row r="172" spans="1:11" ht="18" customHeight="1" outlineLevel="1" x14ac:dyDescent="0.25">
      <c r="A172" s="266" t="s">
        <v>260</v>
      </c>
      <c r="B172" s="246" t="s">
        <v>1244</v>
      </c>
      <c r="C172" s="237">
        <v>1400000</v>
      </c>
      <c r="D172" s="237">
        <v>1550000</v>
      </c>
      <c r="E172" s="237">
        <v>1550000</v>
      </c>
      <c r="F172" s="237">
        <f>'Sumář  výdaje kapitol'!BF56</f>
        <v>1420000</v>
      </c>
      <c r="G172" s="1159">
        <f t="shared" si="2"/>
        <v>-130000</v>
      </c>
      <c r="J172" s="1160"/>
    </row>
    <row r="173" spans="1:11" ht="18" customHeight="1" outlineLevel="1" x14ac:dyDescent="0.25">
      <c r="A173" s="266" t="s">
        <v>1318</v>
      </c>
      <c r="B173" s="246" t="s">
        <v>1247</v>
      </c>
      <c r="C173" s="237">
        <v>235000</v>
      </c>
      <c r="D173" s="237">
        <v>235000</v>
      </c>
      <c r="E173" s="237">
        <v>235000</v>
      </c>
      <c r="F173" s="237">
        <f>'Sumář  výdaje kapitol'!BI56</f>
        <v>235000</v>
      </c>
      <c r="G173" s="1159">
        <f t="shared" si="2"/>
        <v>0</v>
      </c>
      <c r="J173" s="1160"/>
    </row>
    <row r="174" spans="1:11" outlineLevel="1" x14ac:dyDescent="0.25">
      <c r="A174" s="266" t="s">
        <v>801</v>
      </c>
      <c r="B174" s="246" t="s">
        <v>1245</v>
      </c>
      <c r="C174" s="237">
        <v>270000</v>
      </c>
      <c r="D174" s="237">
        <v>290000</v>
      </c>
      <c r="E174" s="237">
        <v>290000</v>
      </c>
      <c r="F174" s="237">
        <f>'Sumář  výdaje kapitol'!BJ56</f>
        <v>200000</v>
      </c>
      <c r="G174" s="1159">
        <f t="shared" si="2"/>
        <v>-90000</v>
      </c>
      <c r="J174" s="1160"/>
    </row>
    <row r="175" spans="1:11" outlineLevel="1" x14ac:dyDescent="0.25">
      <c r="A175" s="266"/>
      <c r="B175" s="246" t="s">
        <v>1248</v>
      </c>
      <c r="C175" s="237">
        <v>10900000</v>
      </c>
      <c r="D175" s="237">
        <v>10900000</v>
      </c>
      <c r="E175" s="237">
        <v>10900000</v>
      </c>
      <c r="F175" s="237">
        <f>'Sumář  výdaje kapitol'!Q56</f>
        <v>13600000</v>
      </c>
      <c r="G175" s="1159">
        <f t="shared" si="2"/>
        <v>2700000</v>
      </c>
      <c r="J175" s="1160"/>
    </row>
    <row r="176" spans="1:11" ht="18" customHeight="1" x14ac:dyDescent="0.25">
      <c r="A176" s="266"/>
      <c r="B176" s="1096" t="s">
        <v>1236</v>
      </c>
      <c r="C176" s="1097">
        <f>SUM(C168:C175)</f>
        <v>20769300</v>
      </c>
      <c r="D176" s="1097">
        <v>21069300</v>
      </c>
      <c r="E176" s="1097">
        <v>21069300</v>
      </c>
      <c r="F176" s="1097">
        <f>SUM(F168:F175)</f>
        <v>27652438</v>
      </c>
      <c r="G176" s="1159">
        <f t="shared" si="2"/>
        <v>6583138</v>
      </c>
      <c r="J176" s="1160"/>
    </row>
    <row r="177" spans="1:10" ht="18" customHeight="1" outlineLevel="1" x14ac:dyDescent="0.25">
      <c r="A177" s="266">
        <v>6409</v>
      </c>
      <c r="B177" s="246" t="s">
        <v>1250</v>
      </c>
      <c r="C177" s="237">
        <v>2747200</v>
      </c>
      <c r="D177" s="237">
        <v>2772200</v>
      </c>
      <c r="E177" s="237">
        <v>2772200</v>
      </c>
      <c r="F177" s="237">
        <f>'Sumář  výdaje kapitol'!L56</f>
        <v>3694500</v>
      </c>
      <c r="G177" s="1159">
        <f t="shared" si="2"/>
        <v>922300</v>
      </c>
      <c r="J177" s="1160"/>
    </row>
    <row r="178" spans="1:10" ht="18" customHeight="1" outlineLevel="1" x14ac:dyDescent="0.25">
      <c r="A178" s="266">
        <v>6112</v>
      </c>
      <c r="B178" s="246" t="s">
        <v>902</v>
      </c>
      <c r="C178" s="237">
        <v>735000</v>
      </c>
      <c r="D178" s="237">
        <v>747000</v>
      </c>
      <c r="E178" s="237">
        <v>847000</v>
      </c>
      <c r="F178" s="237">
        <f>'Sumář  výdaje kapitol'!M56</f>
        <v>2180000</v>
      </c>
      <c r="G178" s="1159">
        <f t="shared" si="2"/>
        <v>1333000</v>
      </c>
      <c r="J178" s="1160"/>
    </row>
    <row r="179" spans="1:10" ht="18" customHeight="1" outlineLevel="1" x14ac:dyDescent="0.25">
      <c r="A179" s="266">
        <v>6171</v>
      </c>
      <c r="B179" s="246" t="s">
        <v>1241</v>
      </c>
      <c r="C179" s="237">
        <v>6970000</v>
      </c>
      <c r="D179" s="237">
        <v>7042000</v>
      </c>
      <c r="E179" s="237">
        <v>7192000</v>
      </c>
      <c r="F179" s="237">
        <f>'Sumář  výdaje kapitol'!N56</f>
        <v>7066000</v>
      </c>
      <c r="G179" s="1159">
        <f t="shared" si="2"/>
        <v>-126000</v>
      </c>
      <c r="J179" s="1160"/>
    </row>
    <row r="180" spans="1:10" ht="18" customHeight="1" outlineLevel="1" x14ac:dyDescent="0.25">
      <c r="A180" s="266">
        <v>4351</v>
      </c>
      <c r="B180" s="246" t="s">
        <v>1101</v>
      </c>
      <c r="C180" s="237">
        <v>355000</v>
      </c>
      <c r="D180" s="237">
        <v>355000</v>
      </c>
      <c r="E180" s="237">
        <v>417000</v>
      </c>
      <c r="F180" s="237">
        <f>'Sumář  výdaje kapitol'!R56</f>
        <v>368000</v>
      </c>
      <c r="G180" s="1159">
        <f t="shared" si="2"/>
        <v>-49000</v>
      </c>
      <c r="J180" s="1160"/>
    </row>
    <row r="181" spans="1:10" ht="18" customHeight="1" outlineLevel="1" x14ac:dyDescent="0.25">
      <c r="A181" s="266">
        <v>5311</v>
      </c>
      <c r="B181" s="246" t="s">
        <v>210</v>
      </c>
      <c r="C181" s="237">
        <v>280000</v>
      </c>
      <c r="D181" s="237">
        <v>280000</v>
      </c>
      <c r="E181" s="237">
        <v>280000</v>
      </c>
      <c r="F181" s="237">
        <f>'Sumář  výdaje kapitol'!S56</f>
        <v>200000</v>
      </c>
      <c r="G181" s="1159">
        <f t="shared" si="2"/>
        <v>-80000</v>
      </c>
      <c r="J181" s="1160"/>
    </row>
    <row r="182" spans="1:10" ht="18" customHeight="1" outlineLevel="1" x14ac:dyDescent="0.25">
      <c r="A182" s="266" t="s">
        <v>308</v>
      </c>
      <c r="B182" s="246" t="s">
        <v>418</v>
      </c>
      <c r="C182" s="237">
        <v>922000</v>
      </c>
      <c r="D182" s="237">
        <v>944000</v>
      </c>
      <c r="E182" s="237">
        <v>594000</v>
      </c>
      <c r="F182" s="237">
        <f>'Sumář  výdaje kapitol'!T56</f>
        <v>797000</v>
      </c>
      <c r="G182" s="1159">
        <f t="shared" si="2"/>
        <v>203000</v>
      </c>
      <c r="J182" s="1160"/>
    </row>
    <row r="183" spans="1:10" ht="18" customHeight="1" outlineLevel="1" x14ac:dyDescent="0.25">
      <c r="A183" s="266">
        <v>3319</v>
      </c>
      <c r="B183" s="246" t="s">
        <v>903</v>
      </c>
      <c r="C183" s="237">
        <v>112000</v>
      </c>
      <c r="D183" s="237">
        <v>116800</v>
      </c>
      <c r="E183" s="237">
        <v>116800</v>
      </c>
      <c r="F183" s="237">
        <f>'Sumář  výdaje kapitol'!U56</f>
        <v>115000</v>
      </c>
      <c r="G183" s="1159">
        <f t="shared" si="2"/>
        <v>-1800</v>
      </c>
      <c r="J183" s="1160"/>
    </row>
    <row r="184" spans="1:10" ht="18" customHeight="1" outlineLevel="1" x14ac:dyDescent="0.25">
      <c r="A184" s="266">
        <v>3314</v>
      </c>
      <c r="B184" s="246" t="s">
        <v>294</v>
      </c>
      <c r="C184" s="237">
        <v>663314</v>
      </c>
      <c r="D184" s="237">
        <v>663314</v>
      </c>
      <c r="E184" s="237">
        <v>663314</v>
      </c>
      <c r="F184" s="237">
        <f>'Sumář  výdaje kapitol'!V56</f>
        <v>707000</v>
      </c>
      <c r="G184" s="1159">
        <f t="shared" si="2"/>
        <v>43686</v>
      </c>
      <c r="J184" s="1160"/>
    </row>
    <row r="185" spans="1:10" ht="18" customHeight="1" outlineLevel="1" x14ac:dyDescent="0.25">
      <c r="A185" s="266">
        <v>3349</v>
      </c>
      <c r="B185" s="246" t="s">
        <v>1238</v>
      </c>
      <c r="C185" s="237">
        <v>490000</v>
      </c>
      <c r="D185" s="237">
        <v>490000</v>
      </c>
      <c r="E185" s="237">
        <v>490000</v>
      </c>
      <c r="F185" s="237">
        <f>'Sumář  výdaje kapitol'!W56</f>
        <v>490000</v>
      </c>
      <c r="G185" s="1159">
        <f t="shared" si="2"/>
        <v>0</v>
      </c>
      <c r="J185" s="1160"/>
    </row>
    <row r="186" spans="1:10" ht="18" customHeight="1" outlineLevel="1" x14ac:dyDescent="0.25">
      <c r="A186" s="266">
        <v>3399</v>
      </c>
      <c r="B186" s="246" t="s">
        <v>904</v>
      </c>
      <c r="C186" s="237">
        <v>815000</v>
      </c>
      <c r="D186" s="237">
        <v>815000</v>
      </c>
      <c r="E186" s="237">
        <v>915000</v>
      </c>
      <c r="F186" s="237">
        <f>'Sumář  výdaje kapitol'!X56</f>
        <v>1275000</v>
      </c>
      <c r="G186" s="1159">
        <f t="shared" si="2"/>
        <v>360000</v>
      </c>
      <c r="J186" s="1160"/>
    </row>
    <row r="187" spans="1:10" ht="18" customHeight="1" outlineLevel="1" x14ac:dyDescent="0.25">
      <c r="A187" s="266">
        <v>3612</v>
      </c>
      <c r="B187" s="246" t="s">
        <v>216</v>
      </c>
      <c r="C187" s="237">
        <v>1424717</v>
      </c>
      <c r="D187" s="237">
        <v>1449717</v>
      </c>
      <c r="E187" s="237">
        <v>1449717</v>
      </c>
      <c r="F187" s="237">
        <f>'Sumář  výdaje kapitol'!Y56</f>
        <v>1424862</v>
      </c>
      <c r="G187" s="1159">
        <f t="shared" si="2"/>
        <v>-24855</v>
      </c>
      <c r="J187" s="1160"/>
    </row>
    <row r="188" spans="1:10" ht="18" customHeight="1" outlineLevel="1" x14ac:dyDescent="0.25">
      <c r="A188" s="266" t="s">
        <v>254</v>
      </c>
      <c r="B188" s="246" t="s">
        <v>217</v>
      </c>
      <c r="C188" s="237">
        <v>2625000</v>
      </c>
      <c r="D188" s="237">
        <v>2705500</v>
      </c>
      <c r="E188" s="237">
        <v>2618500</v>
      </c>
      <c r="F188" s="237">
        <f>'Sumář  výdaje kapitol'!AB56</f>
        <v>2515000</v>
      </c>
      <c r="G188" s="1262">
        <f t="shared" si="2"/>
        <v>-103500</v>
      </c>
      <c r="J188" s="1160"/>
    </row>
    <row r="189" spans="1:10" ht="18" customHeight="1" outlineLevel="1" x14ac:dyDescent="0.25">
      <c r="A189" s="266">
        <v>3613</v>
      </c>
      <c r="B189" s="246" t="s">
        <v>218</v>
      </c>
      <c r="C189" s="237">
        <v>1200000</v>
      </c>
      <c r="D189" s="237">
        <v>1349000</v>
      </c>
      <c r="E189" s="237">
        <v>1349000</v>
      </c>
      <c r="F189" s="237">
        <f>'Sumář  výdaje kapitol'!AE56</f>
        <v>1329000</v>
      </c>
      <c r="G189" s="1159">
        <f t="shared" si="2"/>
        <v>-20000</v>
      </c>
      <c r="J189" s="1160"/>
    </row>
    <row r="190" spans="1:10" ht="18" customHeight="1" outlineLevel="1" x14ac:dyDescent="0.25">
      <c r="A190" s="266">
        <v>5512</v>
      </c>
      <c r="B190" s="246" t="s">
        <v>219</v>
      </c>
      <c r="C190" s="237">
        <v>578000</v>
      </c>
      <c r="D190" s="237">
        <v>593000</v>
      </c>
      <c r="E190" s="237">
        <v>593000</v>
      </c>
      <c r="F190" s="237">
        <f>'Sumář  výdaje kapitol'!AH56</f>
        <v>654000</v>
      </c>
      <c r="G190" s="1159">
        <f t="shared" si="2"/>
        <v>61000</v>
      </c>
      <c r="J190" s="1160"/>
    </row>
    <row r="191" spans="1:10" ht="18" customHeight="1" outlineLevel="1" x14ac:dyDescent="0.25">
      <c r="A191" s="266">
        <v>3519</v>
      </c>
      <c r="B191" s="246" t="s">
        <v>1249</v>
      </c>
      <c r="C191" s="237">
        <v>150000</v>
      </c>
      <c r="D191" s="237">
        <v>150000</v>
      </c>
      <c r="E191" s="237">
        <v>150000</v>
      </c>
      <c r="F191" s="237">
        <f>'Sumář  výdaje kapitol'!AI56</f>
        <v>150000</v>
      </c>
      <c r="G191" s="1159">
        <f t="shared" si="2"/>
        <v>0</v>
      </c>
      <c r="J191" s="1160"/>
    </row>
    <row r="192" spans="1:10" ht="18" customHeight="1" outlineLevel="1" x14ac:dyDescent="0.25">
      <c r="A192" s="266">
        <v>3429</v>
      </c>
      <c r="B192" s="246" t="s">
        <v>221</v>
      </c>
      <c r="C192" s="237">
        <v>20000</v>
      </c>
      <c r="D192" s="237">
        <v>41000</v>
      </c>
      <c r="E192" s="237">
        <v>41000</v>
      </c>
      <c r="F192" s="237">
        <f>'Sumář  výdaje kapitol'!AJ56</f>
        <v>41000</v>
      </c>
      <c r="G192" s="1159">
        <f t="shared" si="2"/>
        <v>0</v>
      </c>
      <c r="J192" s="1160"/>
    </row>
    <row r="193" spans="1:11" ht="18" customHeight="1" outlineLevel="1" x14ac:dyDescent="0.25">
      <c r="A193" s="266">
        <v>3632</v>
      </c>
      <c r="B193" s="246" t="s">
        <v>222</v>
      </c>
      <c r="C193" s="237">
        <v>130000</v>
      </c>
      <c r="D193" s="237">
        <v>130000</v>
      </c>
      <c r="E193" s="237">
        <v>130000</v>
      </c>
      <c r="F193" s="237">
        <f>'Sumář  výdaje kapitol'!AK56</f>
        <v>90000</v>
      </c>
      <c r="G193" s="1159">
        <f t="shared" si="2"/>
        <v>-40000</v>
      </c>
      <c r="J193" s="1160"/>
    </row>
    <row r="194" spans="1:11" ht="18" customHeight="1" outlineLevel="1" x14ac:dyDescent="0.25">
      <c r="A194" s="266">
        <v>3412</v>
      </c>
      <c r="B194" s="246" t="s">
        <v>223</v>
      </c>
      <c r="C194" s="237">
        <v>1679000</v>
      </c>
      <c r="D194" s="237">
        <v>1679000</v>
      </c>
      <c r="E194" s="237">
        <v>1679000</v>
      </c>
      <c r="F194" s="237">
        <f>'Sumář  výdaje kapitol'!AN56</f>
        <v>2050000</v>
      </c>
      <c r="G194" s="1159">
        <f t="shared" si="2"/>
        <v>371000</v>
      </c>
      <c r="J194" s="1160"/>
    </row>
    <row r="195" spans="1:11" ht="18" customHeight="1" outlineLevel="1" x14ac:dyDescent="0.25">
      <c r="A195" s="266">
        <v>3114</v>
      </c>
      <c r="B195" s="246" t="s">
        <v>225</v>
      </c>
      <c r="C195" s="237">
        <v>616000</v>
      </c>
      <c r="D195" s="237">
        <v>616000</v>
      </c>
      <c r="E195" s="237">
        <v>446000</v>
      </c>
      <c r="F195" s="237">
        <f>'Sumář  výdaje kapitol'!AT56</f>
        <v>486000</v>
      </c>
      <c r="G195" s="1159">
        <f t="shared" si="2"/>
        <v>40000</v>
      </c>
      <c r="J195" s="1160"/>
    </row>
    <row r="196" spans="1:11" ht="18" customHeight="1" outlineLevel="1" x14ac:dyDescent="0.25">
      <c r="A196" s="266">
        <v>3635</v>
      </c>
      <c r="B196" s="246" t="s">
        <v>231</v>
      </c>
      <c r="C196" s="237">
        <v>320000</v>
      </c>
      <c r="D196" s="237">
        <v>320000</v>
      </c>
      <c r="E196" s="237">
        <v>320000</v>
      </c>
      <c r="F196" s="237">
        <f>'Sumář  výdaje kapitol'!BM56</f>
        <v>400000</v>
      </c>
      <c r="G196" s="1159">
        <f t="shared" si="2"/>
        <v>80000</v>
      </c>
      <c r="J196" s="1160"/>
    </row>
    <row r="197" spans="1:11" ht="18" customHeight="1" outlineLevel="1" x14ac:dyDescent="0.25">
      <c r="A197" s="266">
        <v>3631</v>
      </c>
      <c r="B197" s="246" t="s">
        <v>232</v>
      </c>
      <c r="C197" s="237">
        <v>1336000</v>
      </c>
      <c r="D197" s="237">
        <v>1336000</v>
      </c>
      <c r="E197" s="237">
        <v>1348100</v>
      </c>
      <c r="F197" s="237">
        <f>'Sumář  výdaje kapitol'!BN56</f>
        <v>1278100</v>
      </c>
      <c r="G197" s="1159">
        <f t="shared" si="2"/>
        <v>-70000</v>
      </c>
      <c r="J197" s="1160"/>
    </row>
    <row r="198" spans="1:11" ht="18" customHeight="1" outlineLevel="1" x14ac:dyDescent="0.25">
      <c r="A198" s="266">
        <v>2212</v>
      </c>
      <c r="B198" s="246" t="s">
        <v>233</v>
      </c>
      <c r="C198" s="237">
        <v>8300863</v>
      </c>
      <c r="D198" s="237">
        <v>8921476</v>
      </c>
      <c r="E198" s="237">
        <v>8921476</v>
      </c>
      <c r="F198" s="237">
        <f>'Sumář  výdaje kapitol'!BQ56</f>
        <v>4928674</v>
      </c>
      <c r="G198" s="1159">
        <f t="shared" si="2"/>
        <v>-3992802</v>
      </c>
      <c r="J198" s="1160"/>
      <c r="K198" s="1208" t="s">
        <v>457</v>
      </c>
    </row>
    <row r="199" spans="1:11" ht="18" customHeight="1" outlineLevel="1" x14ac:dyDescent="0.25">
      <c r="A199" s="266">
        <v>2221</v>
      </c>
      <c r="B199" s="246" t="s">
        <v>234</v>
      </c>
      <c r="C199" s="237">
        <v>1000000</v>
      </c>
      <c r="D199" s="237">
        <v>1250000</v>
      </c>
      <c r="E199" s="237">
        <v>1250000</v>
      </c>
      <c r="F199" s="237">
        <f>'Sumář  výdaje kapitol'!BT56</f>
        <v>1250000</v>
      </c>
      <c r="G199" s="1159">
        <f t="shared" si="2"/>
        <v>0</v>
      </c>
      <c r="J199" s="1160"/>
    </row>
    <row r="200" spans="1:11" ht="18" customHeight="1" outlineLevel="1" x14ac:dyDescent="0.25">
      <c r="A200" s="266">
        <v>2310</v>
      </c>
      <c r="B200" s="246" t="s">
        <v>235</v>
      </c>
      <c r="C200" s="237">
        <v>1340000</v>
      </c>
      <c r="D200" s="237">
        <v>1340000</v>
      </c>
      <c r="E200" s="237">
        <v>1340000</v>
      </c>
      <c r="F200" s="237">
        <f>'Sumář  výdaje kapitol'!BU56</f>
        <v>560000</v>
      </c>
      <c r="G200" s="1159">
        <f t="shared" ref="G200:G264" si="3">+F200-E200</f>
        <v>-780000</v>
      </c>
      <c r="J200" s="1160"/>
    </row>
    <row r="201" spans="1:11" ht="18" customHeight="1" outlineLevel="1" x14ac:dyDescent="0.25">
      <c r="A201" s="266" t="s">
        <v>264</v>
      </c>
      <c r="B201" s="246" t="s">
        <v>236</v>
      </c>
      <c r="C201" s="237">
        <v>1660000</v>
      </c>
      <c r="D201" s="237">
        <v>1562600</v>
      </c>
      <c r="E201" s="237">
        <v>1562600</v>
      </c>
      <c r="F201" s="237">
        <f>'Sumář  výdaje kapitol'!BX56</f>
        <v>3880000</v>
      </c>
      <c r="G201" s="1159">
        <f t="shared" si="3"/>
        <v>2317400</v>
      </c>
      <c r="J201" s="1160"/>
    </row>
    <row r="202" spans="1:11" ht="18" customHeight="1" outlineLevel="1" x14ac:dyDescent="0.25">
      <c r="A202" s="266" t="s">
        <v>265</v>
      </c>
      <c r="B202" s="246" t="s">
        <v>237</v>
      </c>
      <c r="C202" s="237">
        <v>1750000</v>
      </c>
      <c r="D202" s="237">
        <v>1750000</v>
      </c>
      <c r="E202" s="237">
        <v>1750000</v>
      </c>
      <c r="F202" s="237">
        <f>'Sumář  výdaje kapitol'!BY56</f>
        <v>1004000</v>
      </c>
      <c r="G202" s="1159">
        <f t="shared" si="3"/>
        <v>-746000</v>
      </c>
      <c r="J202" s="1160"/>
    </row>
    <row r="203" spans="1:11" ht="18" customHeight="1" outlineLevel="1" x14ac:dyDescent="0.25">
      <c r="A203" s="266" t="s">
        <v>343</v>
      </c>
      <c r="B203" s="246" t="s">
        <v>238</v>
      </c>
      <c r="C203" s="237">
        <v>2190000</v>
      </c>
      <c r="D203" s="237">
        <v>2090000</v>
      </c>
      <c r="E203" s="237">
        <v>2090000</v>
      </c>
      <c r="F203" s="237">
        <f>'Sumář  výdaje kapitol'!BZ56</f>
        <v>0</v>
      </c>
      <c r="G203" s="1159">
        <f t="shared" si="3"/>
        <v>-2090000</v>
      </c>
      <c r="J203" s="1160"/>
    </row>
    <row r="204" spans="1:11" ht="18" customHeight="1" outlineLevel="1" x14ac:dyDescent="0.25">
      <c r="A204" s="266">
        <v>3633</v>
      </c>
      <c r="B204" s="246" t="s">
        <v>239</v>
      </c>
      <c r="C204" s="237">
        <v>550000</v>
      </c>
      <c r="D204" s="237">
        <v>648000</v>
      </c>
      <c r="E204" s="237">
        <v>648000</v>
      </c>
      <c r="F204" s="237">
        <f>'Sumář  výdaje kapitol'!CA56</f>
        <v>1540000</v>
      </c>
      <c r="G204" s="1159">
        <f t="shared" si="3"/>
        <v>892000</v>
      </c>
      <c r="J204" s="1160"/>
    </row>
    <row r="205" spans="1:11" ht="18" customHeight="1" outlineLevel="1" x14ac:dyDescent="0.25">
      <c r="A205" s="266">
        <v>1036</v>
      </c>
      <c r="B205" s="246" t="s">
        <v>240</v>
      </c>
      <c r="C205" s="237">
        <v>0</v>
      </c>
      <c r="D205" s="237">
        <v>0</v>
      </c>
      <c r="E205" s="237">
        <v>0</v>
      </c>
      <c r="F205" s="237">
        <f>'Sumář  výdaje kapitol'!CD56</f>
        <v>200000</v>
      </c>
      <c r="G205" s="1159">
        <f t="shared" si="3"/>
        <v>200000</v>
      </c>
      <c r="J205" s="1160"/>
    </row>
    <row r="206" spans="1:11" ht="18" customHeight="1" outlineLevel="1" x14ac:dyDescent="0.25">
      <c r="A206" s="266" t="s">
        <v>905</v>
      </c>
      <c r="B206" s="246" t="s">
        <v>241</v>
      </c>
      <c r="C206" s="237">
        <v>4950000</v>
      </c>
      <c r="D206" s="237">
        <v>4950000</v>
      </c>
      <c r="E206" s="237">
        <v>4950000</v>
      </c>
      <c r="F206" s="237">
        <f>'Sumář  výdaje kapitol'!CE56</f>
        <v>4950000</v>
      </c>
      <c r="G206" s="1159">
        <f t="shared" si="3"/>
        <v>0</v>
      </c>
      <c r="J206" s="1160"/>
    </row>
    <row r="207" spans="1:11" ht="18" customHeight="1" outlineLevel="1" x14ac:dyDescent="0.25">
      <c r="A207" s="266" t="s">
        <v>267</v>
      </c>
      <c r="B207" s="246" t="s">
        <v>242</v>
      </c>
      <c r="C207" s="237">
        <v>780000</v>
      </c>
      <c r="D207" s="237">
        <v>780000</v>
      </c>
      <c r="E207" s="237">
        <v>780000</v>
      </c>
      <c r="F207" s="237">
        <f>'Sumář  výdaje kapitol'!CH59</f>
        <v>710000</v>
      </c>
      <c r="G207" s="1159">
        <f t="shared" si="3"/>
        <v>-70000</v>
      </c>
      <c r="J207" s="1160"/>
    </row>
    <row r="208" spans="1:11" ht="18" customHeight="1" outlineLevel="1" x14ac:dyDescent="0.25">
      <c r="A208" s="266">
        <v>3729</v>
      </c>
      <c r="B208" s="246" t="s">
        <v>243</v>
      </c>
      <c r="C208" s="237">
        <v>70000</v>
      </c>
      <c r="D208" s="237">
        <v>70000</v>
      </c>
      <c r="E208" s="237">
        <v>70000</v>
      </c>
      <c r="F208" s="237">
        <f>'Sumář  výdaje kapitol'!CK59</f>
        <v>70000</v>
      </c>
      <c r="G208" s="1159">
        <f t="shared" si="3"/>
        <v>0</v>
      </c>
      <c r="J208" s="1160"/>
    </row>
    <row r="209" spans="1:11" ht="18" customHeight="1" outlineLevel="1" x14ac:dyDescent="0.25">
      <c r="A209" s="266">
        <v>3744</v>
      </c>
      <c r="B209" s="246" t="s">
        <v>244</v>
      </c>
      <c r="C209" s="237">
        <v>76500</v>
      </c>
      <c r="D209" s="237">
        <v>76500</v>
      </c>
      <c r="E209" s="237">
        <v>76500</v>
      </c>
      <c r="F209" s="237">
        <f>'Sumář  výdaje kapitol'!CN59</f>
        <v>66500</v>
      </c>
      <c r="G209" s="1159">
        <f t="shared" si="3"/>
        <v>-10000</v>
      </c>
      <c r="J209" s="1160"/>
    </row>
    <row r="210" spans="1:11" ht="18" customHeight="1" outlineLevel="1" x14ac:dyDescent="0.25">
      <c r="A210" s="266">
        <v>3749</v>
      </c>
      <c r="B210" s="246" t="s">
        <v>245</v>
      </c>
      <c r="C210" s="237">
        <v>545000</v>
      </c>
      <c r="D210" s="237">
        <v>1495000</v>
      </c>
      <c r="E210" s="237">
        <v>1868000</v>
      </c>
      <c r="F210" s="237">
        <f>'Sumář  výdaje kapitol'!CO56</f>
        <v>3700000</v>
      </c>
      <c r="G210" s="1159">
        <f t="shared" si="3"/>
        <v>1832000</v>
      </c>
      <c r="J210" s="1160"/>
    </row>
    <row r="211" spans="1:11" ht="18" customHeight="1" outlineLevel="1" x14ac:dyDescent="0.25">
      <c r="A211" s="266" t="s">
        <v>503</v>
      </c>
      <c r="B211" s="246" t="s">
        <v>504</v>
      </c>
      <c r="C211" s="237">
        <v>501001</v>
      </c>
      <c r="D211" s="237">
        <v>501001</v>
      </c>
      <c r="E211" s="237">
        <v>501001</v>
      </c>
      <c r="F211" s="237">
        <f>'Sumář  výdaje kapitol'!CS59</f>
        <v>772001</v>
      </c>
      <c r="G211" s="1159">
        <f t="shared" si="3"/>
        <v>271000</v>
      </c>
      <c r="J211" s="1160"/>
    </row>
    <row r="212" spans="1:11" ht="18" customHeight="1" outlineLevel="1" x14ac:dyDescent="0.25">
      <c r="A212" s="266" t="s">
        <v>459</v>
      </c>
      <c r="B212" s="246" t="s">
        <v>458</v>
      </c>
      <c r="C212" s="237">
        <v>122338</v>
      </c>
      <c r="D212" s="237">
        <v>11662</v>
      </c>
      <c r="E212" s="237">
        <v>11662</v>
      </c>
      <c r="F212" s="237">
        <f>'Sumář  výdaje kapitol'!CT59</f>
        <v>0</v>
      </c>
      <c r="G212" s="1159">
        <f t="shared" si="3"/>
        <v>-11662</v>
      </c>
      <c r="J212" s="1160"/>
    </row>
    <row r="213" spans="1:11" ht="18" customHeight="1" outlineLevel="1" x14ac:dyDescent="0.25">
      <c r="A213" s="266" t="s">
        <v>1301</v>
      </c>
      <c r="B213" s="246" t="s">
        <v>1300</v>
      </c>
      <c r="D213" s="237">
        <v>185000</v>
      </c>
      <c r="E213" s="237">
        <v>185000</v>
      </c>
      <c r="F213" s="237">
        <f>'Sumář  výdaje kapitol'!CU56</f>
        <v>0</v>
      </c>
      <c r="G213" s="1159">
        <f t="shared" si="3"/>
        <v>-185000</v>
      </c>
      <c r="J213" s="1160"/>
    </row>
    <row r="214" spans="1:11" ht="18" customHeight="1" outlineLevel="1" x14ac:dyDescent="0.25">
      <c r="A214" s="266" t="s">
        <v>268</v>
      </c>
      <c r="B214" s="246" t="s">
        <v>246</v>
      </c>
      <c r="C214" s="237">
        <v>1890000</v>
      </c>
      <c r="D214" s="237">
        <v>1890000</v>
      </c>
      <c r="E214" s="237">
        <v>1890000</v>
      </c>
      <c r="F214" s="237">
        <f>'Sumář  výdaje kapitol'!CV59</f>
        <v>2003600</v>
      </c>
      <c r="G214" s="1159">
        <f t="shared" si="3"/>
        <v>113600</v>
      </c>
      <c r="J214" s="1160"/>
    </row>
    <row r="215" spans="1:11" ht="18" customHeight="1" outlineLevel="1" x14ac:dyDescent="0.25">
      <c r="A215" s="266">
        <v>3329</v>
      </c>
      <c r="B215" s="246" t="s">
        <v>247</v>
      </c>
      <c r="D215" s="237">
        <v>0</v>
      </c>
      <c r="E215" s="237">
        <v>0</v>
      </c>
      <c r="F215" s="237">
        <f>'Sumář  výdaje kapitol'!CW59</f>
        <v>0</v>
      </c>
      <c r="G215" s="1159">
        <f t="shared" si="3"/>
        <v>0</v>
      </c>
      <c r="J215" s="1160"/>
    </row>
    <row r="216" spans="1:11" ht="18" customHeight="1" outlineLevel="1" x14ac:dyDescent="0.25">
      <c r="A216" s="266" t="s">
        <v>270</v>
      </c>
      <c r="B216" s="246" t="s">
        <v>248</v>
      </c>
      <c r="D216" s="237">
        <v>0</v>
      </c>
      <c r="E216" s="237">
        <v>0</v>
      </c>
      <c r="F216" s="237">
        <f>'Sumář  výdaje kapitol'!CX59</f>
        <v>0</v>
      </c>
      <c r="G216" s="1159">
        <f t="shared" si="3"/>
        <v>0</v>
      </c>
      <c r="J216" s="1160"/>
    </row>
    <row r="217" spans="1:11" outlineLevel="1" x14ac:dyDescent="0.25">
      <c r="A217" s="266">
        <v>3745</v>
      </c>
      <c r="B217" s="246" t="s">
        <v>249</v>
      </c>
      <c r="D217" s="237">
        <v>0</v>
      </c>
      <c r="E217" s="237">
        <v>0</v>
      </c>
      <c r="F217" s="237">
        <f>'Sumář  výdaje kapitol'!CY59</f>
        <v>0</v>
      </c>
      <c r="G217" s="1159">
        <f t="shared" si="3"/>
        <v>0</v>
      </c>
    </row>
    <row r="218" spans="1:11" ht="18" customHeight="1" outlineLevel="1" x14ac:dyDescent="0.25">
      <c r="A218" s="266">
        <v>6310</v>
      </c>
      <c r="B218" s="246" t="s">
        <v>11</v>
      </c>
      <c r="C218" s="237">
        <v>1515000</v>
      </c>
      <c r="D218" s="237">
        <v>1845000</v>
      </c>
      <c r="E218" s="237">
        <v>1845000</v>
      </c>
      <c r="F218" s="237">
        <f>'Sumář  výdaje kapitol'!J57+'Sumář  výdaje kapitol'!J29</f>
        <v>1816409.0776</v>
      </c>
      <c r="G218" s="1159">
        <f t="shared" si="3"/>
        <v>-28590.922400000039</v>
      </c>
      <c r="J218" s="1160"/>
    </row>
    <row r="219" spans="1:11" ht="18" customHeight="1" outlineLevel="1" x14ac:dyDescent="0.25">
      <c r="A219" s="266">
        <v>6310</v>
      </c>
      <c r="B219" s="246" t="s">
        <v>1344</v>
      </c>
      <c r="E219" s="237">
        <v>1554732</v>
      </c>
      <c r="F219" s="237">
        <f>'Souhrn příjmů a výdajů 2018'!H210</f>
        <v>479732</v>
      </c>
      <c r="G219" s="1272">
        <f t="shared" si="3"/>
        <v>-1075000</v>
      </c>
      <c r="J219" s="1160"/>
    </row>
    <row r="220" spans="1:11" s="33" customFormat="1" ht="18" customHeight="1" x14ac:dyDescent="0.25">
      <c r="A220" s="1092"/>
      <c r="B220" s="1092" t="s">
        <v>1305</v>
      </c>
      <c r="C220" s="32">
        <f>SUM(C177:C218)</f>
        <v>51408933</v>
      </c>
      <c r="D220" s="32">
        <v>53960770</v>
      </c>
      <c r="E220" s="32">
        <f>SUM(E177:E219)</f>
        <v>55705602</v>
      </c>
      <c r="F220" s="32">
        <f>SUM(F177:F219)</f>
        <v>55241378.077600002</v>
      </c>
      <c r="G220" s="1159">
        <f t="shared" si="3"/>
        <v>-464223.92239999771</v>
      </c>
      <c r="H220" s="1276"/>
      <c r="I220" s="1273"/>
      <c r="J220" s="1164"/>
      <c r="K220" s="1209"/>
    </row>
    <row r="221" spans="1:11" s="33" customFormat="1" ht="16.5" thickBot="1" x14ac:dyDescent="0.3">
      <c r="A221" s="247" t="s">
        <v>375</v>
      </c>
      <c r="B221" s="247"/>
      <c r="C221" s="245">
        <f>+C220+C176</f>
        <v>72178233</v>
      </c>
      <c r="D221" s="245">
        <v>75030070</v>
      </c>
      <c r="E221" s="245">
        <f>+E220+E176</f>
        <v>76774902</v>
      </c>
      <c r="F221" s="245">
        <f>+F220+F176</f>
        <v>82893816.077600002</v>
      </c>
      <c r="G221" s="1159">
        <f t="shared" si="3"/>
        <v>6118914.0776000023</v>
      </c>
      <c r="H221" s="1276"/>
      <c r="I221" s="1273"/>
      <c r="J221" s="1160"/>
      <c r="K221" s="1209"/>
    </row>
    <row r="222" spans="1:11" s="33" customFormat="1" x14ac:dyDescent="0.25">
      <c r="A222" s="69"/>
      <c r="D222" s="32"/>
      <c r="E222" s="32"/>
      <c r="F222" s="32"/>
      <c r="G222" s="1159">
        <f t="shared" si="3"/>
        <v>0</v>
      </c>
      <c r="H222" s="1276"/>
      <c r="I222" s="1273"/>
      <c r="J222" s="1160"/>
      <c r="K222" s="1209"/>
    </row>
    <row r="223" spans="1:11" s="33" customFormat="1" ht="16.5" thickBot="1" x14ac:dyDescent="0.3">
      <c r="A223" s="247" t="s">
        <v>373</v>
      </c>
      <c r="B223" s="247" t="s">
        <v>374</v>
      </c>
      <c r="C223" s="245">
        <f>+C221+C166</f>
        <v>101928137.2</v>
      </c>
      <c r="D223" s="245">
        <v>104777934.2</v>
      </c>
      <c r="E223" s="245">
        <v>106597676.10800001</v>
      </c>
      <c r="F223" s="245">
        <f>+F221+F166</f>
        <v>117229174.77760001</v>
      </c>
      <c r="G223" s="1159">
        <f>+F223-E223</f>
        <v>10631498.669599995</v>
      </c>
      <c r="H223" s="1276"/>
      <c r="I223" s="1273"/>
      <c r="J223" s="1160"/>
      <c r="K223" s="1209"/>
    </row>
    <row r="224" spans="1:11" s="33" customFormat="1" outlineLevel="1" x14ac:dyDescent="0.25">
      <c r="A224" s="1095"/>
      <c r="B224" s="69"/>
      <c r="C224" s="75"/>
      <c r="D224" s="1165">
        <v>0</v>
      </c>
      <c r="E224" s="1165">
        <v>0</v>
      </c>
      <c r="F224" s="1165">
        <f>F223-'Sumář  výdaje kapitol'!I59</f>
        <v>0</v>
      </c>
      <c r="G224" s="1159">
        <f t="shared" si="3"/>
        <v>0</v>
      </c>
      <c r="H224" s="1276"/>
      <c r="I224" s="1273"/>
      <c r="J224" s="1160"/>
      <c r="K224" s="1209"/>
    </row>
    <row r="225" spans="1:11" s="33" customFormat="1" outlineLevel="1" x14ac:dyDescent="0.25">
      <c r="A225" s="1172">
        <v>3113</v>
      </c>
      <c r="B225" s="246" t="s">
        <v>1242</v>
      </c>
      <c r="C225" s="237">
        <v>830000</v>
      </c>
      <c r="D225" s="237">
        <v>4704942</v>
      </c>
      <c r="E225" s="237">
        <v>4704942</v>
      </c>
      <c r="F225" s="237">
        <f>+'Sumář  výdaje kapitol'!AQ73</f>
        <v>8910629</v>
      </c>
      <c r="G225" s="1159">
        <f t="shared" si="3"/>
        <v>4205687</v>
      </c>
      <c r="H225" s="1276"/>
      <c r="I225" s="1273"/>
      <c r="J225" s="1160"/>
      <c r="K225" s="1209" t="s">
        <v>1323</v>
      </c>
    </row>
    <row r="226" spans="1:11" s="33" customFormat="1" outlineLevel="1" x14ac:dyDescent="0.25">
      <c r="A226" s="1172" t="s">
        <v>259</v>
      </c>
      <c r="B226" s="246" t="s">
        <v>1246</v>
      </c>
      <c r="C226" s="237">
        <v>200000</v>
      </c>
      <c r="D226" s="237">
        <v>11577934</v>
      </c>
      <c r="E226" s="237">
        <v>11577934</v>
      </c>
      <c r="F226" s="237">
        <f>'Sumář  výdaje kapitol'!BC73</f>
        <v>2287000</v>
      </c>
      <c r="G226" s="1159">
        <f t="shared" si="3"/>
        <v>-9290934</v>
      </c>
      <c r="H226" s="1276"/>
      <c r="I226" s="1273"/>
      <c r="J226" s="1160"/>
      <c r="K226" s="1209" t="s">
        <v>1323</v>
      </c>
    </row>
    <row r="227" spans="1:11" s="33" customFormat="1" outlineLevel="1" x14ac:dyDescent="0.25">
      <c r="A227" s="1172" t="s">
        <v>260</v>
      </c>
      <c r="B227" s="246" t="s">
        <v>1244</v>
      </c>
      <c r="C227" s="237">
        <v>638400</v>
      </c>
      <c r="D227" s="237">
        <v>80000</v>
      </c>
      <c r="E227" s="237">
        <v>80000</v>
      </c>
      <c r="F227" s="237">
        <f>'Sumář  výdaje kapitol'!BF73</f>
        <v>280000</v>
      </c>
      <c r="G227" s="1159">
        <f t="shared" si="3"/>
        <v>200000</v>
      </c>
      <c r="H227" s="1276"/>
      <c r="I227" s="1273"/>
      <c r="J227" s="1160"/>
      <c r="K227" s="1209" t="s">
        <v>1323</v>
      </c>
    </row>
    <row r="228" spans="1:11" s="33" customFormat="1" outlineLevel="1" x14ac:dyDescent="0.25">
      <c r="A228" s="1172" t="s">
        <v>801</v>
      </c>
      <c r="B228" s="246" t="s">
        <v>1245</v>
      </c>
      <c r="C228" s="237">
        <v>1130000</v>
      </c>
      <c r="D228" s="237">
        <v>530000</v>
      </c>
      <c r="E228" s="237">
        <v>530000</v>
      </c>
      <c r="F228" s="237">
        <f>'Sumář  výdaje kapitol'!BJ73</f>
        <v>530000</v>
      </c>
      <c r="G228" s="1159">
        <f t="shared" si="3"/>
        <v>0</v>
      </c>
      <c r="H228" s="1276"/>
      <c r="I228" s="1273"/>
      <c r="J228" s="1160"/>
      <c r="K228" s="1209" t="s">
        <v>1323</v>
      </c>
    </row>
    <row r="229" spans="1:11" s="33" customFormat="1" outlineLevel="1" x14ac:dyDescent="0.25">
      <c r="A229" s="1095"/>
      <c r="B229" s="246" t="s">
        <v>1248</v>
      </c>
      <c r="C229" s="237">
        <v>3700000</v>
      </c>
      <c r="D229" s="237">
        <v>4057816</v>
      </c>
      <c r="E229" s="237">
        <v>4257850</v>
      </c>
      <c r="F229" s="237">
        <f>'Sumář  výdaje kapitol'!Q73</f>
        <v>3640000</v>
      </c>
      <c r="G229" s="1159">
        <f t="shared" si="3"/>
        <v>-617850</v>
      </c>
      <c r="H229" s="1276"/>
      <c r="I229" s="1273"/>
      <c r="J229" s="1160"/>
      <c r="K229" s="1209" t="s">
        <v>1323</v>
      </c>
    </row>
    <row r="230" spans="1:11" ht="18.75" customHeight="1" x14ac:dyDescent="0.25">
      <c r="B230" s="1096" t="s">
        <v>1236</v>
      </c>
      <c r="C230" s="1097">
        <f>SUM(C225:C229)</f>
        <v>6498400</v>
      </c>
      <c r="D230" s="1097">
        <v>20950692</v>
      </c>
      <c r="E230" s="1097">
        <v>21150726</v>
      </c>
      <c r="F230" s="1097">
        <f>SUM(F225:F229)</f>
        <v>15647629</v>
      </c>
      <c r="G230" s="1159">
        <f t="shared" si="3"/>
        <v>-5503097</v>
      </c>
      <c r="J230" s="1160"/>
    </row>
    <row r="231" spans="1:11" ht="18.75" customHeight="1" outlineLevel="1" x14ac:dyDescent="0.25">
      <c r="A231" s="236">
        <v>6171</v>
      </c>
      <c r="B231" s="246" t="s">
        <v>1241</v>
      </c>
      <c r="C231" s="237">
        <v>1400000</v>
      </c>
      <c r="D231" s="237">
        <v>1400000</v>
      </c>
      <c r="E231" s="237">
        <v>1400000</v>
      </c>
      <c r="F231" s="237">
        <f>'Sumář  výdaje kapitol'!N73</f>
        <v>11248745</v>
      </c>
      <c r="G231" s="1159">
        <f t="shared" si="3"/>
        <v>9848745</v>
      </c>
      <c r="J231" s="1160"/>
    </row>
    <row r="232" spans="1:11" ht="18.75" customHeight="1" outlineLevel="1" x14ac:dyDescent="0.25">
      <c r="A232" s="236">
        <v>6409</v>
      </c>
      <c r="B232" s="246" t="s">
        <v>1250</v>
      </c>
      <c r="C232" s="237">
        <v>1562700</v>
      </c>
      <c r="D232" s="237">
        <v>1562700</v>
      </c>
      <c r="E232" s="237">
        <v>1562700</v>
      </c>
      <c r="F232" s="237">
        <f>'Sumář  výdaje kapitol'!L72+'Sumář  výdaje kapitol'!L68</f>
        <v>1265000</v>
      </c>
      <c r="G232" s="1159">
        <f t="shared" si="3"/>
        <v>-297700</v>
      </c>
      <c r="J232" s="1160"/>
    </row>
    <row r="233" spans="1:11" ht="18.75" customHeight="1" outlineLevel="1" x14ac:dyDescent="0.25">
      <c r="A233" s="236">
        <v>3612</v>
      </c>
      <c r="B233" s="246" t="s">
        <v>216</v>
      </c>
      <c r="C233" s="237">
        <v>0</v>
      </c>
      <c r="D233" s="237">
        <v>0</v>
      </c>
      <c r="E233" s="237">
        <v>0</v>
      </c>
      <c r="F233" s="237">
        <f>'Sumář  výdaje kapitol'!Y73</f>
        <v>950000</v>
      </c>
      <c r="G233" s="1159">
        <f t="shared" si="3"/>
        <v>950000</v>
      </c>
      <c r="J233" s="1160"/>
    </row>
    <row r="234" spans="1:11" ht="18.75" customHeight="1" outlineLevel="1" x14ac:dyDescent="0.25">
      <c r="A234" s="236">
        <v>3613</v>
      </c>
      <c r="B234" s="246" t="s">
        <v>218</v>
      </c>
      <c r="C234" s="237">
        <v>5540000</v>
      </c>
      <c r="D234" s="237">
        <v>14099150</v>
      </c>
      <c r="E234" s="237">
        <v>13883770</v>
      </c>
      <c r="F234" s="237">
        <f>'Sumář  výdaje kapitol'!AE73</f>
        <v>8544900</v>
      </c>
      <c r="G234" s="1159">
        <f t="shared" si="3"/>
        <v>-5338870</v>
      </c>
      <c r="J234" s="1160"/>
    </row>
    <row r="235" spans="1:11" ht="18.75" customHeight="1" outlineLevel="1" x14ac:dyDescent="0.25">
      <c r="A235" s="236" t="s">
        <v>308</v>
      </c>
      <c r="B235" s="246" t="s">
        <v>418</v>
      </c>
      <c r="C235" s="237">
        <v>450000</v>
      </c>
      <c r="D235" s="237">
        <v>450000</v>
      </c>
      <c r="E235" s="237">
        <v>800000</v>
      </c>
      <c r="F235" s="237">
        <f>'Sumář  výdaje kapitol'!T73</f>
        <v>907800</v>
      </c>
      <c r="G235" s="1159">
        <f t="shared" si="3"/>
        <v>107800</v>
      </c>
      <c r="J235" s="1160"/>
    </row>
    <row r="236" spans="1:11" ht="18.75" customHeight="1" outlineLevel="1" x14ac:dyDescent="0.25">
      <c r="A236" s="236">
        <v>5512</v>
      </c>
      <c r="B236" s="246" t="s">
        <v>219</v>
      </c>
      <c r="D236" s="237">
        <v>80000</v>
      </c>
      <c r="E236" s="237">
        <v>80000</v>
      </c>
      <c r="F236" s="237">
        <f>'Sumář  výdaje kapitol'!AH73</f>
        <v>80000</v>
      </c>
      <c r="G236" s="1159">
        <f t="shared" si="3"/>
        <v>0</v>
      </c>
      <c r="J236" s="1160"/>
    </row>
    <row r="237" spans="1:11" ht="18.75" hidden="1" customHeight="1" outlineLevel="1" x14ac:dyDescent="0.25">
      <c r="A237" s="236"/>
      <c r="B237" s="246" t="s">
        <v>1101</v>
      </c>
      <c r="G237" s="1159">
        <f t="shared" si="3"/>
        <v>0</v>
      </c>
      <c r="J237" s="1160"/>
    </row>
    <row r="238" spans="1:11" ht="18.75" customHeight="1" outlineLevel="1" x14ac:dyDescent="0.25">
      <c r="A238" s="236">
        <v>3314</v>
      </c>
      <c r="B238" s="246" t="s">
        <v>294</v>
      </c>
      <c r="C238" s="237">
        <v>1000000</v>
      </c>
      <c r="D238" s="237">
        <v>150000</v>
      </c>
      <c r="E238" s="237">
        <v>150000</v>
      </c>
      <c r="F238" s="237">
        <f>'Sumář  výdaje kapitol'!V73</f>
        <v>0</v>
      </c>
      <c r="G238" s="1159">
        <f t="shared" si="3"/>
        <v>-150000</v>
      </c>
      <c r="J238" s="1160"/>
    </row>
    <row r="239" spans="1:11" ht="18.75" customHeight="1" outlineLevel="1" x14ac:dyDescent="0.25">
      <c r="A239" s="236" t="s">
        <v>254</v>
      </c>
      <c r="B239" s="246" t="s">
        <v>217</v>
      </c>
      <c r="C239" s="237">
        <v>1000000</v>
      </c>
      <c r="D239" s="237">
        <v>1000000</v>
      </c>
      <c r="E239" s="237">
        <v>987000</v>
      </c>
      <c r="F239" s="237">
        <f>'Sumář  výdaje kapitol'!AB73</f>
        <v>0</v>
      </c>
      <c r="G239" s="1159">
        <f t="shared" si="3"/>
        <v>-987000</v>
      </c>
      <c r="J239" s="1160"/>
    </row>
    <row r="240" spans="1:11" ht="18.75" customHeight="1" outlineLevel="1" x14ac:dyDescent="0.25">
      <c r="A240" s="236">
        <v>3114</v>
      </c>
      <c r="B240" s="246" t="s">
        <v>225</v>
      </c>
      <c r="C240" s="237">
        <v>30000</v>
      </c>
      <c r="D240" s="237">
        <v>798117</v>
      </c>
      <c r="E240" s="237">
        <v>968117</v>
      </c>
      <c r="F240" s="237">
        <f>'Sumář  výdaje kapitol'!AT73</f>
        <v>70000</v>
      </c>
      <c r="G240" s="1159">
        <f t="shared" si="3"/>
        <v>-898117</v>
      </c>
      <c r="J240" s="1160"/>
    </row>
    <row r="241" spans="1:11" ht="18.75" hidden="1" customHeight="1" outlineLevel="1" x14ac:dyDescent="0.25">
      <c r="A241" s="236"/>
      <c r="B241" s="246" t="s">
        <v>1249</v>
      </c>
      <c r="G241" s="1159">
        <f t="shared" si="3"/>
        <v>0</v>
      </c>
      <c r="J241" s="1160"/>
    </row>
    <row r="242" spans="1:11" ht="18.75" hidden="1" customHeight="1" outlineLevel="1" x14ac:dyDescent="0.25">
      <c r="A242" s="236"/>
      <c r="B242" s="246" t="s">
        <v>221</v>
      </c>
      <c r="G242" s="1159">
        <f t="shared" si="3"/>
        <v>0</v>
      </c>
      <c r="J242" s="1160"/>
    </row>
    <row r="243" spans="1:11" ht="18.75" customHeight="1" outlineLevel="1" x14ac:dyDescent="0.25">
      <c r="A243" s="236">
        <v>3632</v>
      </c>
      <c r="B243" s="246" t="s">
        <v>222</v>
      </c>
      <c r="C243" s="237">
        <v>270000</v>
      </c>
      <c r="D243" s="237">
        <v>270000</v>
      </c>
      <c r="E243" s="237">
        <v>270000</v>
      </c>
      <c r="F243" s="237">
        <f>'Sumář  výdaje kapitol'!AK73</f>
        <v>350000</v>
      </c>
      <c r="G243" s="1159">
        <f t="shared" si="3"/>
        <v>80000</v>
      </c>
      <c r="J243" s="1160"/>
    </row>
    <row r="244" spans="1:11" ht="18.75" customHeight="1" outlineLevel="1" x14ac:dyDescent="0.25">
      <c r="A244" s="236">
        <v>3412</v>
      </c>
      <c r="B244" s="246" t="s">
        <v>223</v>
      </c>
      <c r="C244" s="237">
        <v>500000</v>
      </c>
      <c r="D244" s="237">
        <v>19500000</v>
      </c>
      <c r="E244" s="237">
        <v>19500000</v>
      </c>
      <c r="F244" s="237">
        <f>'Sumář  výdaje kapitol'!AN73</f>
        <v>14900000</v>
      </c>
      <c r="G244" s="1159">
        <f t="shared" si="3"/>
        <v>-4600000</v>
      </c>
      <c r="J244" s="1160"/>
    </row>
    <row r="245" spans="1:11" ht="18.75" customHeight="1" outlineLevel="1" x14ac:dyDescent="0.25">
      <c r="A245" s="236">
        <v>3635</v>
      </c>
      <c r="B245" s="246" t="s">
        <v>231</v>
      </c>
      <c r="C245" s="237">
        <v>670000</v>
      </c>
      <c r="D245" s="237">
        <v>670000</v>
      </c>
      <c r="E245" s="237">
        <v>810700</v>
      </c>
      <c r="F245" s="237">
        <f>'Sumář  výdaje kapitol'!BM73</f>
        <v>254100</v>
      </c>
      <c r="G245" s="1159">
        <f t="shared" si="3"/>
        <v>-556600</v>
      </c>
      <c r="J245" s="1160"/>
    </row>
    <row r="246" spans="1:11" ht="18.75" customHeight="1" outlineLevel="1" x14ac:dyDescent="0.25">
      <c r="A246" s="236">
        <v>3631</v>
      </c>
      <c r="B246" s="246" t="s">
        <v>232</v>
      </c>
      <c r="C246" s="237">
        <v>511000</v>
      </c>
      <c r="D246" s="237">
        <v>4403500</v>
      </c>
      <c r="E246" s="237">
        <v>4403500</v>
      </c>
      <c r="F246" s="237">
        <f>'Sumář  výdaje kapitol'!BN73</f>
        <v>2792000</v>
      </c>
      <c r="G246" s="1159">
        <f t="shared" si="3"/>
        <v>-1611500</v>
      </c>
      <c r="J246" s="1160"/>
      <c r="K246" s="1208" t="s">
        <v>1323</v>
      </c>
    </row>
    <row r="247" spans="1:11" ht="18.75" customHeight="1" outlineLevel="1" x14ac:dyDescent="0.25">
      <c r="A247" s="236">
        <v>2212</v>
      </c>
      <c r="B247" s="246" t="s">
        <v>233</v>
      </c>
      <c r="C247" s="237">
        <v>14814782</v>
      </c>
      <c r="D247" s="237">
        <v>50789735</v>
      </c>
      <c r="E247" s="237">
        <v>50789735</v>
      </c>
      <c r="F247" s="237">
        <f>'Sumář  výdaje kapitol'!BQ73</f>
        <v>47631322.960000001</v>
      </c>
      <c r="G247" s="1159">
        <f t="shared" si="3"/>
        <v>-3158412.0399999991</v>
      </c>
      <c r="J247" s="1160"/>
      <c r="K247" s="1208" t="s">
        <v>1323</v>
      </c>
    </row>
    <row r="248" spans="1:11" ht="18.75" hidden="1" customHeight="1" outlineLevel="1" x14ac:dyDescent="0.25">
      <c r="A248" s="236">
        <v>2310</v>
      </c>
      <c r="B248" s="246" t="s">
        <v>236</v>
      </c>
      <c r="G248" s="1159">
        <f t="shared" si="3"/>
        <v>0</v>
      </c>
      <c r="J248" s="1160"/>
    </row>
    <row r="249" spans="1:11" ht="18.75" customHeight="1" outlineLevel="1" x14ac:dyDescent="0.25">
      <c r="A249" s="236">
        <v>2310</v>
      </c>
      <c r="B249" s="246" t="s">
        <v>235</v>
      </c>
      <c r="C249" s="237">
        <v>0</v>
      </c>
      <c r="D249" s="237">
        <v>0</v>
      </c>
      <c r="E249" s="237">
        <v>0</v>
      </c>
      <c r="F249" s="237">
        <f>'Sumář  výdaje kapitol'!BU73</f>
        <v>0</v>
      </c>
      <c r="G249" s="1159">
        <f t="shared" si="3"/>
        <v>0</v>
      </c>
      <c r="J249" s="1160"/>
    </row>
    <row r="250" spans="1:11" ht="18.75" customHeight="1" outlineLevel="1" x14ac:dyDescent="0.25">
      <c r="A250" s="236" t="s">
        <v>265</v>
      </c>
      <c r="B250" s="246" t="s">
        <v>237</v>
      </c>
      <c r="C250" s="237">
        <v>2084580</v>
      </c>
      <c r="D250" s="237">
        <v>27242170</v>
      </c>
      <c r="E250" s="237">
        <v>27536827</v>
      </c>
      <c r="F250" s="237">
        <f>'Sumář  výdaje kapitol'!BY73</f>
        <v>9510000</v>
      </c>
      <c r="G250" s="1159">
        <f t="shared" si="3"/>
        <v>-18026827</v>
      </c>
      <c r="J250" s="1160"/>
      <c r="K250" s="1208" t="s">
        <v>1323</v>
      </c>
    </row>
    <row r="251" spans="1:11" ht="18.75" hidden="1" customHeight="1" outlineLevel="1" x14ac:dyDescent="0.25">
      <c r="A251" s="236"/>
      <c r="B251" s="246" t="s">
        <v>238</v>
      </c>
      <c r="G251" s="1159">
        <f t="shared" si="3"/>
        <v>0</v>
      </c>
      <c r="J251" s="1160"/>
    </row>
    <row r="252" spans="1:11" ht="18.75" customHeight="1" outlineLevel="1" x14ac:dyDescent="0.25">
      <c r="A252" s="236">
        <v>3633</v>
      </c>
      <c r="B252" s="246" t="s">
        <v>239</v>
      </c>
      <c r="C252" s="237">
        <v>500000</v>
      </c>
      <c r="D252" s="237">
        <v>500000</v>
      </c>
      <c r="E252" s="237">
        <v>500000</v>
      </c>
      <c r="F252" s="237">
        <f>'Sumář  výdaje kapitol'!CA73</f>
        <v>1000000</v>
      </c>
      <c r="G252" s="1159">
        <f t="shared" si="3"/>
        <v>500000</v>
      </c>
      <c r="J252" s="1160"/>
    </row>
    <row r="253" spans="1:11" ht="18.75" customHeight="1" outlineLevel="1" x14ac:dyDescent="0.25">
      <c r="A253" s="236" t="s">
        <v>267</v>
      </c>
      <c r="B253" s="246" t="s">
        <v>242</v>
      </c>
      <c r="D253" s="237">
        <v>10000</v>
      </c>
      <c r="E253" s="237">
        <v>10000</v>
      </c>
      <c r="F253" s="237">
        <f>'Sumář  výdaje kapitol'!CH73</f>
        <v>215700</v>
      </c>
      <c r="G253" s="1159">
        <f t="shared" si="3"/>
        <v>205700</v>
      </c>
      <c r="J253" s="1160"/>
    </row>
    <row r="254" spans="1:11" ht="18.75" customHeight="1" outlineLevel="1" x14ac:dyDescent="0.25">
      <c r="A254" s="236">
        <v>3744</v>
      </c>
      <c r="B254" s="246" t="s">
        <v>244</v>
      </c>
      <c r="C254" s="237">
        <v>30000</v>
      </c>
      <c r="D254" s="237">
        <v>30000</v>
      </c>
      <c r="E254" s="237">
        <v>30000</v>
      </c>
      <c r="F254" s="237">
        <f>'Sumář  výdaje kapitol'!CN73</f>
        <v>0</v>
      </c>
      <c r="G254" s="1159">
        <f t="shared" si="3"/>
        <v>-30000</v>
      </c>
      <c r="J254" s="1160"/>
    </row>
    <row r="255" spans="1:11" ht="18.75" customHeight="1" outlineLevel="1" x14ac:dyDescent="0.25">
      <c r="A255" s="236">
        <v>3749</v>
      </c>
      <c r="B255" s="246" t="s">
        <v>245</v>
      </c>
      <c r="C255" s="237">
        <v>436000</v>
      </c>
      <c r="D255" s="237">
        <v>436000</v>
      </c>
      <c r="E255" s="237">
        <v>436000</v>
      </c>
      <c r="F255" s="237">
        <f>'Sumář  výdaje kapitol'!CO73</f>
        <v>222000</v>
      </c>
      <c r="G255" s="1159">
        <f t="shared" si="3"/>
        <v>-214000</v>
      </c>
      <c r="J255" s="1160"/>
    </row>
    <row r="256" spans="1:11" ht="18.75" hidden="1" customHeight="1" outlineLevel="1" x14ac:dyDescent="0.25">
      <c r="A256" s="236"/>
      <c r="B256" s="246" t="s">
        <v>504</v>
      </c>
      <c r="G256" s="1159">
        <f t="shared" si="3"/>
        <v>0</v>
      </c>
      <c r="J256" s="1160"/>
    </row>
    <row r="257" spans="1:12" ht="18.75" customHeight="1" outlineLevel="1" x14ac:dyDescent="0.25">
      <c r="A257" s="236" t="s">
        <v>459</v>
      </c>
      <c r="B257" s="246" t="s">
        <v>458</v>
      </c>
      <c r="C257" s="237">
        <v>110000</v>
      </c>
      <c r="D257" s="237">
        <v>235000</v>
      </c>
      <c r="E257" s="237">
        <v>235000</v>
      </c>
      <c r="F257" s="237">
        <f>'Sumář  výdaje kapitol'!CT73</f>
        <v>2058000</v>
      </c>
      <c r="G257" s="1159">
        <f t="shared" si="3"/>
        <v>1823000</v>
      </c>
      <c r="J257" s="1160"/>
    </row>
    <row r="258" spans="1:12" ht="18.75" customHeight="1" outlineLevel="1" x14ac:dyDescent="0.25">
      <c r="A258" s="236">
        <v>3329</v>
      </c>
      <c r="B258" s="246" t="s">
        <v>247</v>
      </c>
      <c r="C258" s="237">
        <v>60000</v>
      </c>
      <c r="D258" s="237">
        <v>60000</v>
      </c>
      <c r="E258" s="237">
        <v>60000</v>
      </c>
      <c r="F258" s="237">
        <f>'Sumář  výdaje kapitol'!CW73</f>
        <v>90000</v>
      </c>
      <c r="G258" s="1159">
        <f t="shared" si="3"/>
        <v>30000</v>
      </c>
      <c r="J258" s="1160"/>
    </row>
    <row r="259" spans="1:12" ht="18.75" customHeight="1" outlineLevel="1" x14ac:dyDescent="0.25">
      <c r="A259" s="236" t="s">
        <v>270</v>
      </c>
      <c r="B259" s="246" t="s">
        <v>248</v>
      </c>
      <c r="C259" s="237">
        <v>670000</v>
      </c>
      <c r="D259" s="237">
        <v>720000</v>
      </c>
      <c r="E259" s="237">
        <v>720000</v>
      </c>
      <c r="F259" s="237">
        <f>'Sumář  výdaje kapitol'!CX73</f>
        <v>242000</v>
      </c>
      <c r="G259" s="1159">
        <f t="shared" si="3"/>
        <v>-478000</v>
      </c>
      <c r="J259" s="1160"/>
    </row>
    <row r="260" spans="1:12" ht="18.75" customHeight="1" x14ac:dyDescent="0.25">
      <c r="B260" s="1092" t="s">
        <v>1254</v>
      </c>
      <c r="C260" s="32">
        <f>SUM(C231:C259)</f>
        <v>31639062</v>
      </c>
      <c r="D260" s="32">
        <v>124406372</v>
      </c>
      <c r="E260" s="32">
        <v>125133349</v>
      </c>
      <c r="F260" s="32">
        <f>SUM(F231:F259)</f>
        <v>102331567.96000001</v>
      </c>
      <c r="G260" s="1159">
        <f t="shared" si="3"/>
        <v>-22801781.039999992</v>
      </c>
      <c r="J260" s="1160"/>
    </row>
    <row r="261" spans="1:12" s="33" customFormat="1" ht="16.5" thickBot="1" x14ac:dyDescent="0.3">
      <c r="A261" s="247" t="s">
        <v>376</v>
      </c>
      <c r="B261" s="247" t="s">
        <v>377</v>
      </c>
      <c r="C261" s="245">
        <f>+C260+C230</f>
        <v>38137462</v>
      </c>
      <c r="D261" s="245">
        <v>145357064</v>
      </c>
      <c r="E261" s="245">
        <v>146284075</v>
      </c>
      <c r="F261" s="245">
        <f>+F260+F230</f>
        <v>117979196.96000001</v>
      </c>
      <c r="G261" s="1159">
        <f t="shared" si="3"/>
        <v>-28304878.039999992</v>
      </c>
      <c r="H261" s="1276"/>
      <c r="I261" s="1273"/>
      <c r="J261" s="1160"/>
      <c r="K261" s="1209"/>
    </row>
    <row r="262" spans="1:12" s="249" customFormat="1" x14ac:dyDescent="0.25">
      <c r="A262" s="1171"/>
      <c r="B262" s="249" t="s">
        <v>379</v>
      </c>
      <c r="C262" s="238"/>
      <c r="D262" s="238"/>
      <c r="E262" s="238"/>
      <c r="F262" s="238">
        <f>F261-'Souhrn příjmů a výdajů 2018'!H211</f>
        <v>2562238.9600000083</v>
      </c>
      <c r="G262" s="1159">
        <f>+F262-E262</f>
        <v>2562238.9600000083</v>
      </c>
      <c r="H262" s="1276"/>
      <c r="I262" s="1273"/>
      <c r="J262" s="1160"/>
      <c r="K262" s="1208"/>
    </row>
    <row r="263" spans="1:12" ht="20.25" customHeight="1" outlineLevel="1" x14ac:dyDescent="0.25">
      <c r="B263" s="246" t="s">
        <v>180</v>
      </c>
      <c r="D263" s="237">
        <v>0</v>
      </c>
      <c r="E263" s="237">
        <v>0</v>
      </c>
      <c r="F263" s="237">
        <f>'Sumář  výdaje kapitol'!L70</f>
        <v>0</v>
      </c>
      <c r="G263" s="1159">
        <f t="shared" si="3"/>
        <v>0</v>
      </c>
      <c r="J263" s="1160"/>
    </row>
    <row r="264" spans="1:12" ht="20.25" customHeight="1" outlineLevel="1" x14ac:dyDescent="0.25">
      <c r="B264" s="246" t="s">
        <v>181</v>
      </c>
      <c r="C264" s="237">
        <f>'Sumář  výdaje kapitol'!D71</f>
        <v>3018857.8000000101</v>
      </c>
      <c r="D264" s="237">
        <v>108680.80000001192</v>
      </c>
      <c r="E264" s="237">
        <v>1236459.89199999</v>
      </c>
      <c r="F264" s="237">
        <f>'Sumář  výdaje kapitol'!I71</f>
        <v>185374.26239997149</v>
      </c>
      <c r="G264" s="1159">
        <f t="shared" si="3"/>
        <v>-1051085.6296000185</v>
      </c>
      <c r="J264" s="1160"/>
    </row>
    <row r="265" spans="1:12" ht="20.25" customHeight="1" outlineLevel="1" x14ac:dyDescent="0.25">
      <c r="B265" s="246" t="s">
        <v>186</v>
      </c>
      <c r="C265" s="237">
        <f>'Sumář  výdaje kapitol'!D75</f>
        <v>11409092</v>
      </c>
      <c r="D265" s="237">
        <v>12963824</v>
      </c>
      <c r="E265" s="237">
        <f>+'Sumář  výdaje kapitol'!F75</f>
        <v>11409092</v>
      </c>
      <c r="F265" s="237">
        <f>'Sumář  výdaje kapitol'!I75</f>
        <v>11409092</v>
      </c>
      <c r="G265" s="1272">
        <f>+F265-E265</f>
        <v>0</v>
      </c>
      <c r="J265" s="1328"/>
    </row>
    <row r="266" spans="1:12" s="33" customFormat="1" ht="16.5" thickBot="1" x14ac:dyDescent="0.3">
      <c r="A266" s="247" t="s">
        <v>365</v>
      </c>
      <c r="B266" s="247" t="s">
        <v>366</v>
      </c>
      <c r="C266" s="245">
        <f>SUM(C263:C265)</f>
        <v>14427949.80000001</v>
      </c>
      <c r="D266" s="245">
        <v>13072504.800000012</v>
      </c>
      <c r="E266" s="245">
        <f>SUM(E263:E265)</f>
        <v>12645551.89199999</v>
      </c>
      <c r="F266" s="245">
        <f>SUM(F263:F265)</f>
        <v>11594466.262399971</v>
      </c>
      <c r="G266" s="1159">
        <f>+F266-E266</f>
        <v>-1051085.6296000183</v>
      </c>
      <c r="H266" s="1276"/>
      <c r="I266" s="1273"/>
      <c r="J266" s="1160"/>
      <c r="K266" s="1209"/>
    </row>
    <row r="267" spans="1:12" s="33" customFormat="1" ht="16.5" thickBot="1" x14ac:dyDescent="0.3">
      <c r="A267" s="1094" t="s">
        <v>378</v>
      </c>
      <c r="B267" s="247"/>
      <c r="C267" s="245">
        <f>+C266+C261+C223</f>
        <v>154493549</v>
      </c>
      <c r="D267" s="245">
        <v>263207503</v>
      </c>
      <c r="E267" s="245">
        <f>+E266+E261+E223</f>
        <v>265527303</v>
      </c>
      <c r="F267" s="245">
        <f>+F266+F261+F223</f>
        <v>246802838</v>
      </c>
      <c r="G267" s="1159">
        <f>+F267-E267</f>
        <v>-18724465</v>
      </c>
      <c r="H267" s="1276"/>
      <c r="I267" s="1273"/>
      <c r="J267" s="1160"/>
      <c r="K267" s="1209"/>
    </row>
    <row r="268" spans="1:12" s="249" customFormat="1" x14ac:dyDescent="0.25">
      <c r="A268" s="1171"/>
      <c r="B268" s="249" t="s">
        <v>379</v>
      </c>
      <c r="C268" s="238">
        <f>C267-'Sumář  výdaje kapitol'!D78</f>
        <v>0</v>
      </c>
      <c r="D268" s="238">
        <v>0</v>
      </c>
      <c r="E268" s="238">
        <f>+E267-'Sumář  výdaje kapitol'!F78</f>
        <v>0</v>
      </c>
      <c r="F268" s="238">
        <f>F267-'Sumář  výdaje kapitol'!I78</f>
        <v>0</v>
      </c>
      <c r="G268" s="1159">
        <f>+F268-E268</f>
        <v>0</v>
      </c>
      <c r="H268" s="1276"/>
      <c r="I268" s="1273"/>
      <c r="J268" s="1160"/>
      <c r="K268" s="1208"/>
    </row>
    <row r="269" spans="1:12" s="33" customFormat="1" ht="16.5" thickBot="1" x14ac:dyDescent="0.3">
      <c r="A269" s="1094" t="s">
        <v>1089</v>
      </c>
      <c r="B269" s="247"/>
      <c r="C269" s="245">
        <f>+C146-C267</f>
        <v>0</v>
      </c>
      <c r="D269" s="245">
        <v>0</v>
      </c>
      <c r="E269" s="245">
        <v>-1554732</v>
      </c>
      <c r="F269" s="245">
        <f>+F146-F267</f>
        <v>-7597780</v>
      </c>
      <c r="G269" s="157">
        <f>+F269-E269</f>
        <v>-6043048</v>
      </c>
      <c r="H269" s="1277"/>
      <c r="I269" s="1274"/>
      <c r="J269" s="1160"/>
      <c r="K269" s="1209"/>
    </row>
    <row r="272" spans="1:12" s="33" customFormat="1" x14ac:dyDescent="0.25">
      <c r="A272" s="33" t="s">
        <v>1316</v>
      </c>
      <c r="C272" s="1212">
        <f>+C279/C274</f>
        <v>0.11143839746077508</v>
      </c>
      <c r="D272" s="1212">
        <f>+D279/D274</f>
        <v>0.12539621881805227</v>
      </c>
      <c r="E272" s="1212">
        <v>0.12297083917147465</v>
      </c>
      <c r="F272" s="1212">
        <f>+F279/F274</f>
        <v>9.4431946718810042E-2</v>
      </c>
      <c r="G272" s="1211"/>
      <c r="H272" s="1278"/>
      <c r="I272" s="1275"/>
      <c r="J272" s="1243"/>
      <c r="K272" s="1210"/>
      <c r="L272" s="463"/>
    </row>
    <row r="273" spans="1:12" x14ac:dyDescent="0.25">
      <c r="A273" s="129"/>
      <c r="G273" s="129"/>
      <c r="H273" s="1265"/>
      <c r="I273" s="1268"/>
      <c r="J273" s="1241"/>
      <c r="K273" s="882"/>
      <c r="L273" s="449"/>
    </row>
    <row r="274" spans="1:12" s="33" customFormat="1" x14ac:dyDescent="0.25">
      <c r="B274" s="33" t="s">
        <v>1307</v>
      </c>
      <c r="C274" s="32">
        <f>SUM(C275:C277)</f>
        <v>115436800</v>
      </c>
      <c r="D274" s="32">
        <f>SUM(D275:D277)</f>
        <v>117617773</v>
      </c>
      <c r="E274" s="32">
        <v>119937573</v>
      </c>
      <c r="F274" s="32">
        <f>SUM(F275:F277)</f>
        <v>144286267</v>
      </c>
      <c r="H274" s="1266"/>
      <c r="I274" s="1270"/>
      <c r="J274" s="1243"/>
      <c r="K274" s="1210"/>
      <c r="L274" s="463"/>
    </row>
    <row r="275" spans="1:12" x14ac:dyDescent="0.25">
      <c r="A275" s="129"/>
      <c r="B275" s="246" t="s">
        <v>1313</v>
      </c>
      <c r="C275" s="237">
        <f>+'Souhrn příjmů a výdajů 2018'!E256</f>
        <v>87348000</v>
      </c>
      <c r="D275" s="237">
        <f>+'Souhrn příjmů a výdajů 2018'!F256</f>
        <v>89448000</v>
      </c>
      <c r="E275" s="237">
        <v>91448000</v>
      </c>
      <c r="F275" s="237">
        <f>+'Souhrn příjmů a výdajů 2018'!H256</f>
        <v>104848000</v>
      </c>
      <c r="G275" s="129"/>
      <c r="H275" s="1265"/>
      <c r="I275" s="1268"/>
      <c r="J275" s="1241"/>
      <c r="K275" s="882"/>
      <c r="L275" s="449"/>
    </row>
    <row r="276" spans="1:12" x14ac:dyDescent="0.25">
      <c r="A276" s="129"/>
      <c r="B276" s="246" t="s">
        <v>1314</v>
      </c>
      <c r="C276" s="237">
        <f>+'Souhrn příjmů a výdajů 2018'!E257</f>
        <v>18418700</v>
      </c>
      <c r="D276" s="237">
        <f>+'Souhrn příjmů a výdajů 2018'!F257</f>
        <v>18523900</v>
      </c>
      <c r="E276" s="237">
        <v>18579900</v>
      </c>
      <c r="F276" s="237">
        <f>+'Souhrn příjmů a výdajů 2018'!H257</f>
        <v>19045200</v>
      </c>
      <c r="G276" s="129"/>
      <c r="H276" s="1265"/>
      <c r="I276" s="1268"/>
      <c r="J276" s="1241"/>
      <c r="K276" s="882"/>
      <c r="L276" s="449"/>
    </row>
    <row r="277" spans="1:12" x14ac:dyDescent="0.25">
      <c r="A277" s="129"/>
      <c r="B277" s="246" t="s">
        <v>1315</v>
      </c>
      <c r="C277" s="237">
        <f>+'Souhrn příjmů a výdajů 2018'!E258</f>
        <v>9670100</v>
      </c>
      <c r="D277" s="237">
        <f>+'Souhrn příjmů a výdajů 2018'!F258</f>
        <v>9645873</v>
      </c>
      <c r="E277" s="237">
        <v>9909673</v>
      </c>
      <c r="F277" s="237">
        <f>+'Souhrn příjmů a výdajů 2018'!H258</f>
        <v>20393067</v>
      </c>
      <c r="G277" s="129"/>
      <c r="H277" s="1265"/>
      <c r="I277" s="1268"/>
      <c r="J277" s="1241"/>
      <c r="K277" s="882"/>
      <c r="L277" s="449"/>
    </row>
    <row r="278" spans="1:12" x14ac:dyDescent="0.25">
      <c r="A278" s="129"/>
      <c r="C278" s="129"/>
      <c r="D278" s="129"/>
      <c r="E278" s="129"/>
      <c r="F278" s="129"/>
      <c r="G278" s="129"/>
      <c r="H278" s="1265"/>
      <c r="I278" s="1268"/>
      <c r="J278" s="1241"/>
      <c r="L278" s="449"/>
    </row>
    <row r="279" spans="1:12" s="33" customFormat="1" x14ac:dyDescent="0.25">
      <c r="B279" s="33" t="s">
        <v>1306</v>
      </c>
      <c r="C279" s="32">
        <f>SUM(C280:C281)</f>
        <v>12864092</v>
      </c>
      <c r="D279" s="32">
        <f>SUM(D280:D281)</f>
        <v>14748824</v>
      </c>
      <c r="E279" s="32">
        <v>14748824</v>
      </c>
      <c r="F279" s="32">
        <f>SUM(F280:F281)</f>
        <v>13625233.0776</v>
      </c>
      <c r="H279" s="1266"/>
      <c r="I279" s="1270"/>
      <c r="J279" s="1243"/>
      <c r="K279" s="1210"/>
      <c r="L279" s="463"/>
    </row>
    <row r="280" spans="1:12" x14ac:dyDescent="0.25">
      <c r="A280" s="129"/>
      <c r="B280" s="246" t="s">
        <v>204</v>
      </c>
      <c r="C280" s="237">
        <f>+'Souhrn příjmů a výdajů 2018'!E261</f>
        <v>1455000</v>
      </c>
      <c r="D280" s="237">
        <f>+'Souhrn příjmů a výdajů 2018'!F261</f>
        <v>1785000</v>
      </c>
      <c r="E280" s="237">
        <v>3339732</v>
      </c>
      <c r="F280" s="237">
        <f>+'Souhrn příjmů a výdajů 2018'!H261</f>
        <v>2216141.0776</v>
      </c>
      <c r="G280" s="129"/>
      <c r="H280" s="1265"/>
      <c r="I280" s="1268"/>
      <c r="J280" s="1241"/>
      <c r="K280" s="882"/>
      <c r="L280" s="449"/>
    </row>
    <row r="281" spans="1:12" x14ac:dyDescent="0.25">
      <c r="A281" s="129"/>
      <c r="B281" s="246" t="s">
        <v>186</v>
      </c>
      <c r="C281" s="237">
        <f>+'Souhrn příjmů a výdajů 2018'!E262</f>
        <v>11409092</v>
      </c>
      <c r="D281" s="237">
        <f>+'Souhrn příjmů a výdajů 2018'!F262</f>
        <v>12963824</v>
      </c>
      <c r="E281" s="237">
        <v>11409092</v>
      </c>
      <c r="F281" s="237">
        <f>+'Souhrn příjmů a výdajů 2018'!H262</f>
        <v>11409092</v>
      </c>
      <c r="G281" s="129"/>
      <c r="H281" s="1265"/>
      <c r="I281" s="1268"/>
      <c r="J281" s="1241"/>
      <c r="K281" s="882"/>
      <c r="L281" s="449"/>
    </row>
    <row r="282" spans="1:12" x14ac:dyDescent="0.25">
      <c r="E282" s="237" t="s">
        <v>1125</v>
      </c>
      <c r="F282" s="237" t="s">
        <v>1125</v>
      </c>
    </row>
    <row r="285" spans="1:12" x14ac:dyDescent="0.25">
      <c r="A285" s="1288"/>
      <c r="B285" s="129" t="s">
        <v>1355</v>
      </c>
    </row>
    <row r="286" spans="1:12" x14ac:dyDescent="0.25">
      <c r="B286" s="246" t="s">
        <v>1356</v>
      </c>
    </row>
    <row r="287" spans="1:12" x14ac:dyDescent="0.25">
      <c r="B287" s="246" t="s">
        <v>1357</v>
      </c>
    </row>
  </sheetData>
  <mergeCells count="1">
    <mergeCell ref="G4:I4"/>
  </mergeCells>
  <pageMargins left="0.51181102362204722" right="0.51181102362204722" top="0.19685039370078741" bottom="0.19685039370078741" header="0.31496062992125984" footer="0.31496062992125984"/>
  <pageSetup paperSize="9" scale="47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workbookViewId="0"/>
  </sheetViews>
  <sheetFormatPr defaultColWidth="0" defaultRowHeight="0" customHeight="1" zeroHeight="1" x14ac:dyDescent="0.2"/>
  <cols>
    <col min="1" max="1" width="14.5703125" style="887" customWidth="1"/>
    <col min="2" max="2" width="25.5703125" style="887" customWidth="1"/>
    <col min="3" max="16" width="9.28515625" style="887" customWidth="1"/>
    <col min="17" max="16384" width="0" style="887" hidden="1"/>
  </cols>
  <sheetData>
    <row r="1" spans="2:15" ht="13.5" thickBot="1" x14ac:dyDescent="0.25"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2:15" ht="15.75" thickBot="1" x14ac:dyDescent="0.3">
      <c r="B2" s="422"/>
      <c r="C2" s="1915" t="s">
        <v>1538</v>
      </c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7"/>
    </row>
    <row r="3" spans="2:15" ht="26.25" thickBot="1" x14ac:dyDescent="0.25">
      <c r="B3" s="422"/>
      <c r="C3" s="1640">
        <v>2006</v>
      </c>
      <c r="D3" s="1641">
        <v>2007</v>
      </c>
      <c r="E3" s="1641">
        <v>2008</v>
      </c>
      <c r="F3" s="1641">
        <v>2009</v>
      </c>
      <c r="G3" s="1641">
        <v>2010</v>
      </c>
      <c r="H3" s="1641">
        <v>2011</v>
      </c>
      <c r="I3" s="1641">
        <v>2012</v>
      </c>
      <c r="J3" s="1641">
        <v>2013</v>
      </c>
      <c r="K3" s="1641">
        <v>2014</v>
      </c>
      <c r="L3" s="1641">
        <v>2015</v>
      </c>
      <c r="M3" s="1642">
        <v>2016</v>
      </c>
      <c r="N3" s="1641">
        <v>2017</v>
      </c>
      <c r="O3" s="1643" t="s">
        <v>1539</v>
      </c>
    </row>
    <row r="4" spans="2:15" ht="4.5" customHeight="1" thickBot="1" x14ac:dyDescent="0.25">
      <c r="B4" s="422"/>
      <c r="C4" s="1644"/>
      <c r="D4" s="1645"/>
      <c r="E4" s="1645"/>
      <c r="F4" s="1645"/>
      <c r="G4" s="1645"/>
      <c r="H4" s="1645"/>
      <c r="I4" s="1645"/>
      <c r="J4" s="1645"/>
      <c r="K4" s="1645"/>
      <c r="L4" s="1645"/>
      <c r="M4" s="1645"/>
      <c r="N4" s="1646"/>
      <c r="O4" s="1647"/>
    </row>
    <row r="5" spans="2:15" ht="12.75" x14ac:dyDescent="0.2">
      <c r="B5" s="1648" t="s">
        <v>1540</v>
      </c>
      <c r="C5" s="1649">
        <v>1</v>
      </c>
      <c r="D5" s="1650">
        <v>1</v>
      </c>
      <c r="E5" s="1650">
        <v>1</v>
      </c>
      <c r="F5" s="1650">
        <v>1</v>
      </c>
      <c r="G5" s="1650">
        <v>1</v>
      </c>
      <c r="H5" s="1650">
        <v>1</v>
      </c>
      <c r="I5" s="1650">
        <v>1</v>
      </c>
      <c r="J5" s="1650">
        <v>1</v>
      </c>
      <c r="K5" s="1650">
        <v>1</v>
      </c>
      <c r="L5" s="1650">
        <v>1</v>
      </c>
      <c r="M5" s="1651">
        <v>1</v>
      </c>
      <c r="N5" s="1650">
        <v>1</v>
      </c>
      <c r="O5" s="1652">
        <v>1</v>
      </c>
    </row>
    <row r="6" spans="2:15" ht="12.75" x14ac:dyDescent="0.2">
      <c r="B6" s="1653" t="s">
        <v>1102</v>
      </c>
      <c r="C6" s="1654">
        <v>0</v>
      </c>
      <c r="D6" s="1655">
        <v>0</v>
      </c>
      <c r="E6" s="1655">
        <v>0</v>
      </c>
      <c r="F6" s="1655">
        <v>0</v>
      </c>
      <c r="G6" s="1655">
        <v>0</v>
      </c>
      <c r="H6" s="1655">
        <v>0</v>
      </c>
      <c r="I6" s="1655">
        <v>0</v>
      </c>
      <c r="J6" s="1655">
        <v>0</v>
      </c>
      <c r="K6" s="1655">
        <v>0</v>
      </c>
      <c r="L6" s="1655">
        <v>1</v>
      </c>
      <c r="M6" s="1656">
        <v>1</v>
      </c>
      <c r="N6" s="1657">
        <v>1</v>
      </c>
      <c r="O6" s="1658">
        <v>1</v>
      </c>
    </row>
    <row r="7" spans="2:15" ht="12.75" x14ac:dyDescent="0.2">
      <c r="B7" s="1659" t="s">
        <v>1103</v>
      </c>
      <c r="C7" s="1654">
        <v>0</v>
      </c>
      <c r="D7" s="1655">
        <v>0</v>
      </c>
      <c r="E7" s="1655">
        <v>0</v>
      </c>
      <c r="F7" s="1655">
        <v>0</v>
      </c>
      <c r="G7" s="1655">
        <v>0</v>
      </c>
      <c r="H7" s="1655">
        <v>0</v>
      </c>
      <c r="I7" s="1655">
        <v>0</v>
      </c>
      <c r="J7" s="1655">
        <v>0</v>
      </c>
      <c r="K7" s="1655">
        <v>0</v>
      </c>
      <c r="L7" s="1655">
        <v>0</v>
      </c>
      <c r="M7" s="1656">
        <v>1</v>
      </c>
      <c r="N7" s="1657">
        <v>1</v>
      </c>
      <c r="O7" s="1658">
        <v>1</v>
      </c>
    </row>
    <row r="8" spans="2:15" ht="12.75" x14ac:dyDescent="0.2">
      <c r="B8" s="1653" t="s">
        <v>1541</v>
      </c>
      <c r="C8" s="1654">
        <v>0</v>
      </c>
      <c r="D8" s="1655">
        <v>0</v>
      </c>
      <c r="E8" s="1655">
        <v>0</v>
      </c>
      <c r="F8" s="1655">
        <v>0</v>
      </c>
      <c r="G8" s="1655">
        <v>0</v>
      </c>
      <c r="H8" s="1655">
        <v>0</v>
      </c>
      <c r="I8" s="1655">
        <v>0</v>
      </c>
      <c r="J8" s="1655">
        <v>0</v>
      </c>
      <c r="K8" s="1655">
        <v>0</v>
      </c>
      <c r="L8" s="1655">
        <v>0</v>
      </c>
      <c r="M8" s="1656">
        <v>0</v>
      </c>
      <c r="N8" s="1655">
        <v>0</v>
      </c>
      <c r="O8" s="1658">
        <v>1</v>
      </c>
    </row>
    <row r="9" spans="2:15" ht="12.75" x14ac:dyDescent="0.2">
      <c r="B9" s="1659" t="s">
        <v>1098</v>
      </c>
      <c r="C9" s="1660">
        <v>1</v>
      </c>
      <c r="D9" s="1657">
        <v>1</v>
      </c>
      <c r="E9" s="1657">
        <v>1</v>
      </c>
      <c r="F9" s="1657">
        <v>1</v>
      </c>
      <c r="G9" s="1657">
        <v>1</v>
      </c>
      <c r="H9" s="1657">
        <v>1</v>
      </c>
      <c r="I9" s="1657">
        <v>1</v>
      </c>
      <c r="J9" s="1657">
        <v>1</v>
      </c>
      <c r="K9" s="1657">
        <v>1</v>
      </c>
      <c r="L9" s="1657">
        <v>2</v>
      </c>
      <c r="M9" s="1657">
        <v>2</v>
      </c>
      <c r="N9" s="1657">
        <v>2</v>
      </c>
      <c r="O9" s="1661">
        <v>2</v>
      </c>
    </row>
    <row r="10" spans="2:15" ht="12.75" x14ac:dyDescent="0.2">
      <c r="B10" s="1662" t="s">
        <v>1542</v>
      </c>
      <c r="C10" s="1663">
        <v>7</v>
      </c>
      <c r="D10" s="1664">
        <v>7</v>
      </c>
      <c r="E10" s="1664">
        <v>8</v>
      </c>
      <c r="F10" s="1664">
        <v>8</v>
      </c>
      <c r="G10" s="1664">
        <v>8</v>
      </c>
      <c r="H10" s="1664">
        <v>8</v>
      </c>
      <c r="I10" s="1664">
        <v>8</v>
      </c>
      <c r="J10" s="1664">
        <v>8</v>
      </c>
      <c r="K10" s="1664">
        <v>8</v>
      </c>
      <c r="L10" s="1664">
        <v>8</v>
      </c>
      <c r="M10" s="1664">
        <v>8</v>
      </c>
      <c r="N10" s="1664">
        <v>8</v>
      </c>
      <c r="O10" s="1665">
        <v>8</v>
      </c>
    </row>
    <row r="11" spans="2:15" ht="12.75" x14ac:dyDescent="0.2">
      <c r="B11" s="1666" t="s">
        <v>1101</v>
      </c>
      <c r="C11" s="1663">
        <v>4</v>
      </c>
      <c r="D11" s="1667">
        <v>4</v>
      </c>
      <c r="E11" s="1667">
        <v>4</v>
      </c>
      <c r="F11" s="1667">
        <v>4</v>
      </c>
      <c r="G11" s="1667">
        <v>4</v>
      </c>
      <c r="H11" s="1667">
        <v>4</v>
      </c>
      <c r="I11" s="1667">
        <v>4</v>
      </c>
      <c r="J11" s="1667">
        <v>4</v>
      </c>
      <c r="K11" s="1667">
        <v>4</v>
      </c>
      <c r="L11" s="1668">
        <v>4</v>
      </c>
      <c r="M11" s="1667">
        <v>4</v>
      </c>
      <c r="N11" s="1667">
        <v>4</v>
      </c>
      <c r="O11" s="1669">
        <v>4</v>
      </c>
    </row>
    <row r="12" spans="2:15" ht="12.75" x14ac:dyDescent="0.2">
      <c r="B12" s="1659" t="s">
        <v>1099</v>
      </c>
      <c r="C12" s="1660">
        <v>5</v>
      </c>
      <c r="D12" s="1657">
        <v>5</v>
      </c>
      <c r="E12" s="1657">
        <v>5</v>
      </c>
      <c r="F12" s="1657">
        <v>6</v>
      </c>
      <c r="G12" s="1657">
        <v>8</v>
      </c>
      <c r="H12" s="1657">
        <v>7</v>
      </c>
      <c r="I12" s="1657">
        <v>7.5</v>
      </c>
      <c r="J12" s="1657">
        <v>7.5</v>
      </c>
      <c r="K12" s="1657">
        <v>8.5</v>
      </c>
      <c r="L12" s="1657">
        <v>8.5</v>
      </c>
      <c r="M12" s="1670">
        <v>8.5</v>
      </c>
      <c r="N12" s="1657">
        <v>8.5</v>
      </c>
      <c r="O12" s="1671">
        <v>8.5</v>
      </c>
    </row>
    <row r="13" spans="2:15" ht="12.75" x14ac:dyDescent="0.2">
      <c r="B13" s="1659" t="s">
        <v>973</v>
      </c>
      <c r="C13" s="1660">
        <v>1</v>
      </c>
      <c r="D13" s="1657">
        <v>2</v>
      </c>
      <c r="E13" s="1657">
        <v>3</v>
      </c>
      <c r="F13" s="1657">
        <v>3</v>
      </c>
      <c r="G13" s="1657">
        <v>3</v>
      </c>
      <c r="H13" s="1657">
        <v>3</v>
      </c>
      <c r="I13" s="1657">
        <v>3</v>
      </c>
      <c r="J13" s="1657">
        <v>3</v>
      </c>
      <c r="K13" s="1657">
        <v>3</v>
      </c>
      <c r="L13" s="1657">
        <v>3</v>
      </c>
      <c r="M13" s="1670">
        <v>3</v>
      </c>
      <c r="N13" s="1657">
        <v>3</v>
      </c>
      <c r="O13" s="1671">
        <v>3</v>
      </c>
    </row>
    <row r="14" spans="2:15" ht="12.75" x14ac:dyDescent="0.2">
      <c r="B14" s="1659" t="s">
        <v>1543</v>
      </c>
      <c r="C14" s="1660">
        <v>3</v>
      </c>
      <c r="D14" s="1657">
        <v>3</v>
      </c>
      <c r="E14" s="1657">
        <v>4</v>
      </c>
      <c r="F14" s="1657">
        <v>4</v>
      </c>
      <c r="G14" s="1657">
        <v>3</v>
      </c>
      <c r="H14" s="1657">
        <v>3</v>
      </c>
      <c r="I14" s="1657">
        <v>4</v>
      </c>
      <c r="J14" s="1657">
        <v>4</v>
      </c>
      <c r="K14" s="1657">
        <v>4</v>
      </c>
      <c r="L14" s="1657">
        <v>4</v>
      </c>
      <c r="M14" s="1670">
        <v>5</v>
      </c>
      <c r="N14" s="1657">
        <v>5</v>
      </c>
      <c r="O14" s="1671">
        <v>5</v>
      </c>
    </row>
    <row r="15" spans="2:15" ht="12.75" x14ac:dyDescent="0.2">
      <c r="B15" s="1659" t="s">
        <v>1100</v>
      </c>
      <c r="C15" s="1660">
        <v>7</v>
      </c>
      <c r="D15" s="1657">
        <v>7</v>
      </c>
      <c r="E15" s="1657">
        <v>8.5</v>
      </c>
      <c r="F15" s="1657">
        <v>9.5</v>
      </c>
      <c r="G15" s="1657">
        <v>9.5</v>
      </c>
      <c r="H15" s="1657">
        <v>9.5</v>
      </c>
      <c r="I15" s="1657">
        <v>9.5</v>
      </c>
      <c r="J15" s="1657">
        <v>9.5</v>
      </c>
      <c r="K15" s="1657">
        <v>9.5</v>
      </c>
      <c r="L15" s="1657">
        <v>9.5</v>
      </c>
      <c r="M15" s="1670">
        <v>9.5</v>
      </c>
      <c r="N15" s="1657">
        <v>9.5</v>
      </c>
      <c r="O15" s="1671">
        <v>9.5</v>
      </c>
    </row>
    <row r="16" spans="2:15" ht="12.75" x14ac:dyDescent="0.2">
      <c r="B16" s="1662" t="s">
        <v>1544</v>
      </c>
      <c r="C16" s="1663">
        <v>1</v>
      </c>
      <c r="D16" s="1664">
        <v>1</v>
      </c>
      <c r="E16" s="1664">
        <v>1</v>
      </c>
      <c r="F16" s="1664">
        <v>1</v>
      </c>
      <c r="G16" s="1664">
        <v>1</v>
      </c>
      <c r="H16" s="1664">
        <v>1</v>
      </c>
      <c r="I16" s="1664">
        <v>1</v>
      </c>
      <c r="J16" s="1664">
        <v>1</v>
      </c>
      <c r="K16" s="1664">
        <v>1</v>
      </c>
      <c r="L16" s="1664">
        <v>1</v>
      </c>
      <c r="M16" s="1664">
        <v>1</v>
      </c>
      <c r="N16" s="1664">
        <v>1</v>
      </c>
      <c r="O16" s="1665">
        <v>1</v>
      </c>
    </row>
    <row r="17" spans="2:15" ht="12.75" x14ac:dyDescent="0.2">
      <c r="B17" s="1666" t="s">
        <v>1545</v>
      </c>
      <c r="C17" s="1663">
        <v>1</v>
      </c>
      <c r="D17" s="1667">
        <v>1</v>
      </c>
      <c r="E17" s="1667">
        <v>1</v>
      </c>
      <c r="F17" s="1667">
        <v>1</v>
      </c>
      <c r="G17" s="1667">
        <v>1</v>
      </c>
      <c r="H17" s="1667">
        <v>1</v>
      </c>
      <c r="I17" s="1667">
        <v>1</v>
      </c>
      <c r="J17" s="1667">
        <v>1</v>
      </c>
      <c r="K17" s="1667">
        <v>1</v>
      </c>
      <c r="L17" s="1668">
        <v>1</v>
      </c>
      <c r="M17" s="1667">
        <v>1</v>
      </c>
      <c r="N17" s="1667">
        <v>1</v>
      </c>
      <c r="O17" s="1669">
        <v>1</v>
      </c>
    </row>
    <row r="18" spans="2:15" ht="12.75" x14ac:dyDescent="0.2">
      <c r="B18" s="1653" t="s">
        <v>418</v>
      </c>
      <c r="C18" s="1660">
        <v>0</v>
      </c>
      <c r="D18" s="1657">
        <v>0</v>
      </c>
      <c r="E18" s="1657">
        <v>0</v>
      </c>
      <c r="F18" s="1657">
        <v>0</v>
      </c>
      <c r="G18" s="1657">
        <v>0</v>
      </c>
      <c r="H18" s="1657">
        <v>0</v>
      </c>
      <c r="I18" s="1657">
        <v>0</v>
      </c>
      <c r="J18" s="1657">
        <v>0</v>
      </c>
      <c r="K18" s="1670">
        <v>2</v>
      </c>
      <c r="L18" s="1657">
        <v>5</v>
      </c>
      <c r="M18" s="1670">
        <v>6</v>
      </c>
      <c r="N18" s="1657">
        <v>7</v>
      </c>
      <c r="O18" s="1671">
        <v>7</v>
      </c>
    </row>
    <row r="19" spans="2:15" ht="13.5" thickBot="1" x14ac:dyDescent="0.25">
      <c r="B19" s="1672" t="s">
        <v>294</v>
      </c>
      <c r="C19" s="1673">
        <v>3</v>
      </c>
      <c r="D19" s="1674">
        <v>3</v>
      </c>
      <c r="E19" s="1674">
        <v>3</v>
      </c>
      <c r="F19" s="1674">
        <v>3</v>
      </c>
      <c r="G19" s="1674">
        <v>3</v>
      </c>
      <c r="H19" s="1674">
        <v>3</v>
      </c>
      <c r="I19" s="1674">
        <v>3</v>
      </c>
      <c r="J19" s="1674">
        <v>3</v>
      </c>
      <c r="K19" s="1674">
        <v>3</v>
      </c>
      <c r="L19" s="1674">
        <v>3</v>
      </c>
      <c r="M19" s="1675">
        <v>3</v>
      </c>
      <c r="N19" s="1674">
        <v>3</v>
      </c>
      <c r="O19" s="1676">
        <v>3</v>
      </c>
    </row>
    <row r="20" spans="2:15" ht="12.75" x14ac:dyDescent="0.2"/>
    <row r="21" spans="2:15" ht="12.75" x14ac:dyDescent="0.2">
      <c r="B21" s="887" t="s">
        <v>1105</v>
      </c>
      <c r="C21" s="887">
        <f>SUM(C5:C20)</f>
        <v>34</v>
      </c>
      <c r="D21" s="887">
        <f>SUM(D5:D20)</f>
        <v>35</v>
      </c>
      <c r="E21" s="887">
        <f t="shared" ref="E21:M21" si="0">SUM(E5:E19)</f>
        <v>39.5</v>
      </c>
      <c r="F21" s="887">
        <f t="shared" si="0"/>
        <v>41.5</v>
      </c>
      <c r="G21" s="887">
        <f t="shared" si="0"/>
        <v>42.5</v>
      </c>
      <c r="H21" s="887">
        <f t="shared" si="0"/>
        <v>41.5</v>
      </c>
      <c r="I21" s="887">
        <f t="shared" si="0"/>
        <v>43</v>
      </c>
      <c r="J21" s="887">
        <f t="shared" si="0"/>
        <v>43</v>
      </c>
      <c r="K21" s="887">
        <f t="shared" si="0"/>
        <v>46</v>
      </c>
      <c r="L21" s="887">
        <f t="shared" si="0"/>
        <v>51</v>
      </c>
      <c r="M21" s="887">
        <f t="shared" si="0"/>
        <v>54</v>
      </c>
      <c r="N21" s="887">
        <f>SUM(N5:N20)</f>
        <v>55</v>
      </c>
      <c r="O21" s="887">
        <f>SUM(O5:O20)</f>
        <v>56</v>
      </c>
    </row>
    <row r="22" spans="2:15" ht="15" x14ac:dyDescent="0.25">
      <c r="B22" s="887" t="s">
        <v>1106</v>
      </c>
      <c r="D22" s="887">
        <f>D21-C21</f>
        <v>1</v>
      </c>
      <c r="E22" s="887">
        <f t="shared" ref="E22:L22" si="1">E21-D21</f>
        <v>4.5</v>
      </c>
      <c r="F22" s="887">
        <f t="shared" si="1"/>
        <v>2</v>
      </c>
      <c r="G22" s="887">
        <f t="shared" si="1"/>
        <v>1</v>
      </c>
      <c r="H22" s="1677">
        <f t="shared" si="1"/>
        <v>-1</v>
      </c>
      <c r="I22" s="887">
        <f t="shared" si="1"/>
        <v>1.5</v>
      </c>
      <c r="J22" s="887">
        <f t="shared" si="1"/>
        <v>0</v>
      </c>
      <c r="K22" s="887">
        <f t="shared" si="1"/>
        <v>3</v>
      </c>
      <c r="L22" s="887">
        <f t="shared" si="1"/>
        <v>5</v>
      </c>
      <c r="M22" s="887">
        <f>M21-L21</f>
        <v>3</v>
      </c>
      <c r="N22" s="887">
        <v>1</v>
      </c>
      <c r="O22" s="887">
        <v>1</v>
      </c>
    </row>
    <row r="23" spans="2:15" ht="12.75" x14ac:dyDescent="0.2"/>
    <row r="24" spans="2:15" ht="15" x14ac:dyDescent="0.25">
      <c r="B24" s="1678" t="s">
        <v>1107</v>
      </c>
      <c r="C24" s="1678">
        <v>34</v>
      </c>
      <c r="D24" s="1678">
        <v>35</v>
      </c>
      <c r="E24" s="1678">
        <v>39.5</v>
      </c>
      <c r="F24" s="1678">
        <v>41.5</v>
      </c>
      <c r="G24" s="1678">
        <v>42.5</v>
      </c>
      <c r="H24" s="1678">
        <v>51.5</v>
      </c>
      <c r="I24" s="1678">
        <v>43</v>
      </c>
      <c r="J24" s="1678">
        <v>43</v>
      </c>
      <c r="K24" s="1678">
        <v>44</v>
      </c>
      <c r="L24" s="1678">
        <v>46</v>
      </c>
      <c r="M24" s="1678">
        <v>48</v>
      </c>
      <c r="N24" s="1678">
        <v>48</v>
      </c>
      <c r="O24" s="1678">
        <v>49</v>
      </c>
    </row>
    <row r="25" spans="2:15" ht="15" x14ac:dyDescent="0.25">
      <c r="B25" s="1678" t="s">
        <v>1546</v>
      </c>
    </row>
    <row r="26" spans="2:15" ht="15" x14ac:dyDescent="0.25">
      <c r="B26" s="1678"/>
      <c r="C26" s="887" t="s">
        <v>1108</v>
      </c>
    </row>
    <row r="27" spans="2:15" ht="15" x14ac:dyDescent="0.25">
      <c r="B27" s="1678"/>
      <c r="C27" s="887" t="s">
        <v>1109</v>
      </c>
    </row>
    <row r="28" spans="2:15" ht="12.75" x14ac:dyDescent="0.2">
      <c r="C28" s="887" t="s">
        <v>1110</v>
      </c>
    </row>
    <row r="29" spans="2:15" ht="15" x14ac:dyDescent="0.25">
      <c r="B29" s="887" t="s">
        <v>1547</v>
      </c>
    </row>
    <row r="30" spans="2:15" ht="15" x14ac:dyDescent="0.25">
      <c r="B30" s="1678" t="s">
        <v>1111</v>
      </c>
      <c r="C30" s="887" t="s">
        <v>1112</v>
      </c>
    </row>
    <row r="31" spans="2:15" ht="12.75" x14ac:dyDescent="0.2">
      <c r="C31" s="887" t="s">
        <v>1113</v>
      </c>
    </row>
    <row r="32" spans="2:15" ht="15.75" thickBot="1" x14ac:dyDescent="0.3">
      <c r="B32" s="1678"/>
    </row>
    <row r="33" spans="2:15" ht="13.5" thickBot="1" x14ac:dyDescent="0.25">
      <c r="B33" s="1679" t="s">
        <v>1104</v>
      </c>
      <c r="C33" s="1640">
        <v>14</v>
      </c>
      <c r="D33" s="1641">
        <v>13</v>
      </c>
      <c r="E33" s="1641">
        <v>13</v>
      </c>
      <c r="F33" s="1641">
        <v>13</v>
      </c>
      <c r="G33" s="1641">
        <v>13</v>
      </c>
      <c r="H33" s="1641">
        <v>13</v>
      </c>
      <c r="I33" s="1641">
        <v>13</v>
      </c>
      <c r="J33" s="1641">
        <v>13</v>
      </c>
      <c r="K33" s="1641">
        <v>15</v>
      </c>
      <c r="L33" s="1641">
        <v>22</v>
      </c>
      <c r="M33" s="1642">
        <v>26</v>
      </c>
      <c r="N33" s="1641">
        <v>38</v>
      </c>
      <c r="O33" s="1639">
        <v>38</v>
      </c>
    </row>
    <row r="34" spans="2:15" ht="12.75" x14ac:dyDescent="0.2"/>
    <row r="35" spans="2:15" ht="12.75" x14ac:dyDescent="0.2"/>
    <row r="36" spans="2:15" ht="12.75" x14ac:dyDescent="0.2"/>
    <row r="37" spans="2:15" ht="12.75" x14ac:dyDescent="0.2"/>
    <row r="38" spans="2:15" ht="12.75" x14ac:dyDescent="0.2"/>
    <row r="39" spans="2:15" ht="12.75" x14ac:dyDescent="0.2"/>
    <row r="40" spans="2:15" ht="12.75" x14ac:dyDescent="0.2"/>
  </sheetData>
  <mergeCells count="1">
    <mergeCell ref="C2:O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/>
  </sheetViews>
  <sheetFormatPr defaultRowHeight="12.75" x14ac:dyDescent="0.2"/>
  <cols>
    <col min="1" max="1" width="10.42578125" customWidth="1"/>
    <col min="2" max="2" width="15.28515625" bestFit="1" customWidth="1"/>
    <col min="3" max="3" width="17.85546875" customWidth="1"/>
    <col min="4" max="4" width="21.5703125" customWidth="1"/>
    <col min="5" max="5" width="11.140625" bestFit="1" customWidth="1"/>
  </cols>
  <sheetData>
    <row r="3" spans="2:5" s="314" customFormat="1" x14ac:dyDescent="0.2">
      <c r="B3" s="314" t="s">
        <v>344</v>
      </c>
      <c r="D3" s="314" t="s">
        <v>372</v>
      </c>
    </row>
    <row r="4" spans="2:5" x14ac:dyDescent="0.2">
      <c r="B4" t="str">
        <f>'Souhrn příjmů a výdajů 2018'!B6</f>
        <v>Daňové příjmy</v>
      </c>
      <c r="C4" s="315">
        <f>'Souhrn příjmů a výdajů 2018'!E6</f>
        <v>99343846</v>
      </c>
      <c r="D4" t="str">
        <f>'Souhrn příjmů a výdajů 2018'!B160</f>
        <v>Osobní náklady celkem</v>
      </c>
      <c r="E4" s="315">
        <f>'Souhrn příjmů a výdajů 2018'!E160</f>
        <v>29749904.200000003</v>
      </c>
    </row>
    <row r="5" spans="2:5" x14ac:dyDescent="0.2">
      <c r="B5" t="str">
        <f>'Souhrn příjmů a výdajů 2018'!B26</f>
        <v xml:space="preserve">Nedaňové příjmy </v>
      </c>
      <c r="C5" s="315">
        <f>'Souhrn příjmů a výdajů 2018'!E26</f>
        <v>18418700</v>
      </c>
      <c r="D5" t="str">
        <f>'Souhrn příjmů a výdajů 2018'!B170</f>
        <v xml:space="preserve">Neinvestiční výdaje </v>
      </c>
      <c r="E5" s="315">
        <f>'Souhrn příjmů a výdajů 2018'!E170</f>
        <v>72178233</v>
      </c>
    </row>
    <row r="6" spans="2:5" x14ac:dyDescent="0.2">
      <c r="B6" t="str">
        <f>'Souhrn příjmů a výdajů 2018'!B94</f>
        <v>Kapitálové příjmy</v>
      </c>
      <c r="C6" s="315">
        <f>'Souhrn příjmů a výdajů 2018'!E94</f>
        <v>60000</v>
      </c>
      <c r="D6" t="str">
        <f>'Souhrn příjmů a výdajů 2018'!B211</f>
        <v>Kapitálové výdaje</v>
      </c>
      <c r="E6" s="315">
        <f>'Souhrn příjmů a výdajů 2018'!E211</f>
        <v>38137462</v>
      </c>
    </row>
    <row r="7" spans="2:5" x14ac:dyDescent="0.2">
      <c r="B7" t="str">
        <f>'Souhrn příjmů a výdajů 2018'!B100</f>
        <v>Přijaté transfery</v>
      </c>
      <c r="C7" s="315">
        <f>'Souhrn příjmů a výdajů 2018'!E100</f>
        <v>9670100</v>
      </c>
      <c r="D7" t="str">
        <f>'Souhrn příjmů a výdajů 2018'!B223</f>
        <v>Financování</v>
      </c>
      <c r="E7" s="315">
        <v>11409092</v>
      </c>
    </row>
    <row r="8" spans="2:5" x14ac:dyDescent="0.2">
      <c r="B8" s="314" t="s">
        <v>2</v>
      </c>
      <c r="C8" s="865">
        <f>SUM(C4:C7)</f>
        <v>127492646</v>
      </c>
      <c r="D8" s="314"/>
      <c r="E8" s="865">
        <f>SUM(E4:E7)</f>
        <v>151474691.19999999</v>
      </c>
    </row>
    <row r="10" spans="2:5" x14ac:dyDescent="0.2">
      <c r="B10" t="s">
        <v>1091</v>
      </c>
      <c r="C10" s="315">
        <f>C8-E8</f>
        <v>-23982045.199999988</v>
      </c>
    </row>
    <row r="11" spans="2:5" x14ac:dyDescent="0.2">
      <c r="B11" t="str">
        <f>'Souhrn příjmů a výdajů 2018'!B145</f>
        <v>Financování</v>
      </c>
      <c r="C11" s="315">
        <f>'Souhrn příjmů a výdajů 2018'!E145</f>
        <v>27000903</v>
      </c>
    </row>
    <row r="12" spans="2:5" s="337" customFormat="1" x14ac:dyDescent="0.2">
      <c r="B12" s="337" t="s">
        <v>1092</v>
      </c>
      <c r="E12" s="393">
        <f>C10+C11</f>
        <v>3018857.8000000119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158"/>
  <sheetViews>
    <sheetView workbookViewId="0"/>
  </sheetViews>
  <sheetFormatPr defaultRowHeight="12.75" x14ac:dyDescent="0.2"/>
  <cols>
    <col min="1" max="1" width="26" bestFit="1" customWidth="1"/>
    <col min="2" max="2" width="24" bestFit="1" customWidth="1"/>
    <col min="3" max="3" width="26" style="446" bestFit="1" customWidth="1"/>
    <col min="4" max="4" width="17.28515625" style="446" bestFit="1" customWidth="1"/>
    <col min="5" max="5" width="26" style="446" bestFit="1" customWidth="1"/>
    <col min="6" max="6" width="13.85546875" bestFit="1" customWidth="1"/>
    <col min="7" max="7" width="15.85546875" style="446" customWidth="1"/>
    <col min="8" max="8" width="14.5703125" style="446" customWidth="1"/>
    <col min="9" max="9" width="15.85546875" style="446" customWidth="1"/>
    <col min="10" max="10" width="14.5703125" style="446" customWidth="1"/>
    <col min="11" max="12" width="16.28515625" style="446" customWidth="1"/>
    <col min="13" max="13" width="6.140625" style="446" customWidth="1"/>
    <col min="14" max="14" width="26" style="446" bestFit="1" customWidth="1"/>
    <col min="15" max="15" width="12.7109375" bestFit="1" customWidth="1"/>
    <col min="16" max="16" width="4.5703125" style="446" bestFit="1" customWidth="1"/>
  </cols>
  <sheetData>
    <row r="2" spans="1:17" ht="20.25" x14ac:dyDescent="0.3">
      <c r="A2" s="454" t="s">
        <v>632</v>
      </c>
    </row>
    <row r="4" spans="1:17" x14ac:dyDescent="0.2">
      <c r="A4" t="s">
        <v>628</v>
      </c>
      <c r="B4" s="448">
        <v>2014</v>
      </c>
      <c r="E4" t="s">
        <v>628</v>
      </c>
      <c r="F4" s="448">
        <v>2015</v>
      </c>
      <c r="I4" t="s">
        <v>628</v>
      </c>
      <c r="J4" s="448" t="s">
        <v>1090</v>
      </c>
      <c r="N4" t="s">
        <v>628</v>
      </c>
      <c r="O4" s="448">
        <v>2017</v>
      </c>
    </row>
    <row r="5" spans="1:17" ht="15.75" x14ac:dyDescent="0.25">
      <c r="A5" s="450" t="s">
        <v>625</v>
      </c>
      <c r="B5" s="452">
        <v>68876667</v>
      </c>
      <c r="C5" s="453">
        <f>B5/B5</f>
        <v>1</v>
      </c>
      <c r="D5" s="447"/>
      <c r="E5" s="450" t="s">
        <v>625</v>
      </c>
      <c r="F5" s="452">
        <v>70886189</v>
      </c>
      <c r="G5" s="453">
        <f>F5/F5</f>
        <v>1</v>
      </c>
      <c r="H5" s="447"/>
      <c r="I5" s="450" t="s">
        <v>625</v>
      </c>
      <c r="J5" s="452">
        <v>63565030</v>
      </c>
      <c r="K5" s="453">
        <f>J5/J5</f>
        <v>1</v>
      </c>
      <c r="L5" s="889"/>
      <c r="M5" s="447"/>
      <c r="N5" s="450" t="s">
        <v>625</v>
      </c>
      <c r="O5" s="452">
        <f>+'Souhrn příjmů a výdajů 2018'!E7+'Souhrn příjmů a výdajů 2018'!E8+'Souhrn příjmů a výdajů 2018'!E9+'Souhrn příjmů a výdajů 2018'!E10+'Souhrn příjmů a výdajů 2018'!E11</f>
        <v>72600000</v>
      </c>
      <c r="P5" s="453">
        <f>O5/O5</f>
        <v>1</v>
      </c>
    </row>
    <row r="6" spans="1:17" ht="15.75" x14ac:dyDescent="0.25">
      <c r="A6" s="437"/>
      <c r="B6" s="445"/>
      <c r="C6" s="447"/>
      <c r="D6" s="447"/>
      <c r="E6" s="437"/>
      <c r="F6" s="445"/>
      <c r="G6" s="447"/>
      <c r="H6" s="447"/>
      <c r="I6" s="437"/>
      <c r="J6" s="445"/>
      <c r="K6" s="447"/>
      <c r="L6" s="447"/>
      <c r="M6" s="447"/>
      <c r="N6" s="437"/>
      <c r="O6" s="445"/>
      <c r="P6" s="447"/>
    </row>
    <row r="7" spans="1:17" x14ac:dyDescent="0.2">
      <c r="B7" s="448"/>
      <c r="E7"/>
      <c r="F7" s="448"/>
      <c r="I7"/>
      <c r="J7" s="448"/>
      <c r="N7"/>
      <c r="O7" s="448"/>
    </row>
    <row r="8" spans="1:17" ht="15.75" x14ac:dyDescent="0.25">
      <c r="A8" s="450" t="s">
        <v>626</v>
      </c>
      <c r="B8" s="425">
        <f>26165877+459889</f>
        <v>26625766</v>
      </c>
      <c r="C8" s="451">
        <f>B8/$B$5</f>
        <v>0.38657163825886059</v>
      </c>
      <c r="D8" s="451">
        <f>B8/$B$11</f>
        <v>0.20190605051308216</v>
      </c>
      <c r="E8" s="450" t="s">
        <v>626</v>
      </c>
      <c r="F8" s="425">
        <f>28996060+30411</f>
        <v>29026471</v>
      </c>
      <c r="G8" s="451">
        <f>F8/$F$5</f>
        <v>0.40947991998836331</v>
      </c>
      <c r="H8" s="451">
        <f>F8/$F$11</f>
        <v>0.18637626266809582</v>
      </c>
      <c r="I8" s="450" t="s">
        <v>626</v>
      </c>
      <c r="J8" s="425">
        <f>'Souhrn příjmů a výdajů 2018'!D160/12*10</f>
        <v>23836411.297833338</v>
      </c>
      <c r="K8" s="451">
        <f>J8/$J$5</f>
        <v>0.37499252809026185</v>
      </c>
      <c r="L8" s="451">
        <f>J8/$J$11</f>
        <v>0.25954083338775735</v>
      </c>
      <c r="N8" s="450" t="s">
        <v>626</v>
      </c>
      <c r="O8" s="425">
        <f>'Souhrn příjmů a výdajů 2018'!E160</f>
        <v>29749904.200000003</v>
      </c>
      <c r="P8" s="451">
        <f>O8/$O$5</f>
        <v>0.40977829476584027</v>
      </c>
      <c r="Q8" s="451">
        <f>O8/$O$11</f>
        <v>0.19256405456774123</v>
      </c>
    </row>
    <row r="9" spans="1:17" ht="15.75" x14ac:dyDescent="0.25">
      <c r="A9" s="450" t="s">
        <v>631</v>
      </c>
      <c r="B9" s="425">
        <v>41185744.68</v>
      </c>
      <c r="C9" s="451">
        <f>B9/$B$5</f>
        <v>0.59796367149995799</v>
      </c>
      <c r="D9" s="451">
        <f>B9/$B$11</f>
        <v>0.3123159365923589</v>
      </c>
      <c r="E9" s="450" t="s">
        <v>631</v>
      </c>
      <c r="F9" s="425">
        <v>55735568.340000004</v>
      </c>
      <c r="G9" s="451">
        <f>F9/$F$5</f>
        <v>0.7862683708387822</v>
      </c>
      <c r="H9" s="451">
        <f>F9/$F$11</f>
        <v>0.35787288523263627</v>
      </c>
      <c r="I9" s="450" t="s">
        <v>631</v>
      </c>
      <c r="J9" s="425">
        <f>'Souhrn příjmů a výdajů 2018'!D170-3978254</f>
        <v>60925627.460000001</v>
      </c>
      <c r="K9" s="451">
        <f>J9/$J$5</f>
        <v>0.95847712901260329</v>
      </c>
      <c r="L9" s="451">
        <f>J9/$J$11</f>
        <v>0.66338375890827839</v>
      </c>
      <c r="N9" s="450" t="s">
        <v>631</v>
      </c>
      <c r="O9" s="425">
        <f>'Souhrn příjmů a výdajů 2018'!E170</f>
        <v>72178233</v>
      </c>
      <c r="P9" s="451">
        <f>O9/$O$5</f>
        <v>0.99419053719008266</v>
      </c>
      <c r="Q9" s="451">
        <f>O9/$O$11</f>
        <v>0.46719253630454177</v>
      </c>
    </row>
    <row r="10" spans="1:17" ht="15.75" x14ac:dyDescent="0.25">
      <c r="A10" s="450" t="s">
        <v>184</v>
      </c>
      <c r="B10" s="425">
        <v>64060545</v>
      </c>
      <c r="C10" s="451">
        <f>B10/$B$5</f>
        <v>0.93007614610619882</v>
      </c>
      <c r="D10" s="451">
        <f>B10/$B$11</f>
        <v>0.48577801046796448</v>
      </c>
      <c r="E10" s="450" t="s">
        <v>184</v>
      </c>
      <c r="F10" s="425">
        <v>70979205.209999993</v>
      </c>
      <c r="G10" s="451">
        <f>F10/$F$5</f>
        <v>1.0013121908697897</v>
      </c>
      <c r="H10" s="451">
        <f>F10/$F$11</f>
        <v>0.45575085563076662</v>
      </c>
      <c r="I10" s="450" t="s">
        <v>184</v>
      </c>
      <c r="J10" s="425">
        <v>20450785</v>
      </c>
      <c r="K10" s="451">
        <f>J10/$J$5</f>
        <v>0.32173012425228148</v>
      </c>
      <c r="L10" s="451">
        <f>J10/$J$11</f>
        <v>0.22267671571921197</v>
      </c>
      <c r="N10" s="450" t="s">
        <v>184</v>
      </c>
      <c r="O10" s="425">
        <f>'Souhrn příjmů a výdajů 2018'!E211</f>
        <v>38137462</v>
      </c>
      <c r="P10" s="451">
        <f>O10/$O$5</f>
        <v>0.52530939393939391</v>
      </c>
      <c r="Q10" s="451">
        <f>O10/$O$11</f>
        <v>0.24685472142270484</v>
      </c>
    </row>
    <row r="11" spans="1:17" ht="15.75" x14ac:dyDescent="0.25">
      <c r="A11" s="450" t="s">
        <v>627</v>
      </c>
      <c r="B11" s="425">
        <v>131872056</v>
      </c>
      <c r="C11" s="451">
        <f>B11/$B$5</f>
        <v>1.9146114605110029</v>
      </c>
      <c r="D11" s="451">
        <f>B11/$B$11</f>
        <v>1</v>
      </c>
      <c r="E11" s="450" t="s">
        <v>627</v>
      </c>
      <c r="F11" s="425">
        <v>155741244</v>
      </c>
      <c r="G11" s="451">
        <f>F11/$F$5</f>
        <v>2.1970604739380191</v>
      </c>
      <c r="H11" s="451">
        <f>F11/$F$11</f>
        <v>1</v>
      </c>
      <c r="I11" s="450" t="s">
        <v>627</v>
      </c>
      <c r="J11" s="425">
        <v>91840698</v>
      </c>
      <c r="K11" s="451">
        <f>J11/$J$5</f>
        <v>1.4448305617097954</v>
      </c>
      <c r="L11" s="451">
        <f>J11/$J$11</f>
        <v>1</v>
      </c>
      <c r="N11" s="450" t="s">
        <v>627</v>
      </c>
      <c r="O11" s="425">
        <f>'Souhrn příjmů a výdajů 2018'!E229</f>
        <v>154493549</v>
      </c>
      <c r="P11" s="451">
        <f>O11/$O$5</f>
        <v>2.1280103168044078</v>
      </c>
      <c r="Q11" s="451">
        <f>O11/$O$11</f>
        <v>1</v>
      </c>
    </row>
    <row r="13" spans="1:17" x14ac:dyDescent="0.2">
      <c r="F13" s="315"/>
    </row>
    <row r="40" spans="2:14" x14ac:dyDescent="0.2">
      <c r="C40"/>
      <c r="D40"/>
      <c r="E40"/>
      <c r="G40"/>
      <c r="H40"/>
      <c r="I40"/>
      <c r="J40"/>
      <c r="K40"/>
      <c r="L40"/>
      <c r="M40"/>
      <c r="N40"/>
    </row>
    <row r="41" spans="2:14" x14ac:dyDescent="0.2">
      <c r="C41"/>
      <c r="D41"/>
      <c r="E41"/>
      <c r="G41"/>
      <c r="H41"/>
      <c r="I41"/>
      <c r="J41"/>
      <c r="K41"/>
      <c r="L41"/>
      <c r="M41"/>
      <c r="N41"/>
    </row>
    <row r="42" spans="2:14" ht="15.75" x14ac:dyDescent="0.25">
      <c r="B42" s="437" t="s">
        <v>346</v>
      </c>
      <c r="C42" s="315">
        <f>'Souhrn příjmů a výdajů 2018'!E6</f>
        <v>99343846</v>
      </c>
      <c r="D42" s="315"/>
      <c r="E42" s="444">
        <f t="shared" ref="E42:E47" si="0">C42/$C$47</f>
        <v>0.72427717362847199</v>
      </c>
      <c r="G42"/>
      <c r="H42"/>
      <c r="I42"/>
      <c r="J42"/>
      <c r="K42"/>
      <c r="L42"/>
      <c r="M42"/>
      <c r="N42"/>
    </row>
    <row r="43" spans="2:14" ht="15.75" x14ac:dyDescent="0.25">
      <c r="B43" s="437" t="s">
        <v>348</v>
      </c>
      <c r="C43" s="315">
        <f>'Souhrn příjmů a výdajů 2018'!E26</f>
        <v>18418700</v>
      </c>
      <c r="D43" s="315"/>
      <c r="E43" s="444">
        <f t="shared" si="0"/>
        <v>0.134283546641739</v>
      </c>
      <c r="G43"/>
      <c r="H43"/>
      <c r="I43"/>
      <c r="J43"/>
      <c r="K43"/>
      <c r="L43"/>
      <c r="M43"/>
      <c r="N43"/>
    </row>
    <row r="44" spans="2:14" ht="15.75" x14ac:dyDescent="0.25">
      <c r="B44" s="437" t="s">
        <v>352</v>
      </c>
      <c r="C44" s="315">
        <f>'Souhrn příjmů a výdajů 2018'!E94</f>
        <v>60000</v>
      </c>
      <c r="D44" s="315"/>
      <c r="E44" s="444">
        <f t="shared" si="0"/>
        <v>4.3743656167396941E-4</v>
      </c>
      <c r="G44"/>
      <c r="H44"/>
      <c r="I44"/>
      <c r="J44"/>
      <c r="K44"/>
      <c r="L44"/>
      <c r="M44"/>
      <c r="N44"/>
    </row>
    <row r="45" spans="2:14" ht="15.75" x14ac:dyDescent="0.25">
      <c r="B45" s="437" t="s">
        <v>622</v>
      </c>
      <c r="C45" s="315">
        <f>'Souhrn příjmů a výdajů 2018'!E100</f>
        <v>9670100</v>
      </c>
      <c r="D45" s="315"/>
      <c r="E45" s="444">
        <f t="shared" si="0"/>
        <v>7.0500921584057519E-2</v>
      </c>
      <c r="G45"/>
      <c r="H45"/>
      <c r="I45"/>
      <c r="J45"/>
      <c r="K45"/>
      <c r="L45"/>
      <c r="M45"/>
      <c r="N45"/>
    </row>
    <row r="46" spans="2:14" ht="15.75" x14ac:dyDescent="0.25">
      <c r="B46" s="437" t="s">
        <v>366</v>
      </c>
      <c r="C46" s="315">
        <f>'Souhrn příjmů a výdajů 2018'!E100</f>
        <v>9670100</v>
      </c>
      <c r="D46" s="315"/>
      <c r="E46" s="444">
        <f t="shared" si="0"/>
        <v>7.0500921584057519E-2</v>
      </c>
      <c r="G46"/>
      <c r="H46"/>
      <c r="I46"/>
      <c r="J46"/>
      <c r="K46"/>
      <c r="L46"/>
      <c r="M46"/>
      <c r="N46"/>
    </row>
    <row r="47" spans="2:14" x14ac:dyDescent="0.2">
      <c r="C47" s="315">
        <f>SUM(C42:C46)</f>
        <v>137162746</v>
      </c>
      <c r="D47" s="315"/>
      <c r="E47" s="444">
        <f t="shared" si="0"/>
        <v>1</v>
      </c>
      <c r="G47"/>
      <c r="H47"/>
      <c r="I47"/>
      <c r="J47"/>
      <c r="K47"/>
      <c r="L47"/>
      <c r="M47"/>
      <c r="N47"/>
    </row>
    <row r="48" spans="2:14" x14ac:dyDescent="0.2">
      <c r="C48"/>
      <c r="D48"/>
      <c r="E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G50"/>
      <c r="H50"/>
      <c r="I50"/>
      <c r="J50"/>
      <c r="K50"/>
      <c r="L50"/>
      <c r="M50"/>
      <c r="N50"/>
    </row>
    <row r="51" spans="3:14" x14ac:dyDescent="0.2">
      <c r="C51"/>
      <c r="D51"/>
      <c r="E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G54"/>
      <c r="H54"/>
      <c r="I54"/>
      <c r="J54"/>
      <c r="K54"/>
      <c r="L54"/>
      <c r="M54"/>
      <c r="N54"/>
    </row>
    <row r="55" spans="3:14" x14ac:dyDescent="0.2">
      <c r="C55"/>
      <c r="D55"/>
      <c r="E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G59"/>
      <c r="H59"/>
      <c r="I59"/>
      <c r="J59"/>
      <c r="K59"/>
      <c r="L59"/>
      <c r="M59"/>
      <c r="N59"/>
    </row>
    <row r="60" spans="3:14" x14ac:dyDescent="0.2">
      <c r="C60"/>
      <c r="D60"/>
      <c r="E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G63"/>
      <c r="H63"/>
      <c r="I63"/>
      <c r="J63"/>
      <c r="K63"/>
      <c r="L63"/>
      <c r="M63"/>
      <c r="N63"/>
    </row>
    <row r="64" spans="3:14" x14ac:dyDescent="0.2">
      <c r="C64"/>
      <c r="D64"/>
      <c r="E64"/>
      <c r="G64"/>
      <c r="H64"/>
      <c r="I64"/>
      <c r="J64"/>
      <c r="K64"/>
      <c r="L64"/>
      <c r="M64"/>
      <c r="N64"/>
    </row>
    <row r="65" spans="1:14" x14ac:dyDescent="0.2">
      <c r="C65"/>
      <c r="D65"/>
      <c r="E65"/>
      <c r="G65"/>
      <c r="H65"/>
      <c r="I65"/>
      <c r="J65"/>
      <c r="K65"/>
      <c r="L65"/>
      <c r="M65"/>
      <c r="N65"/>
    </row>
    <row r="66" spans="1:14" x14ac:dyDescent="0.2">
      <c r="C66"/>
      <c r="D66"/>
      <c r="E66"/>
      <c r="G66"/>
      <c r="H66"/>
      <c r="I66"/>
      <c r="J66"/>
      <c r="K66"/>
      <c r="L66"/>
      <c r="M66"/>
      <c r="N66"/>
    </row>
    <row r="67" spans="1:14" x14ac:dyDescent="0.2">
      <c r="C67"/>
      <c r="D67"/>
      <c r="E67"/>
      <c r="G67"/>
      <c r="H67"/>
      <c r="I67"/>
      <c r="J67"/>
      <c r="K67"/>
      <c r="L67"/>
      <c r="M67"/>
      <c r="N67"/>
    </row>
    <row r="68" spans="1:14" x14ac:dyDescent="0.2">
      <c r="C68"/>
      <c r="D68"/>
      <c r="E68"/>
      <c r="G68"/>
      <c r="H68"/>
      <c r="I68"/>
      <c r="J68"/>
      <c r="K68"/>
      <c r="L68"/>
      <c r="M68"/>
      <c r="N68"/>
    </row>
    <row r="69" spans="1:14" x14ac:dyDescent="0.2">
      <c r="C69"/>
      <c r="D69"/>
      <c r="E69"/>
      <c r="G69"/>
      <c r="H69"/>
      <c r="I69"/>
      <c r="J69"/>
      <c r="K69"/>
      <c r="L69"/>
      <c r="M69"/>
      <c r="N69"/>
    </row>
    <row r="70" spans="1:14" x14ac:dyDescent="0.2">
      <c r="A70" t="s">
        <v>192</v>
      </c>
      <c r="B70" s="315">
        <f>'Souhrn příjmů a výdajů 2018'!E160</f>
        <v>29749904.200000003</v>
      </c>
      <c r="C70" s="445">
        <f>B70/$B$74</f>
        <v>0.19256405456774123</v>
      </c>
      <c r="D70"/>
      <c r="E70"/>
      <c r="G70"/>
      <c r="H70"/>
      <c r="I70"/>
      <c r="J70"/>
      <c r="K70"/>
      <c r="L70"/>
      <c r="M70"/>
      <c r="N70"/>
    </row>
    <row r="71" spans="1:14" x14ac:dyDescent="0.2">
      <c r="A71" t="s">
        <v>375</v>
      </c>
      <c r="B71" s="315">
        <f>'Souhrn příjmů a výdajů 2018'!E170</f>
        <v>72178233</v>
      </c>
      <c r="C71" s="445">
        <f>B71/$B$74</f>
        <v>0.46719253630454177</v>
      </c>
      <c r="D71"/>
      <c r="E71"/>
      <c r="G71"/>
      <c r="H71"/>
      <c r="I71"/>
      <c r="J71"/>
      <c r="K71"/>
      <c r="L71"/>
      <c r="M71"/>
      <c r="N71"/>
    </row>
    <row r="72" spans="1:14" x14ac:dyDescent="0.2">
      <c r="A72" t="s">
        <v>377</v>
      </c>
      <c r="B72" s="315">
        <f>'Souhrn příjmů a výdajů 2018'!E211</f>
        <v>38137462</v>
      </c>
      <c r="C72" s="445">
        <f>B72/$B$74</f>
        <v>0.24685472142270484</v>
      </c>
      <c r="D72"/>
      <c r="E72"/>
      <c r="G72"/>
      <c r="H72"/>
      <c r="I72"/>
      <c r="J72"/>
      <c r="K72"/>
      <c r="L72"/>
      <c r="M72"/>
      <c r="N72"/>
    </row>
    <row r="73" spans="1:14" x14ac:dyDescent="0.2">
      <c r="A73" t="s">
        <v>366</v>
      </c>
      <c r="B73" s="315">
        <f>'Souhrn příjmů a výdajů 2018'!E223</f>
        <v>14427949.80000001</v>
      </c>
      <c r="C73" s="445">
        <f>B73/$B$74</f>
        <v>9.3388687705012269E-2</v>
      </c>
    </row>
    <row r="74" spans="1:14" x14ac:dyDescent="0.2">
      <c r="B74" s="315">
        <f>SUM(B70:B73)</f>
        <v>154493549</v>
      </c>
    </row>
    <row r="97" spans="1:12" ht="15.75" x14ac:dyDescent="0.25">
      <c r="G97" s="33"/>
    </row>
    <row r="98" spans="1:12" ht="15.75" x14ac:dyDescent="0.25">
      <c r="B98" s="450" t="s">
        <v>626</v>
      </c>
      <c r="C98" s="450" t="s">
        <v>631</v>
      </c>
      <c r="D98" s="450" t="s">
        <v>184</v>
      </c>
      <c r="E98" s="450" t="s">
        <v>627</v>
      </c>
      <c r="G98" s="33" t="s">
        <v>571</v>
      </c>
      <c r="H98" s="450">
        <v>2014</v>
      </c>
      <c r="I98" s="450">
        <v>2015</v>
      </c>
      <c r="J98" s="450">
        <v>2016</v>
      </c>
      <c r="K98" s="450">
        <v>2017</v>
      </c>
      <c r="L98" s="437"/>
    </row>
    <row r="99" spans="1:12" ht="15.75" x14ac:dyDescent="0.25">
      <c r="A99" s="448">
        <v>2017</v>
      </c>
      <c r="B99" s="444">
        <v>0.41</v>
      </c>
      <c r="C99" s="888">
        <v>0.99</v>
      </c>
      <c r="D99" s="888">
        <v>0.53</v>
      </c>
      <c r="E99" s="888">
        <v>2.13</v>
      </c>
      <c r="G99" s="33" t="s">
        <v>1114</v>
      </c>
      <c r="H99" s="444">
        <v>0.17944808100989548</v>
      </c>
      <c r="I99" s="888">
        <v>0.18254106156577712</v>
      </c>
      <c r="J99" s="888">
        <f>'Souhrn příjmů a výdajů 2018'!D236</f>
        <v>0.1579647820668402</v>
      </c>
      <c r="K99" s="888">
        <f>'Souhrn příjmů a výdajů 2018'!E236</f>
        <v>0.19184989135766159</v>
      </c>
      <c r="L99" s="888"/>
    </row>
    <row r="100" spans="1:12" x14ac:dyDescent="0.2">
      <c r="A100" s="448">
        <v>2016</v>
      </c>
      <c r="B100" s="444">
        <v>0.39</v>
      </c>
      <c r="C100" s="888">
        <v>0.89</v>
      </c>
      <c r="D100" s="888">
        <v>0.52</v>
      </c>
      <c r="E100" s="888">
        <v>1.97</v>
      </c>
      <c r="G100" s="448"/>
      <c r="H100" s="444"/>
      <c r="I100" s="888"/>
      <c r="J100" s="888"/>
      <c r="K100" s="888"/>
      <c r="L100" s="888"/>
    </row>
    <row r="101" spans="1:12" x14ac:dyDescent="0.2">
      <c r="A101" s="448">
        <v>2015</v>
      </c>
      <c r="B101" s="444">
        <v>0.41</v>
      </c>
      <c r="C101" s="888">
        <v>0.79</v>
      </c>
      <c r="D101" s="888">
        <v>1</v>
      </c>
      <c r="E101" s="888">
        <v>2.2000000000000002</v>
      </c>
      <c r="G101" s="448"/>
      <c r="H101" s="444"/>
      <c r="I101" s="888"/>
      <c r="J101" s="888"/>
      <c r="K101" s="888"/>
      <c r="L101" s="888"/>
    </row>
    <row r="102" spans="1:12" x14ac:dyDescent="0.2">
      <c r="A102" s="460">
        <v>2014</v>
      </c>
      <c r="B102" s="444">
        <v>0.39</v>
      </c>
      <c r="C102" s="888">
        <v>0.6</v>
      </c>
      <c r="D102" s="888">
        <v>0.93</v>
      </c>
      <c r="E102" s="888">
        <v>1.91</v>
      </c>
      <c r="G102" s="460"/>
      <c r="H102" s="444"/>
      <c r="I102" s="888"/>
      <c r="J102" s="888"/>
      <c r="K102" s="888"/>
      <c r="L102" s="888"/>
    </row>
    <row r="103" spans="1:12" x14ac:dyDescent="0.2">
      <c r="A103" s="460">
        <v>2013</v>
      </c>
    </row>
    <row r="104" spans="1:12" x14ac:dyDescent="0.2">
      <c r="A104" s="460">
        <v>2012</v>
      </c>
    </row>
    <row r="122" spans="7:16" ht="15.75" x14ac:dyDescent="0.25">
      <c r="G122"/>
      <c r="H122" s="450" t="s">
        <v>374</v>
      </c>
      <c r="I122" s="450" t="s">
        <v>184</v>
      </c>
      <c r="J122" s="450"/>
      <c r="K122" s="437"/>
      <c r="N122"/>
      <c r="O122" s="446"/>
      <c r="P122"/>
    </row>
    <row r="123" spans="7:16" x14ac:dyDescent="0.2">
      <c r="G123" s="448">
        <v>2017</v>
      </c>
      <c r="H123" s="890">
        <f>+O8+O9</f>
        <v>101928137.2</v>
      </c>
      <c r="I123" s="890">
        <f>+O10</f>
        <v>38137462</v>
      </c>
      <c r="J123" s="890">
        <f>O11</f>
        <v>154493549</v>
      </c>
      <c r="K123" s="888"/>
      <c r="N123"/>
      <c r="O123" s="446"/>
      <c r="P123"/>
    </row>
    <row r="124" spans="7:16" x14ac:dyDescent="0.2">
      <c r="G124" s="448">
        <v>2016</v>
      </c>
      <c r="H124" s="890">
        <f>'Sumář  výdaje kapitol'!C59</f>
        <v>93507575.017399997</v>
      </c>
      <c r="I124" s="890">
        <f>'Sumář  výdaje kapitol'!C73</f>
        <v>38260406.792600006</v>
      </c>
      <c r="J124" s="890">
        <f>'Sumář  výdaje kapitol'!C78</f>
        <v>143177073.81</v>
      </c>
      <c r="K124" s="888"/>
      <c r="N124"/>
      <c r="O124" s="446"/>
      <c r="P124"/>
    </row>
    <row r="125" spans="7:16" x14ac:dyDescent="0.2">
      <c r="G125" s="448">
        <v>2015</v>
      </c>
      <c r="H125" s="890">
        <f>+F8+F9</f>
        <v>84762039.340000004</v>
      </c>
      <c r="I125" s="890">
        <f>+F10</f>
        <v>70979205.209999993</v>
      </c>
      <c r="J125" s="890">
        <f>F11</f>
        <v>155741244</v>
      </c>
      <c r="K125" s="888"/>
      <c r="N125"/>
      <c r="O125" s="446"/>
      <c r="P125"/>
    </row>
    <row r="126" spans="7:16" x14ac:dyDescent="0.2">
      <c r="G126" s="460">
        <v>2014</v>
      </c>
      <c r="H126" s="890">
        <f>+B8+B9</f>
        <v>67811510.680000007</v>
      </c>
      <c r="I126" s="890">
        <f>+B10</f>
        <v>64060545</v>
      </c>
      <c r="J126" s="890">
        <f>B11</f>
        <v>131872056</v>
      </c>
      <c r="K126" s="888"/>
      <c r="N126"/>
      <c r="O126" s="446"/>
      <c r="P126"/>
    </row>
    <row r="129" spans="1:16" ht="15.75" x14ac:dyDescent="0.25">
      <c r="H129" s="450" t="s">
        <v>374</v>
      </c>
      <c r="I129" s="450" t="s">
        <v>184</v>
      </c>
      <c r="J129" s="450"/>
    </row>
    <row r="130" spans="1:16" x14ac:dyDescent="0.2">
      <c r="G130" s="460">
        <v>2014</v>
      </c>
      <c r="H130" s="444">
        <f>H126/J126</f>
        <v>0.51422198710544109</v>
      </c>
      <c r="I130" s="888">
        <f>I126/J126</f>
        <v>0.48577801046796448</v>
      </c>
    </row>
    <row r="131" spans="1:16" x14ac:dyDescent="0.2">
      <c r="G131" s="448">
        <v>2015</v>
      </c>
      <c r="H131" s="444">
        <f>H125/J125</f>
        <v>0.54424914790073209</v>
      </c>
      <c r="I131" s="888">
        <f>I125/J125</f>
        <v>0.45575085563076662</v>
      </c>
    </row>
    <row r="132" spans="1:16" x14ac:dyDescent="0.2">
      <c r="G132" s="448">
        <v>2016</v>
      </c>
      <c r="H132" s="444">
        <f>H124/J124</f>
        <v>0.65309041824312719</v>
      </c>
      <c r="I132" s="888">
        <f>I124/J124</f>
        <v>0.26722439406306514</v>
      </c>
    </row>
    <row r="133" spans="1:16" x14ac:dyDescent="0.2">
      <c r="G133" s="448">
        <v>2017</v>
      </c>
      <c r="H133" s="444">
        <f>H123/J123</f>
        <v>0.659756590872283</v>
      </c>
      <c r="I133" s="888">
        <f>I123/J123</f>
        <v>0.24685472142270484</v>
      </c>
    </row>
    <row r="139" spans="1:16" x14ac:dyDescent="0.2">
      <c r="H139"/>
      <c r="J139"/>
      <c r="K139"/>
      <c r="L139"/>
      <c r="M139"/>
      <c r="N139"/>
      <c r="P139"/>
    </row>
    <row r="140" spans="1:16" x14ac:dyDescent="0.2">
      <c r="H140"/>
      <c r="J140"/>
      <c r="K140"/>
      <c r="L140"/>
      <c r="M140"/>
      <c r="N140"/>
      <c r="P140"/>
    </row>
    <row r="141" spans="1:16" x14ac:dyDescent="0.2">
      <c r="A141" t="s">
        <v>628</v>
      </c>
      <c r="B141" s="448">
        <v>2013</v>
      </c>
      <c r="C141" s="448">
        <v>2014</v>
      </c>
      <c r="D141" s="448">
        <v>2015</v>
      </c>
      <c r="E141" s="448">
        <v>2016</v>
      </c>
      <c r="F141" s="448">
        <v>2017</v>
      </c>
      <c r="H141"/>
      <c r="J141"/>
      <c r="K141"/>
      <c r="L141"/>
      <c r="M141"/>
      <c r="N141"/>
      <c r="P141"/>
    </row>
    <row r="142" spans="1:16" x14ac:dyDescent="0.2">
      <c r="A142" t="s">
        <v>1097</v>
      </c>
      <c r="B142">
        <v>64168276</v>
      </c>
      <c r="C142" s="446">
        <v>68876667</v>
      </c>
      <c r="D142" s="446">
        <v>70886189</v>
      </c>
      <c r="E142" s="446">
        <f>'Souhrn příjmů a výdajů 2018'!D6</f>
        <v>86223000</v>
      </c>
      <c r="F142" s="446">
        <f>'Souhrn příjmů a výdajů 2018'!E6</f>
        <v>99343846</v>
      </c>
      <c r="H142"/>
      <c r="J142"/>
      <c r="K142"/>
      <c r="L142"/>
      <c r="M142"/>
      <c r="N142"/>
      <c r="P142"/>
    </row>
    <row r="143" spans="1:16" x14ac:dyDescent="0.2">
      <c r="A143" t="s">
        <v>1093</v>
      </c>
      <c r="B143">
        <v>89472981</v>
      </c>
      <c r="C143" s="446">
        <v>70930301</v>
      </c>
      <c r="D143" s="446">
        <v>87313297</v>
      </c>
      <c r="E143" s="446">
        <f>+'Souhrn příjmů a výdajů 2018'!D26+'Souhrn příjmů a výdajů 2018'!D94+'Souhrn příjmů a výdajů 2018'!D100+'Souhrn příjmů a výdajů 2018'!D145</f>
        <v>56664073.810000002</v>
      </c>
      <c r="F143" s="446">
        <f>+'Souhrn příjmů a výdajů 2018'!E26+'Souhrn příjmů a výdajů 2018'!E94+'Souhrn příjmů a výdajů 2018'!E100+'Souhrn příjmů a výdajů 2018'!E145</f>
        <v>55149703</v>
      </c>
      <c r="H143"/>
      <c r="J143"/>
      <c r="K143"/>
      <c r="L143"/>
      <c r="M143"/>
      <c r="N143"/>
      <c r="P143"/>
    </row>
    <row r="144" spans="1:16" x14ac:dyDescent="0.2">
      <c r="A144" t="s">
        <v>1094</v>
      </c>
      <c r="B144">
        <f>SUM(B142:B143)</f>
        <v>153641257</v>
      </c>
      <c r="C144" s="446">
        <f>SUM(C142:C143)</f>
        <v>139806968</v>
      </c>
      <c r="D144" s="446">
        <f>SUM(D142:D143)</f>
        <v>158199486</v>
      </c>
      <c r="E144" s="446">
        <f>SUM(E142:E143)</f>
        <v>142887073.81</v>
      </c>
      <c r="F144" s="446">
        <f>SUM(F142:F143)</f>
        <v>154493549</v>
      </c>
      <c r="H144"/>
      <c r="J144"/>
      <c r="K144"/>
      <c r="L144"/>
      <c r="M144"/>
      <c r="N144"/>
      <c r="P144"/>
    </row>
    <row r="145" spans="1:16" x14ac:dyDescent="0.2">
      <c r="F145" s="446"/>
      <c r="H145"/>
      <c r="J145"/>
      <c r="K145"/>
      <c r="L145"/>
      <c r="M145"/>
      <c r="N145"/>
      <c r="P145"/>
    </row>
    <row r="146" spans="1:16" x14ac:dyDescent="0.2">
      <c r="A146" t="s">
        <v>374</v>
      </c>
      <c r="B146">
        <v>66197417</v>
      </c>
      <c r="C146" s="446">
        <v>67811511</v>
      </c>
      <c r="D146" s="446">
        <v>84762039</v>
      </c>
      <c r="E146" s="446">
        <f>+'Souhrn příjmů a výdajů 2018'!D159</f>
        <v>93507575.017399997</v>
      </c>
      <c r="F146" s="446">
        <f>+'Souhrn příjmů a výdajů 2018'!E159</f>
        <v>101928137.2</v>
      </c>
      <c r="H146"/>
      <c r="J146"/>
      <c r="K146"/>
      <c r="L146"/>
      <c r="M146"/>
      <c r="N146"/>
      <c r="P146"/>
    </row>
    <row r="147" spans="1:16" x14ac:dyDescent="0.2">
      <c r="A147" t="s">
        <v>1095</v>
      </c>
      <c r="B147">
        <v>102889487</v>
      </c>
      <c r="C147" s="446">
        <v>64060545</v>
      </c>
      <c r="D147" s="446">
        <v>70979205</v>
      </c>
      <c r="E147" s="446">
        <f>+'Souhrn příjmů a výdajů 2018'!D211+'Souhrn příjmů a výdajů 2018'!D223</f>
        <v>49669498.792600006</v>
      </c>
      <c r="F147" s="446">
        <f>+'Souhrn příjmů a výdajů 2018'!E211</f>
        <v>38137462</v>
      </c>
      <c r="H147"/>
      <c r="J147"/>
      <c r="K147"/>
      <c r="L147"/>
      <c r="M147"/>
      <c r="N147"/>
      <c r="P147"/>
    </row>
    <row r="148" spans="1:16" x14ac:dyDescent="0.2">
      <c r="A148" t="s">
        <v>1096</v>
      </c>
      <c r="B148">
        <f>SUM(B146:B147)</f>
        <v>169086904</v>
      </c>
      <c r="C148" s="446">
        <f>SUM(C146:C147)</f>
        <v>131872056</v>
      </c>
      <c r="D148" s="446">
        <f>SUM(D146:D147)</f>
        <v>155741244</v>
      </c>
      <c r="E148" s="446">
        <f>SUM(E146:E147)</f>
        <v>143177073.81</v>
      </c>
      <c r="F148" s="446">
        <f>+'Souhrn příjmů a výdajů 2018'!E229</f>
        <v>154493549</v>
      </c>
      <c r="H148"/>
      <c r="J148"/>
      <c r="K148"/>
      <c r="L148"/>
      <c r="M148"/>
      <c r="N148"/>
      <c r="P148"/>
    </row>
    <row r="149" spans="1:16" x14ac:dyDescent="0.2">
      <c r="H149"/>
      <c r="J149"/>
      <c r="K149"/>
      <c r="L149"/>
      <c r="M149"/>
      <c r="N149"/>
      <c r="P149"/>
    </row>
    <row r="150" spans="1:16" x14ac:dyDescent="0.2">
      <c r="B150" s="446"/>
      <c r="D150"/>
      <c r="F150" s="446"/>
      <c r="M150"/>
      <c r="P150"/>
    </row>
    <row r="152" spans="1:16" x14ac:dyDescent="0.2">
      <c r="A152" s="886"/>
    </row>
    <row r="153" spans="1:16" x14ac:dyDescent="0.2">
      <c r="A153" s="886"/>
    </row>
    <row r="154" spans="1:16" x14ac:dyDescent="0.2">
      <c r="A154" s="886"/>
    </row>
    <row r="155" spans="1:16" x14ac:dyDescent="0.2">
      <c r="A155" s="886"/>
    </row>
    <row r="156" spans="1:16" x14ac:dyDescent="0.2">
      <c r="A156" s="886"/>
    </row>
    <row r="157" spans="1:16" x14ac:dyDescent="0.2">
      <c r="A157" s="886"/>
    </row>
    <row r="158" spans="1:16" x14ac:dyDescent="0.2">
      <c r="A158" s="886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144"/>
  <sheetViews>
    <sheetView workbookViewId="0">
      <selection activeCell="A2" sqref="A2:K139"/>
    </sheetView>
  </sheetViews>
  <sheetFormatPr defaultRowHeight="12.75" outlineLevelCol="1" x14ac:dyDescent="0.2"/>
  <cols>
    <col min="1" max="1" width="9.140625" style="1690"/>
    <col min="2" max="2" width="6.5703125" style="1690" bestFit="1" customWidth="1"/>
    <col min="3" max="3" width="9.140625" style="1690"/>
    <col min="4" max="4" width="47.85546875" style="1691" bestFit="1" customWidth="1"/>
    <col min="5" max="5" width="14" style="1692" hidden="1" customWidth="1" outlineLevel="1"/>
    <col min="6" max="6" width="13.85546875" style="1692" hidden="1" customWidth="1" outlineLevel="1"/>
    <col min="7" max="8" width="12.42578125" style="1692" hidden="1" customWidth="1" outlineLevel="1"/>
    <col min="9" max="9" width="14.5703125" style="1692" customWidth="1" collapsed="1"/>
    <col min="10" max="11" width="14.5703125" style="1692" customWidth="1"/>
    <col min="12" max="12" width="19.7109375" style="1693" hidden="1" customWidth="1"/>
    <col min="13" max="13" width="23.5703125" style="1682" hidden="1" customWidth="1"/>
    <col min="14" max="16" width="12.42578125" style="1694" hidden="1" customWidth="1"/>
    <col min="17" max="17" width="13.42578125" style="1694" hidden="1" customWidth="1"/>
    <col min="18" max="18" width="13.42578125" style="1695" hidden="1" customWidth="1"/>
    <col min="19" max="19" width="13.42578125" style="1682" hidden="1" customWidth="1"/>
    <col min="20" max="20" width="17.5703125" style="1693" hidden="1" customWidth="1"/>
    <col min="21" max="21" width="14.42578125" style="1682" hidden="1" customWidth="1"/>
    <col min="22" max="22" width="16.7109375" style="1682" hidden="1" customWidth="1"/>
    <col min="23" max="23" width="12.140625" style="1682" hidden="1" customWidth="1"/>
    <col min="24" max="24" width="12.42578125" style="1682" hidden="1" customWidth="1"/>
    <col min="25" max="31" width="0" style="1682" hidden="1" customWidth="1"/>
    <col min="32" max="16384" width="9.140625" style="1682"/>
  </cols>
  <sheetData>
    <row r="1" spans="1:31" ht="16.5" customHeight="1" x14ac:dyDescent="0.2">
      <c r="A1" s="10"/>
      <c r="B1" s="10"/>
      <c r="C1" s="10"/>
      <c r="D1" s="11"/>
      <c r="E1" s="12"/>
      <c r="F1" s="12"/>
      <c r="G1" s="12"/>
      <c r="H1" s="12"/>
      <c r="I1" s="12"/>
      <c r="J1" s="12"/>
      <c r="K1" s="12"/>
      <c r="L1" s="13"/>
      <c r="M1" s="9"/>
      <c r="N1" s="144"/>
      <c r="O1" s="144"/>
      <c r="P1" s="144"/>
      <c r="Q1" s="144"/>
      <c r="R1" s="377"/>
      <c r="S1" s="9"/>
      <c r="T1" s="13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1683" customFormat="1" ht="24" customHeight="1" x14ac:dyDescent="0.35">
      <c r="A2" s="15" t="s">
        <v>1656</v>
      </c>
      <c r="B2" s="14"/>
      <c r="C2" s="14"/>
      <c r="D2" s="1"/>
      <c r="E2" s="4"/>
      <c r="F2" s="4"/>
      <c r="G2" s="4"/>
      <c r="H2" s="4"/>
      <c r="I2" s="4"/>
      <c r="J2" s="4"/>
      <c r="K2" s="4"/>
      <c r="L2" s="1"/>
      <c r="M2" s="1"/>
      <c r="N2" s="8"/>
      <c r="O2" s="8"/>
      <c r="P2" s="8"/>
      <c r="Q2" s="8"/>
      <c r="R2" s="378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3">
      <c r="A3" s="10"/>
      <c r="B3" s="10"/>
      <c r="C3" s="10"/>
      <c r="D3" s="16"/>
      <c r="E3" s="12"/>
      <c r="F3" s="12"/>
      <c r="G3" s="12"/>
      <c r="H3" s="12"/>
      <c r="I3" s="12"/>
      <c r="J3" s="12"/>
      <c r="K3" s="12"/>
      <c r="L3" s="9"/>
      <c r="M3" s="9"/>
      <c r="N3" s="144"/>
      <c r="O3" s="144"/>
      <c r="P3" s="144"/>
      <c r="Q3" s="144"/>
      <c r="R3" s="377"/>
      <c r="S3" s="9"/>
      <c r="T3" s="13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0.25" customHeight="1" x14ac:dyDescent="0.3">
      <c r="A4" s="17" t="s">
        <v>191</v>
      </c>
      <c r="B4" s="10"/>
      <c r="C4" s="10"/>
      <c r="D4" s="16"/>
      <c r="E4" s="12"/>
      <c r="F4" s="12"/>
      <c r="G4" s="12"/>
      <c r="H4" s="12"/>
      <c r="I4" s="12"/>
      <c r="J4" s="12"/>
      <c r="K4" s="12"/>
      <c r="L4" s="9"/>
      <c r="M4" s="9"/>
      <c r="N4" s="144"/>
      <c r="O4" s="144"/>
      <c r="P4" s="144"/>
      <c r="Q4" s="144"/>
      <c r="R4" s="377"/>
      <c r="S4" s="9"/>
      <c r="T4" s="13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" customHeight="1" thickBot="1" x14ac:dyDescent="0.3">
      <c r="A5" s="10"/>
      <c r="B5" s="10"/>
      <c r="C5" s="10"/>
      <c r="D5" s="11"/>
      <c r="E5" s="18"/>
      <c r="F5" s="18"/>
      <c r="G5" s="18"/>
      <c r="H5" s="18"/>
      <c r="I5" s="18"/>
      <c r="J5" s="18"/>
      <c r="K5" s="18"/>
      <c r="L5" s="13"/>
      <c r="M5" s="9"/>
      <c r="N5" s="144"/>
      <c r="O5" s="873"/>
      <c r="P5" s="873" t="s">
        <v>1376</v>
      </c>
      <c r="Q5" s="873"/>
      <c r="R5" s="377"/>
      <c r="S5" s="9"/>
      <c r="T5" s="13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684" customFormat="1" ht="32.25" customHeight="1" thickBot="1" x14ac:dyDescent="0.3">
      <c r="A6" s="1921" t="s">
        <v>0</v>
      </c>
      <c r="B6" s="1922"/>
      <c r="C6" s="1922"/>
      <c r="D6" s="1923"/>
      <c r="E6" s="20" t="s">
        <v>802</v>
      </c>
      <c r="F6" s="20" t="s">
        <v>1255</v>
      </c>
      <c r="G6" s="20" t="s">
        <v>1343</v>
      </c>
      <c r="H6" s="20" t="s">
        <v>1365</v>
      </c>
      <c r="I6" s="20" t="s">
        <v>1369</v>
      </c>
      <c r="J6" s="20" t="s">
        <v>1553</v>
      </c>
      <c r="K6" s="20" t="s">
        <v>1628</v>
      </c>
      <c r="L6" s="21"/>
      <c r="M6" s="590" t="s">
        <v>621</v>
      </c>
      <c r="N6" s="438">
        <v>2015</v>
      </c>
      <c r="O6" s="438">
        <v>2016</v>
      </c>
      <c r="P6" s="438">
        <v>2017</v>
      </c>
      <c r="Q6" s="438">
        <v>2018</v>
      </c>
      <c r="R6" s="22"/>
      <c r="S6" s="22"/>
      <c r="T6" s="21"/>
      <c r="U6" s="22" t="s">
        <v>807</v>
      </c>
      <c r="V6" s="22"/>
      <c r="W6" s="22" t="s">
        <v>1375</v>
      </c>
      <c r="X6" s="22"/>
      <c r="Y6" s="22"/>
      <c r="Z6" s="22"/>
      <c r="AA6" s="22"/>
      <c r="AB6" s="22"/>
      <c r="AC6" s="22"/>
      <c r="AD6" s="22"/>
      <c r="AE6" s="22"/>
    </row>
    <row r="7" spans="1:31" s="1684" customFormat="1" ht="20.25" customHeight="1" thickBot="1" x14ac:dyDescent="0.3">
      <c r="A7" s="23" t="s">
        <v>15</v>
      </c>
      <c r="B7" s="24" t="s">
        <v>16</v>
      </c>
      <c r="C7" s="24" t="s">
        <v>17</v>
      </c>
      <c r="D7" s="25" t="s">
        <v>18</v>
      </c>
      <c r="E7" s="26"/>
      <c r="F7" s="26"/>
      <c r="G7" s="26"/>
      <c r="H7" s="26"/>
      <c r="I7" s="26"/>
      <c r="J7" s="26"/>
      <c r="K7" s="26"/>
      <c r="L7" s="21"/>
      <c r="M7" s="22"/>
      <c r="N7" s="438"/>
      <c r="O7" s="438"/>
      <c r="P7" s="438"/>
      <c r="Q7" s="438"/>
      <c r="R7" s="379"/>
      <c r="S7" s="22"/>
      <c r="T7" s="21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1684" customFormat="1" ht="15" customHeight="1" x14ac:dyDescent="0.25">
      <c r="A8" s="130" t="s">
        <v>19</v>
      </c>
      <c r="B8" s="125"/>
      <c r="C8" s="125">
        <v>1111</v>
      </c>
      <c r="D8" s="27" t="s">
        <v>20</v>
      </c>
      <c r="E8" s="123">
        <v>16000000</v>
      </c>
      <c r="F8" s="123">
        <v>18500000</v>
      </c>
      <c r="G8" s="123">
        <v>18500000</v>
      </c>
      <c r="H8" s="123">
        <v>19000000</v>
      </c>
      <c r="I8" s="1286">
        <v>21600000</v>
      </c>
      <c r="J8" s="1286">
        <v>21600000</v>
      </c>
      <c r="K8" s="1286">
        <v>21600000</v>
      </c>
      <c r="L8" s="158"/>
      <c r="M8" s="435">
        <v>15081992.17</v>
      </c>
      <c r="N8" s="449">
        <v>15831877.970000001</v>
      </c>
      <c r="O8" s="449">
        <v>16931490</v>
      </c>
      <c r="P8" s="449">
        <v>12106810</v>
      </c>
      <c r="Q8" s="449"/>
      <c r="R8" s="379"/>
      <c r="S8" s="22"/>
      <c r="T8" s="272">
        <f>P8/8*12</f>
        <v>18160215</v>
      </c>
      <c r="U8" s="435"/>
      <c r="V8" s="435">
        <f>U8/3*12</f>
        <v>0</v>
      </c>
      <c r="W8" s="435"/>
      <c r="X8" s="435">
        <f>W8/3*12</f>
        <v>0</v>
      </c>
      <c r="Y8" s="22"/>
      <c r="Z8" s="568" t="e">
        <f>(W8-U8)/W8</f>
        <v>#DIV/0!</v>
      </c>
      <c r="AA8" s="22"/>
      <c r="AB8" s="22"/>
      <c r="AC8" s="22"/>
      <c r="AD8" s="22"/>
      <c r="AE8" s="22"/>
    </row>
    <row r="9" spans="1:31" s="1684" customFormat="1" ht="15" x14ac:dyDescent="0.25">
      <c r="A9" s="131" t="s">
        <v>19</v>
      </c>
      <c r="B9" s="132"/>
      <c r="C9" s="132">
        <v>1112</v>
      </c>
      <c r="D9" s="28" t="s">
        <v>21</v>
      </c>
      <c r="E9" s="38">
        <v>1550000</v>
      </c>
      <c r="F9" s="367">
        <v>0</v>
      </c>
      <c r="G9" s="367">
        <v>2100000</v>
      </c>
      <c r="H9" s="367">
        <v>2100000</v>
      </c>
      <c r="I9" s="367">
        <v>2100000</v>
      </c>
      <c r="J9" s="367">
        <v>2100000</v>
      </c>
      <c r="K9" s="367">
        <v>2100000</v>
      </c>
      <c r="L9" s="21"/>
      <c r="M9" s="435">
        <v>1538371.35</v>
      </c>
      <c r="N9" s="449">
        <v>1542747.04</v>
      </c>
      <c r="O9" s="449">
        <v>2184110</v>
      </c>
      <c r="P9" s="449">
        <v>317580</v>
      </c>
      <c r="Q9" s="449"/>
      <c r="R9" s="379"/>
      <c r="S9" s="22"/>
      <c r="T9" s="272">
        <f>+O9</f>
        <v>2184110</v>
      </c>
      <c r="U9" s="435"/>
      <c r="V9" s="435">
        <f>U9/3*12</f>
        <v>0</v>
      </c>
      <c r="W9" s="435"/>
      <c r="X9" s="435">
        <f>W9/3*12</f>
        <v>0</v>
      </c>
      <c r="Y9" s="22"/>
      <c r="Z9" s="568" t="e">
        <f>(W9-U9)/W9</f>
        <v>#DIV/0!</v>
      </c>
      <c r="AA9" s="22"/>
      <c r="AB9" s="22"/>
      <c r="AC9" s="22"/>
      <c r="AD9" s="22"/>
      <c r="AE9" s="22"/>
    </row>
    <row r="10" spans="1:31" s="1684" customFormat="1" ht="15.75" customHeight="1" x14ac:dyDescent="0.25">
      <c r="A10" s="131" t="s">
        <v>19</v>
      </c>
      <c r="B10" s="132"/>
      <c r="C10" s="132">
        <v>1121</v>
      </c>
      <c r="D10" s="28" t="s">
        <v>22</v>
      </c>
      <c r="E10" s="38">
        <v>16632000</v>
      </c>
      <c r="F10" s="38">
        <v>18500000</v>
      </c>
      <c r="G10" s="38">
        <v>18500000</v>
      </c>
      <c r="H10" s="38">
        <v>19000000</v>
      </c>
      <c r="I10" s="1287">
        <v>20300000</v>
      </c>
      <c r="J10" s="1287">
        <v>20300000</v>
      </c>
      <c r="K10" s="1287">
        <v>20300000</v>
      </c>
      <c r="L10" s="21"/>
      <c r="M10" s="435">
        <v>15829709.810000001</v>
      </c>
      <c r="N10" s="449">
        <v>15527565.529999999</v>
      </c>
      <c r="O10" s="449">
        <v>19090960</v>
      </c>
      <c r="P10" s="449">
        <v>12313840</v>
      </c>
      <c r="Q10" s="449"/>
      <c r="R10" s="379"/>
      <c r="S10" s="22"/>
      <c r="T10" s="272">
        <f>P10/8*12</f>
        <v>18470760</v>
      </c>
      <c r="U10" s="435"/>
      <c r="V10" s="435">
        <f>U10/3*12</f>
        <v>0</v>
      </c>
      <c r="W10" s="435"/>
      <c r="X10" s="435">
        <f>W10/3*12</f>
        <v>0</v>
      </c>
      <c r="Y10" s="22"/>
      <c r="Z10" s="568" t="e">
        <f>(W10-U10)/W10</f>
        <v>#DIV/0!</v>
      </c>
      <c r="AA10" s="22"/>
      <c r="AB10" s="22"/>
      <c r="AC10" s="22"/>
      <c r="AD10" s="22"/>
      <c r="AE10" s="22"/>
    </row>
    <row r="11" spans="1:31" s="1684" customFormat="1" ht="15.75" customHeight="1" x14ac:dyDescent="0.25">
      <c r="A11" s="131">
        <v>0</v>
      </c>
      <c r="B11" s="132"/>
      <c r="C11" s="132">
        <v>1113</v>
      </c>
      <c r="D11" s="28" t="s">
        <v>809</v>
      </c>
      <c r="E11" s="38">
        <v>1000000</v>
      </c>
      <c r="F11" s="367">
        <v>600000</v>
      </c>
      <c r="G11" s="367">
        <v>600000</v>
      </c>
      <c r="H11" s="367">
        <v>600000</v>
      </c>
      <c r="I11" s="367">
        <v>600000</v>
      </c>
      <c r="J11" s="367">
        <v>600000</v>
      </c>
      <c r="K11" s="367">
        <v>600000</v>
      </c>
      <c r="L11" s="21"/>
      <c r="M11" s="435"/>
      <c r="N11" s="449"/>
      <c r="O11" s="449">
        <v>1204780</v>
      </c>
      <c r="P11" s="449">
        <v>996290</v>
      </c>
      <c r="Q11" s="449"/>
      <c r="R11" s="379"/>
      <c r="S11" s="22"/>
      <c r="T11" s="272">
        <f>P11/8*12</f>
        <v>1494435</v>
      </c>
      <c r="U11" s="435"/>
      <c r="V11" s="435"/>
      <c r="W11" s="435"/>
      <c r="X11" s="435"/>
      <c r="Y11" s="22"/>
      <c r="Z11" s="568"/>
      <c r="AA11" s="22"/>
      <c r="AB11" s="22"/>
      <c r="AC11" s="22"/>
      <c r="AD11" s="22"/>
      <c r="AE11" s="22"/>
    </row>
    <row r="12" spans="1:31" s="1684" customFormat="1" ht="15" x14ac:dyDescent="0.25">
      <c r="A12" s="131" t="s">
        <v>19</v>
      </c>
      <c r="B12" s="132"/>
      <c r="C12" s="132">
        <v>1211</v>
      </c>
      <c r="D12" s="28" t="s">
        <v>23</v>
      </c>
      <c r="E12" s="38">
        <v>31500000</v>
      </c>
      <c r="F12" s="38">
        <v>35000000</v>
      </c>
      <c r="G12" s="38">
        <v>35000000</v>
      </c>
      <c r="H12" s="38">
        <v>36000000</v>
      </c>
      <c r="I12" s="1287">
        <v>45000000</v>
      </c>
      <c r="J12" s="1287">
        <v>45000000</v>
      </c>
      <c r="K12" s="1287">
        <v>45000000</v>
      </c>
      <c r="L12" s="21"/>
      <c r="M12" s="435">
        <v>29668985.02</v>
      </c>
      <c r="N12" s="449">
        <v>30569234.809999999</v>
      </c>
      <c r="O12" s="449">
        <v>32871040</v>
      </c>
      <c r="P12" s="449">
        <v>24837780</v>
      </c>
      <c r="Q12" s="449"/>
      <c r="R12" s="379"/>
      <c r="S12" s="22"/>
      <c r="T12" s="272">
        <f>P12/8*12</f>
        <v>37256670</v>
      </c>
      <c r="U12" s="435"/>
      <c r="V12" s="435">
        <f>U12/3*12</f>
        <v>0</v>
      </c>
      <c r="W12" s="435"/>
      <c r="X12" s="435">
        <f>W12/3*12</f>
        <v>0</v>
      </c>
      <c r="Y12" s="22"/>
      <c r="Z12" s="568" t="e">
        <f>(W12-U12)/W12</f>
        <v>#DIV/0!</v>
      </c>
      <c r="AA12" s="22"/>
      <c r="AB12" s="22"/>
      <c r="AC12" s="22"/>
      <c r="AD12" s="22"/>
      <c r="AE12" s="22"/>
    </row>
    <row r="13" spans="1:31" s="1684" customFormat="1" ht="15" customHeight="1" x14ac:dyDescent="0.25">
      <c r="A13" s="131"/>
      <c r="B13" s="132"/>
      <c r="C13" s="132" t="s">
        <v>24</v>
      </c>
      <c r="D13" s="28" t="s">
        <v>25</v>
      </c>
      <c r="E13" s="38">
        <v>140000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21"/>
      <c r="M13" s="1335">
        <f>SUM(M8:M12)</f>
        <v>62119058.349999994</v>
      </c>
      <c r="N13" s="1336">
        <f>SUM(N8:N12)</f>
        <v>63471425.349999994</v>
      </c>
      <c r="O13" s="1336">
        <f>SUM(O8:O12)</f>
        <v>72282380</v>
      </c>
      <c r="P13" s="1336">
        <f>SUM(P8:P12)</f>
        <v>50572300</v>
      </c>
      <c r="Q13" s="1336">
        <f>SUM(Q8:Q12)</f>
        <v>0</v>
      </c>
      <c r="R13" s="1335">
        <f>SUM(I8:I12)</f>
        <v>89600000</v>
      </c>
      <c r="S13" s="1337">
        <f>+(R13-N13)/R13</f>
        <v>0.29161355636160718</v>
      </c>
      <c r="T13" s="1338">
        <f>SUM(T8:T12)</f>
        <v>77566190</v>
      </c>
      <c r="U13" s="1339">
        <f>SUM(U8:U12)</f>
        <v>0</v>
      </c>
      <c r="V13" s="1339">
        <f>SUM(V8:V12)</f>
        <v>0</v>
      </c>
      <c r="W13" s="1339">
        <f>SUM(W8:W12)</f>
        <v>0</v>
      </c>
      <c r="X13" s="1339">
        <f>SUM(X8:X12)</f>
        <v>0</v>
      </c>
      <c r="Y13" s="22"/>
      <c r="Z13" s="22"/>
      <c r="AA13" s="22"/>
      <c r="AB13" s="22"/>
      <c r="AC13" s="22"/>
      <c r="AD13" s="22"/>
      <c r="AE13" s="22"/>
    </row>
    <row r="14" spans="1:31" s="1684" customFormat="1" ht="15" customHeight="1" x14ac:dyDescent="0.25">
      <c r="A14" s="131"/>
      <c r="B14" s="132"/>
      <c r="C14" s="132" t="s">
        <v>24</v>
      </c>
      <c r="D14" s="28" t="s">
        <v>25</v>
      </c>
      <c r="E14" s="38">
        <v>290000</v>
      </c>
      <c r="F14" s="38"/>
      <c r="G14" s="38"/>
      <c r="H14" s="38"/>
      <c r="I14" s="38">
        <v>0</v>
      </c>
      <c r="J14" s="38">
        <v>0</v>
      </c>
      <c r="K14" s="38">
        <v>0</v>
      </c>
      <c r="L14" s="21"/>
      <c r="M14" s="435"/>
      <c r="N14" s="463"/>
      <c r="O14" s="463">
        <f>+O13/12*8</f>
        <v>48188253.333333336</v>
      </c>
      <c r="P14" s="463">
        <v>75858450</v>
      </c>
      <c r="Q14" s="463"/>
      <c r="R14" s="379"/>
      <c r="S14" s="568"/>
      <c r="T14" s="21"/>
      <c r="U14" s="435"/>
      <c r="V14" s="435"/>
      <c r="W14" s="435"/>
      <c r="X14" s="435"/>
      <c r="Y14" s="22"/>
      <c r="Z14" s="22"/>
      <c r="AA14" s="22"/>
      <c r="AB14" s="22"/>
      <c r="AC14" s="22"/>
      <c r="AD14" s="22"/>
      <c r="AE14" s="22"/>
    </row>
    <row r="15" spans="1:31" s="1684" customFormat="1" ht="15" customHeight="1" x14ac:dyDescent="0.25">
      <c r="A15" s="320" t="s">
        <v>19</v>
      </c>
      <c r="B15" s="321"/>
      <c r="C15" s="321" t="s">
        <v>26</v>
      </c>
      <c r="D15" s="322" t="s">
        <v>27</v>
      </c>
      <c r="E15" s="319">
        <v>4100000</v>
      </c>
      <c r="F15" s="443">
        <v>4000000</v>
      </c>
      <c r="G15" s="443">
        <v>4000000</v>
      </c>
      <c r="H15" s="443">
        <v>4000000</v>
      </c>
      <c r="I15" s="443">
        <v>4000000</v>
      </c>
      <c r="J15" s="443">
        <v>4200000</v>
      </c>
      <c r="K15" s="443">
        <v>4200000</v>
      </c>
      <c r="L15" s="318"/>
      <c r="M15" s="435"/>
      <c r="N15" s="438"/>
      <c r="O15" s="438"/>
      <c r="P15" s="438"/>
      <c r="Q15" s="438"/>
      <c r="R15" s="379">
        <f>SUM(E8:E12)</f>
        <v>66682000</v>
      </c>
      <c r="S15" s="568">
        <f>+(R13-O13)/R13</f>
        <v>0.19327700892857144</v>
      </c>
      <c r="T15" s="881">
        <f>T13/R13</f>
        <v>0.86569408482142862</v>
      </c>
      <c r="U15" s="22"/>
      <c r="V15" s="22"/>
      <c r="W15" s="379">
        <f>W13-U13</f>
        <v>0</v>
      </c>
      <c r="X15" s="22"/>
      <c r="Y15" s="22"/>
      <c r="Z15" s="22"/>
      <c r="AA15" s="22"/>
      <c r="AB15" s="22"/>
      <c r="AC15" s="22"/>
      <c r="AD15" s="22"/>
      <c r="AE15" s="22"/>
    </row>
    <row r="16" spans="1:31" s="1684" customFormat="1" ht="15" customHeight="1" x14ac:dyDescent="0.25">
      <c r="A16" s="131" t="s">
        <v>19</v>
      </c>
      <c r="B16" s="132"/>
      <c r="C16" s="132">
        <v>1341</v>
      </c>
      <c r="D16" s="28" t="s">
        <v>28</v>
      </c>
      <c r="E16" s="38">
        <v>260000</v>
      </c>
      <c r="F16" s="38">
        <v>260000</v>
      </c>
      <c r="G16" s="38">
        <v>260000</v>
      </c>
      <c r="H16" s="38">
        <v>260000</v>
      </c>
      <c r="I16" s="38">
        <v>260000</v>
      </c>
      <c r="J16" s="38">
        <v>260000</v>
      </c>
      <c r="K16" s="38">
        <v>260000</v>
      </c>
      <c r="L16" s="21"/>
      <c r="M16" s="22"/>
      <c r="N16" s="438"/>
      <c r="O16" s="438"/>
      <c r="P16" s="438"/>
      <c r="Q16" s="438"/>
      <c r="R16" s="379">
        <f>R13/R15</f>
        <v>1.3436909510812514</v>
      </c>
      <c r="S16" s="22"/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1684" customFormat="1" ht="15" customHeight="1" x14ac:dyDescent="0.25">
      <c r="A17" s="131" t="s">
        <v>19</v>
      </c>
      <c r="B17" s="132"/>
      <c r="C17" s="132">
        <v>1343</v>
      </c>
      <c r="D17" s="28" t="s">
        <v>29</v>
      </c>
      <c r="E17" s="38">
        <v>98000</v>
      </c>
      <c r="F17" s="38">
        <v>75000</v>
      </c>
      <c r="G17" s="38">
        <v>75000</v>
      </c>
      <c r="H17" s="38">
        <v>75000</v>
      </c>
      <c r="I17" s="38">
        <v>75000</v>
      </c>
      <c r="J17" s="38">
        <v>75000</v>
      </c>
      <c r="K17" s="38">
        <v>75000</v>
      </c>
      <c r="L17" s="21"/>
      <c r="M17" s="22"/>
      <c r="N17" s="438"/>
      <c r="O17" s="438"/>
      <c r="P17" s="438"/>
      <c r="Q17" s="438"/>
      <c r="R17" s="379"/>
      <c r="S17" s="22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1684" customFormat="1" ht="15" customHeight="1" x14ac:dyDescent="0.25">
      <c r="A18" s="131" t="s">
        <v>19</v>
      </c>
      <c r="B18" s="132"/>
      <c r="C18" s="132">
        <v>1344</v>
      </c>
      <c r="D18" s="28" t="s">
        <v>30</v>
      </c>
      <c r="E18" s="38">
        <v>3000</v>
      </c>
      <c r="F18" s="38">
        <v>3000</v>
      </c>
      <c r="G18" s="38">
        <v>3000</v>
      </c>
      <c r="H18" s="38">
        <v>3000</v>
      </c>
      <c r="I18" s="38">
        <v>3000</v>
      </c>
      <c r="J18" s="38">
        <v>3000</v>
      </c>
      <c r="K18" s="38">
        <v>3000</v>
      </c>
      <c r="L18" s="21"/>
      <c r="M18" s="22"/>
      <c r="N18" s="438"/>
      <c r="O18" s="438"/>
      <c r="P18" s="438"/>
      <c r="Q18" s="438"/>
      <c r="R18" s="379">
        <f>SUM(R8:R12)</f>
        <v>0</v>
      </c>
      <c r="S18" s="22"/>
      <c r="T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1684" customFormat="1" ht="15" customHeight="1" x14ac:dyDescent="0.25">
      <c r="A19" s="131" t="s">
        <v>19</v>
      </c>
      <c r="B19" s="132"/>
      <c r="C19" s="132">
        <v>1345</v>
      </c>
      <c r="D19" s="28" t="s">
        <v>31</v>
      </c>
      <c r="E19" s="38">
        <v>25000</v>
      </c>
      <c r="F19" s="38">
        <v>10000</v>
      </c>
      <c r="G19" s="38">
        <v>10000</v>
      </c>
      <c r="H19" s="38">
        <v>10000</v>
      </c>
      <c r="I19" s="38">
        <v>10000</v>
      </c>
      <c r="J19" s="38">
        <v>10000</v>
      </c>
      <c r="K19" s="38">
        <v>10000</v>
      </c>
      <c r="L19" s="21"/>
      <c r="M19" s="22"/>
      <c r="N19" s="438"/>
      <c r="O19" s="438"/>
      <c r="P19" s="438"/>
      <c r="Q19" s="438"/>
      <c r="R19" s="379"/>
      <c r="S19" s="22"/>
      <c r="T19" s="21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1684" customFormat="1" ht="15" customHeight="1" x14ac:dyDescent="0.25">
      <c r="A20" s="131" t="s">
        <v>19</v>
      </c>
      <c r="B20" s="132"/>
      <c r="C20" s="132">
        <v>1347</v>
      </c>
      <c r="D20" s="28" t="s">
        <v>32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21"/>
      <c r="M20" s="22"/>
      <c r="N20" s="438"/>
      <c r="O20" s="438"/>
      <c r="P20" s="438"/>
      <c r="Q20" s="438"/>
      <c r="R20" s="379"/>
      <c r="S20" s="22"/>
      <c r="T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1684" customFormat="1" ht="15" customHeight="1" x14ac:dyDescent="0.25">
      <c r="A21" s="131"/>
      <c r="B21" s="132"/>
      <c r="C21" s="132" t="s">
        <v>33</v>
      </c>
      <c r="D21" s="28" t="s">
        <v>34</v>
      </c>
      <c r="E21" s="273">
        <v>0</v>
      </c>
      <c r="F21" s="367">
        <v>100000</v>
      </c>
      <c r="G21" s="367">
        <v>100000</v>
      </c>
      <c r="H21" s="367">
        <v>100000</v>
      </c>
      <c r="I21" s="367">
        <v>100000</v>
      </c>
      <c r="J21" s="367">
        <v>100000</v>
      </c>
      <c r="K21" s="367">
        <v>100000</v>
      </c>
      <c r="L21" s="371"/>
      <c r="M21" s="874" t="s">
        <v>1085</v>
      </c>
      <c r="N21" s="874"/>
      <c r="O21" s="22"/>
      <c r="P21" s="22"/>
      <c r="Q21" s="22"/>
      <c r="R21" s="380"/>
      <c r="S21" s="274"/>
      <c r="T21" s="274"/>
      <c r="U21" s="274"/>
      <c r="V21" s="274"/>
      <c r="W21" s="275"/>
      <c r="X21" s="22"/>
      <c r="Y21" s="22"/>
      <c r="Z21" s="22"/>
      <c r="AA21" s="22"/>
      <c r="AB21" s="22"/>
      <c r="AC21" s="22"/>
      <c r="AD21" s="22"/>
      <c r="AE21" s="22"/>
    </row>
    <row r="22" spans="1:31" s="1685" customFormat="1" ht="15" customHeight="1" x14ac:dyDescent="0.25">
      <c r="A22" s="869"/>
      <c r="B22" s="870"/>
      <c r="C22" s="870" t="s">
        <v>33</v>
      </c>
      <c r="D22" s="871" t="s">
        <v>808</v>
      </c>
      <c r="E22" s="273">
        <v>4500000</v>
      </c>
      <c r="F22" s="273">
        <f>5402000+6593846</f>
        <v>11995846</v>
      </c>
      <c r="G22" s="273">
        <v>11995846</v>
      </c>
      <c r="H22" s="273">
        <v>11995846</v>
      </c>
      <c r="I22" s="273">
        <v>4000000</v>
      </c>
      <c r="J22" s="273">
        <v>4000000</v>
      </c>
      <c r="K22" s="273">
        <f>4000000+5000000</f>
        <v>9000000</v>
      </c>
      <c r="L22" s="438"/>
      <c r="M22" s="273">
        <f>4000000</f>
        <v>4000000</v>
      </c>
      <c r="N22" s="875"/>
      <c r="O22" s="438"/>
      <c r="P22" s="438"/>
      <c r="Q22" s="438"/>
      <c r="R22" s="872"/>
      <c r="S22" s="275"/>
      <c r="T22" s="275"/>
      <c r="U22" s="275"/>
      <c r="V22" s="275"/>
      <c r="W22" s="275"/>
      <c r="X22" s="438"/>
      <c r="Y22" s="438"/>
      <c r="Z22" s="438"/>
      <c r="AA22" s="438"/>
      <c r="AB22" s="438"/>
      <c r="AC22" s="438"/>
      <c r="AD22" s="438"/>
      <c r="AE22" s="438"/>
    </row>
    <row r="23" spans="1:31" s="1684" customFormat="1" ht="15" customHeight="1" x14ac:dyDescent="0.25">
      <c r="A23" s="131"/>
      <c r="B23" s="132"/>
      <c r="C23" s="132">
        <v>1381</v>
      </c>
      <c r="D23" s="28" t="s">
        <v>810</v>
      </c>
      <c r="E23" s="273">
        <v>1000000</v>
      </c>
      <c r="F23" s="367">
        <v>1000000</v>
      </c>
      <c r="G23" s="367">
        <v>1000000</v>
      </c>
      <c r="H23" s="367">
        <v>1000000</v>
      </c>
      <c r="I23" s="367">
        <v>2000000</v>
      </c>
      <c r="J23" s="367">
        <v>2260000</v>
      </c>
      <c r="K23" s="367">
        <v>2260000</v>
      </c>
      <c r="L23" s="371"/>
      <c r="M23" s="435"/>
      <c r="N23" s="435"/>
      <c r="O23" s="435"/>
      <c r="P23" s="435"/>
      <c r="Q23" s="435"/>
      <c r="R23" s="380"/>
      <c r="S23" s="274"/>
      <c r="T23" s="274"/>
      <c r="U23" s="274"/>
      <c r="V23" s="274"/>
      <c r="W23" s="275"/>
      <c r="X23" s="22"/>
      <c r="Y23" s="22"/>
      <c r="Z23" s="22"/>
      <c r="AA23" s="22"/>
      <c r="AB23" s="22"/>
      <c r="AC23" s="22"/>
      <c r="AD23" s="22"/>
      <c r="AE23" s="22"/>
    </row>
    <row r="24" spans="1:31" s="1684" customFormat="1" ht="15" customHeight="1" x14ac:dyDescent="0.25">
      <c r="A24" s="131" t="s">
        <v>19</v>
      </c>
      <c r="B24" s="132"/>
      <c r="C24" s="132">
        <v>1381</v>
      </c>
      <c r="D24" s="28" t="s">
        <v>811</v>
      </c>
      <c r="E24" s="38">
        <v>415000</v>
      </c>
      <c r="F24" s="367">
        <v>500000</v>
      </c>
      <c r="G24" s="367">
        <v>500000</v>
      </c>
      <c r="H24" s="367">
        <v>500000</v>
      </c>
      <c r="I24" s="367">
        <v>0</v>
      </c>
      <c r="J24" s="367">
        <v>0</v>
      </c>
      <c r="K24" s="367">
        <v>0</v>
      </c>
      <c r="L24" s="372"/>
      <c r="M24" s="275"/>
      <c r="N24" s="275"/>
      <c r="O24" s="275"/>
      <c r="P24" s="275"/>
      <c r="Q24" s="275"/>
      <c r="R24" s="380"/>
      <c r="S24" s="274"/>
      <c r="T24" s="274"/>
      <c r="U24" s="274"/>
      <c r="V24" s="274"/>
      <c r="W24" s="275"/>
      <c r="X24" s="22"/>
      <c r="Y24" s="22"/>
      <c r="Z24" s="22"/>
      <c r="AA24" s="22"/>
      <c r="AB24" s="22"/>
      <c r="AC24" s="22"/>
      <c r="AD24" s="22"/>
      <c r="AE24" s="22"/>
    </row>
    <row r="25" spans="1:31" s="1684" customFormat="1" ht="15" customHeight="1" x14ac:dyDescent="0.25">
      <c r="A25" s="131" t="s">
        <v>19</v>
      </c>
      <c r="B25" s="132"/>
      <c r="C25" s="132" t="s">
        <v>37</v>
      </c>
      <c r="D25" s="28" t="s">
        <v>38</v>
      </c>
      <c r="E25" s="38">
        <v>1600000</v>
      </c>
      <c r="F25" s="38">
        <v>1400000</v>
      </c>
      <c r="G25" s="38">
        <v>1400000</v>
      </c>
      <c r="H25" s="38">
        <v>1400000</v>
      </c>
      <c r="I25" s="38">
        <v>1400000</v>
      </c>
      <c r="J25" s="38">
        <v>1850000</v>
      </c>
      <c r="K25" s="38">
        <v>1850000</v>
      </c>
      <c r="L25" s="21"/>
      <c r="M25" s="22"/>
      <c r="N25" s="438"/>
      <c r="O25" s="438"/>
      <c r="P25" s="438"/>
      <c r="Q25" s="438"/>
      <c r="R25" s="379"/>
      <c r="S25" s="22"/>
      <c r="T25" s="21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1684" customFormat="1" ht="15" customHeight="1" x14ac:dyDescent="0.25">
      <c r="A26" s="131" t="s">
        <v>19</v>
      </c>
      <c r="B26" s="132"/>
      <c r="C26" s="132">
        <v>1511</v>
      </c>
      <c r="D26" s="28" t="s">
        <v>39</v>
      </c>
      <c r="E26" s="38">
        <v>7400000</v>
      </c>
      <c r="F26" s="38">
        <v>7400000</v>
      </c>
      <c r="G26" s="38">
        <v>7400000</v>
      </c>
      <c r="H26" s="38">
        <v>7400000</v>
      </c>
      <c r="I26" s="38">
        <v>7400000</v>
      </c>
      <c r="J26" s="38">
        <v>7400000</v>
      </c>
      <c r="K26" s="38">
        <v>7400000</v>
      </c>
      <c r="L26" s="21"/>
      <c r="M26" s="22"/>
      <c r="N26" s="438"/>
      <c r="O26" s="438"/>
      <c r="P26" s="438"/>
      <c r="Q26" s="438"/>
      <c r="R26" s="379"/>
      <c r="S26" s="22"/>
      <c r="T26" s="21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1684" customFormat="1" ht="15" customHeight="1" x14ac:dyDescent="0.25">
      <c r="A27" s="131"/>
      <c r="B27" s="132"/>
      <c r="C27" s="132"/>
      <c r="D27" s="28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21"/>
      <c r="M27" s="22"/>
      <c r="N27" s="438"/>
      <c r="O27" s="438"/>
      <c r="P27" s="438"/>
      <c r="Q27" s="438"/>
      <c r="R27" s="379"/>
      <c r="S27" s="22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684" customFormat="1" ht="15" customHeight="1" x14ac:dyDescent="0.25">
      <c r="A28" s="131"/>
      <c r="B28" s="132"/>
      <c r="C28" s="132" t="s">
        <v>40</v>
      </c>
      <c r="D28" s="28" t="s">
        <v>41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21"/>
      <c r="M28" s="22"/>
      <c r="N28" s="438"/>
      <c r="O28" s="438"/>
      <c r="P28" s="438"/>
      <c r="Q28" s="438"/>
      <c r="R28" s="379"/>
      <c r="S28" s="22"/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1684" customFormat="1" ht="15" customHeight="1" x14ac:dyDescent="0.25">
      <c r="A29" s="131"/>
      <c r="B29" s="132"/>
      <c r="C29" s="132" t="s">
        <v>42</v>
      </c>
      <c r="D29" s="28" t="s">
        <v>43</v>
      </c>
      <c r="E29" s="38"/>
      <c r="F29" s="38">
        <v>0</v>
      </c>
      <c r="G29" s="38">
        <v>0</v>
      </c>
      <c r="H29" s="38">
        <v>56000</v>
      </c>
      <c r="I29" s="1234">
        <v>0</v>
      </c>
      <c r="J29" s="1234">
        <v>0</v>
      </c>
      <c r="K29" s="1234">
        <v>0</v>
      </c>
      <c r="L29" s="21"/>
      <c r="M29" s="22"/>
      <c r="N29" s="438"/>
      <c r="O29" s="438"/>
      <c r="P29" s="438"/>
      <c r="Q29" s="438"/>
      <c r="R29" s="379"/>
      <c r="S29" s="22"/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1684" customFormat="1" ht="15" customHeight="1" x14ac:dyDescent="0.25">
      <c r="A30" s="131" t="s">
        <v>19</v>
      </c>
      <c r="B30" s="132"/>
      <c r="C30" s="132" t="s">
        <v>44</v>
      </c>
      <c r="D30" s="28" t="s">
        <v>45</v>
      </c>
      <c r="E30" s="38">
        <v>100000</v>
      </c>
      <c r="F30" s="38">
        <v>100000</v>
      </c>
      <c r="G30" s="38">
        <v>100000</v>
      </c>
      <c r="H30" s="38">
        <v>100000</v>
      </c>
      <c r="I30" s="38">
        <v>0</v>
      </c>
      <c r="J30" s="38">
        <v>0</v>
      </c>
      <c r="K30" s="38">
        <v>0</v>
      </c>
      <c r="L30" s="21"/>
      <c r="M30" s="22"/>
      <c r="N30" s="438"/>
      <c r="O30" s="438"/>
      <c r="P30" s="438"/>
      <c r="Q30" s="438"/>
      <c r="R30" s="379"/>
      <c r="S30" s="22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1684" customFormat="1" ht="15" customHeight="1" x14ac:dyDescent="0.25">
      <c r="A31" s="131"/>
      <c r="B31" s="132"/>
      <c r="C31" s="132">
        <v>2460</v>
      </c>
      <c r="D31" s="28" t="s">
        <v>288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21"/>
      <c r="M31" s="22"/>
      <c r="N31" s="438"/>
      <c r="O31" s="438"/>
      <c r="P31" s="438"/>
      <c r="Q31" s="438"/>
      <c r="R31" s="379"/>
      <c r="S31" s="22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1684" customFormat="1" ht="15" customHeight="1" x14ac:dyDescent="0.25">
      <c r="A32" s="131"/>
      <c r="B32" s="132"/>
      <c r="C32" s="132">
        <v>2481</v>
      </c>
      <c r="D32" s="28" t="s">
        <v>289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21"/>
      <c r="M32" s="22"/>
      <c r="N32" s="438"/>
      <c r="O32" s="438"/>
      <c r="P32" s="438"/>
      <c r="Q32" s="438"/>
      <c r="R32" s="379"/>
      <c r="S32" s="22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1684" customFormat="1" ht="15" customHeight="1" x14ac:dyDescent="0.25">
      <c r="A33" s="131" t="s">
        <v>19</v>
      </c>
      <c r="B33" s="132"/>
      <c r="C33" s="132" t="s">
        <v>46</v>
      </c>
      <c r="D33" s="28" t="s">
        <v>47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21"/>
      <c r="M33" s="22"/>
      <c r="N33" s="438"/>
      <c r="O33" s="438"/>
      <c r="P33" s="438"/>
      <c r="Q33" s="438"/>
      <c r="R33" s="379"/>
      <c r="S33" s="22"/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1684" customFormat="1" ht="15" customHeight="1" x14ac:dyDescent="0.25">
      <c r="A34" s="131"/>
      <c r="B34" s="132"/>
      <c r="C34" s="132" t="s">
        <v>46</v>
      </c>
      <c r="D34" s="28" t="s">
        <v>1299</v>
      </c>
      <c r="E34" s="38">
        <v>0</v>
      </c>
      <c r="F34" s="38">
        <v>0</v>
      </c>
      <c r="G34" s="1166">
        <v>17973</v>
      </c>
      <c r="H34" s="1166">
        <v>17973</v>
      </c>
      <c r="I34" s="367">
        <v>0</v>
      </c>
      <c r="J34" s="367">
        <v>0</v>
      </c>
      <c r="K34" s="367">
        <v>0</v>
      </c>
      <c r="L34" s="21"/>
      <c r="M34" s="22"/>
      <c r="N34" s="438"/>
      <c r="O34" s="438"/>
      <c r="P34" s="438"/>
      <c r="Q34" s="438"/>
      <c r="R34" s="379"/>
      <c r="S34" s="22"/>
      <c r="T34" s="21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1684" customFormat="1" ht="15" customHeight="1" x14ac:dyDescent="0.25">
      <c r="A35" s="131" t="s">
        <v>19</v>
      </c>
      <c r="B35" s="132"/>
      <c r="C35" s="132">
        <v>4112</v>
      </c>
      <c r="D35" s="28" t="s">
        <v>49</v>
      </c>
      <c r="E35" s="38">
        <v>7194500</v>
      </c>
      <c r="F35" s="367">
        <v>7480000</v>
      </c>
      <c r="G35" s="1166">
        <v>7437800</v>
      </c>
      <c r="H35" s="1166">
        <v>7701600</v>
      </c>
      <c r="I35" s="1166">
        <v>7701600</v>
      </c>
      <c r="J35" s="1166">
        <v>8275000</v>
      </c>
      <c r="K35" s="1166">
        <v>8275000</v>
      </c>
      <c r="L35" s="21"/>
      <c r="M35" s="22"/>
      <c r="N35" s="438"/>
      <c r="O35" s="438"/>
      <c r="P35" s="438"/>
      <c r="Q35" s="438"/>
      <c r="R35" s="379"/>
      <c r="S35" s="22"/>
      <c r="T35" s="21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1684" customFormat="1" ht="15" customHeight="1" x14ac:dyDescent="0.25">
      <c r="A36" s="131" t="s">
        <v>19</v>
      </c>
      <c r="B36" s="132"/>
      <c r="C36" s="132">
        <v>4121</v>
      </c>
      <c r="D36" s="28" t="s">
        <v>603</v>
      </c>
      <c r="E36" s="38">
        <v>400000</v>
      </c>
      <c r="F36" s="650">
        <v>400000</v>
      </c>
      <c r="G36" s="367">
        <v>400000</v>
      </c>
      <c r="H36" s="367">
        <v>400000</v>
      </c>
      <c r="I36" s="367">
        <v>400000</v>
      </c>
      <c r="J36" s="367">
        <v>400000</v>
      </c>
      <c r="K36" s="367">
        <v>400000</v>
      </c>
      <c r="L36" s="21"/>
      <c r="M36" s="22"/>
      <c r="N36" s="438"/>
      <c r="O36" s="438"/>
      <c r="P36" s="438"/>
      <c r="Q36" s="438"/>
      <c r="R36" s="379"/>
      <c r="S36" s="22"/>
      <c r="T36" s="21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1684" customFormat="1" ht="15" customHeight="1" x14ac:dyDescent="0.25">
      <c r="A37" s="131"/>
      <c r="B37" s="132"/>
      <c r="C37" s="132">
        <v>4122</v>
      </c>
      <c r="D37" s="28" t="s">
        <v>1549</v>
      </c>
      <c r="E37" s="38"/>
      <c r="F37" s="38"/>
      <c r="G37" s="38"/>
      <c r="H37" s="38"/>
      <c r="I37" s="38">
        <v>0</v>
      </c>
      <c r="J37" s="38">
        <v>0</v>
      </c>
      <c r="K37" s="38">
        <v>0</v>
      </c>
      <c r="L37" s="21"/>
      <c r="M37" s="22"/>
      <c r="N37" s="438"/>
      <c r="O37" s="438"/>
      <c r="P37" s="438"/>
      <c r="Q37" s="438"/>
      <c r="R37" s="379"/>
      <c r="S37" s="22"/>
      <c r="T37" s="21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1684" customFormat="1" ht="15" customHeight="1" x14ac:dyDescent="0.25">
      <c r="A38" s="131"/>
      <c r="B38" s="132"/>
      <c r="C38" s="132">
        <v>4121</v>
      </c>
      <c r="D38" s="28" t="s">
        <v>604</v>
      </c>
      <c r="E38" s="38">
        <v>790100</v>
      </c>
      <c r="F38" s="38">
        <f>680100+110000</f>
        <v>790100</v>
      </c>
      <c r="G38" s="38">
        <v>790100</v>
      </c>
      <c r="H38" s="38">
        <v>790100</v>
      </c>
      <c r="I38" s="38">
        <v>800000</v>
      </c>
      <c r="J38" s="38">
        <v>800000</v>
      </c>
      <c r="K38" s="38">
        <v>800000</v>
      </c>
      <c r="L38" s="272" t="s">
        <v>605</v>
      </c>
      <c r="M38" s="22"/>
      <c r="N38" s="438"/>
      <c r="O38" s="438"/>
      <c r="P38" s="438"/>
      <c r="Q38" s="438"/>
      <c r="R38" s="379"/>
      <c r="S38" s="22"/>
      <c r="T38" s="21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1684" customFormat="1" ht="15" customHeight="1" x14ac:dyDescent="0.25">
      <c r="A39" s="131"/>
      <c r="B39" s="132"/>
      <c r="C39" s="132">
        <v>4213</v>
      </c>
      <c r="D39" s="28" t="s">
        <v>359</v>
      </c>
      <c r="E39" s="38"/>
      <c r="F39" s="38"/>
      <c r="G39" s="38"/>
      <c r="H39" s="38"/>
      <c r="I39" s="38">
        <v>0</v>
      </c>
      <c r="J39" s="38">
        <v>0</v>
      </c>
      <c r="K39" s="38">
        <v>0</v>
      </c>
      <c r="L39" s="21"/>
      <c r="M39" s="22"/>
      <c r="N39" s="438"/>
      <c r="O39" s="438"/>
      <c r="P39" s="438"/>
      <c r="Q39" s="438"/>
      <c r="R39" s="379"/>
      <c r="S39" s="22"/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s="1684" customFormat="1" ht="15" customHeight="1" x14ac:dyDescent="0.25">
      <c r="A40" s="131"/>
      <c r="B40" s="132"/>
      <c r="C40" s="132">
        <v>4213</v>
      </c>
      <c r="D40" s="28" t="s">
        <v>360</v>
      </c>
      <c r="E40" s="38"/>
      <c r="F40" s="38"/>
      <c r="G40" s="38"/>
      <c r="H40" s="38"/>
      <c r="I40" s="38">
        <v>0</v>
      </c>
      <c r="J40" s="38">
        <v>0</v>
      </c>
      <c r="K40" s="38">
        <v>0</v>
      </c>
      <c r="L40" s="21"/>
      <c r="M40" s="22"/>
      <c r="N40" s="438"/>
      <c r="O40" s="438"/>
      <c r="P40" s="438"/>
      <c r="Q40" s="438"/>
      <c r="R40" s="379"/>
      <c r="S40" s="22"/>
      <c r="T40" s="21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s="1684" customFormat="1" ht="15" customHeight="1" x14ac:dyDescent="0.25">
      <c r="A41" s="131"/>
      <c r="B41" s="132"/>
      <c r="C41" s="132">
        <v>4213</v>
      </c>
      <c r="D41" s="28" t="s">
        <v>1086</v>
      </c>
      <c r="E41" s="38">
        <v>1627750</v>
      </c>
      <c r="F41" s="38"/>
      <c r="G41" s="38"/>
      <c r="H41" s="38"/>
      <c r="I41" s="38">
        <v>0</v>
      </c>
      <c r="J41" s="38">
        <v>0</v>
      </c>
      <c r="K41" s="38">
        <v>0</v>
      </c>
      <c r="L41" s="21"/>
      <c r="M41" s="22"/>
      <c r="N41" s="438"/>
      <c r="O41" s="438"/>
      <c r="P41" s="438"/>
      <c r="Q41" s="438"/>
      <c r="R41" s="379"/>
      <c r="S41" s="22"/>
      <c r="T41" s="2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1684" customFormat="1" ht="15" customHeight="1" x14ac:dyDescent="0.25">
      <c r="A42" s="131"/>
      <c r="B42" s="132"/>
      <c r="C42" s="132">
        <v>4213</v>
      </c>
      <c r="D42" s="28" t="s">
        <v>1509</v>
      </c>
      <c r="E42" s="38">
        <v>51456</v>
      </c>
      <c r="F42" s="38"/>
      <c r="G42" s="38"/>
      <c r="H42" s="38"/>
      <c r="I42" s="1234">
        <v>368467</v>
      </c>
      <c r="J42" s="1234">
        <v>368467</v>
      </c>
      <c r="K42" s="1234">
        <v>368467</v>
      </c>
      <c r="L42" s="21"/>
      <c r="M42" s="22"/>
      <c r="N42" s="438"/>
      <c r="O42" s="438"/>
      <c r="P42" s="438"/>
      <c r="Q42" s="438"/>
      <c r="R42" s="379"/>
      <c r="S42" s="22"/>
      <c r="T42" s="21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s="1684" customFormat="1" ht="15" customHeight="1" x14ac:dyDescent="0.25">
      <c r="A43" s="131"/>
      <c r="B43" s="132"/>
      <c r="C43" s="132">
        <v>4122</v>
      </c>
      <c r="D43" s="28" t="s">
        <v>362</v>
      </c>
      <c r="E43" s="38"/>
      <c r="F43" s="38"/>
      <c r="G43" s="38"/>
      <c r="H43" s="38"/>
      <c r="I43" s="38">
        <v>0</v>
      </c>
      <c r="J43" s="38">
        <v>0</v>
      </c>
      <c r="K43" s="38">
        <v>0</v>
      </c>
      <c r="L43" s="21"/>
      <c r="M43" s="22"/>
      <c r="N43" s="438"/>
      <c r="O43" s="438"/>
      <c r="P43" s="438"/>
      <c r="Q43" s="438"/>
      <c r="R43" s="379"/>
      <c r="S43" s="22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1684" customFormat="1" ht="15" customHeight="1" x14ac:dyDescent="0.25">
      <c r="A44" s="131"/>
      <c r="B44" s="132"/>
      <c r="C44" s="132" t="s">
        <v>42</v>
      </c>
      <c r="D44" s="28" t="s">
        <v>51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21"/>
      <c r="M44" s="22"/>
      <c r="N44" s="438"/>
      <c r="O44" s="438"/>
      <c r="P44" s="438"/>
      <c r="Q44" s="438"/>
      <c r="R44" s="379"/>
      <c r="S44" s="22"/>
      <c r="T44" s="21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1684" customFormat="1" ht="15" customHeight="1" x14ac:dyDescent="0.25">
      <c r="A45" s="131"/>
      <c r="B45" s="132"/>
      <c r="C45" s="132" t="s">
        <v>52</v>
      </c>
      <c r="D45" s="28" t="s">
        <v>1087</v>
      </c>
      <c r="E45" s="38">
        <v>150000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21"/>
      <c r="M45" s="22"/>
      <c r="N45" s="438"/>
      <c r="O45" s="438"/>
      <c r="P45" s="438"/>
      <c r="Q45" s="438"/>
      <c r="R45" s="379"/>
      <c r="S45" s="22"/>
      <c r="T45" s="2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1684" customFormat="1" ht="15" customHeight="1" x14ac:dyDescent="0.25">
      <c r="A46" s="131"/>
      <c r="B46" s="132"/>
      <c r="C46" s="132">
        <v>4122</v>
      </c>
      <c r="D46" s="28" t="s">
        <v>812</v>
      </c>
      <c r="E46" s="38">
        <v>189857</v>
      </c>
      <c r="F46" s="367"/>
      <c r="G46" s="367"/>
      <c r="H46" s="367"/>
      <c r="I46" s="367">
        <v>0</v>
      </c>
      <c r="J46" s="367">
        <v>0</v>
      </c>
      <c r="K46" s="367">
        <v>0</v>
      </c>
      <c r="L46" s="21"/>
      <c r="M46" s="22"/>
      <c r="N46" s="438"/>
      <c r="O46" s="438"/>
      <c r="P46" s="438"/>
      <c r="Q46" s="438"/>
      <c r="R46" s="379"/>
      <c r="S46" s="22"/>
      <c r="T46" s="21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s="1684" customFormat="1" ht="15" customHeight="1" x14ac:dyDescent="0.25">
      <c r="A47" s="131"/>
      <c r="B47" s="132"/>
      <c r="C47" s="132" t="s">
        <v>52</v>
      </c>
      <c r="D47" s="28" t="s">
        <v>53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21"/>
      <c r="M47" s="22"/>
      <c r="N47" s="438"/>
      <c r="O47" s="438"/>
      <c r="P47" s="438"/>
      <c r="Q47" s="438"/>
      <c r="R47" s="379"/>
      <c r="S47" s="22"/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1684" customFormat="1" ht="15" customHeight="1" x14ac:dyDescent="0.25">
      <c r="A48" s="131"/>
      <c r="B48" s="132"/>
      <c r="C48" s="132" t="s">
        <v>54</v>
      </c>
      <c r="D48" s="28" t="s">
        <v>1550</v>
      </c>
      <c r="E48" s="38">
        <v>0</v>
      </c>
      <c r="F48" s="38">
        <v>0</v>
      </c>
      <c r="G48" s="38">
        <v>0</v>
      </c>
      <c r="H48" s="38">
        <v>0</v>
      </c>
      <c r="I48" s="367">
        <v>10123000</v>
      </c>
      <c r="J48" s="367">
        <v>10123000</v>
      </c>
      <c r="K48" s="367">
        <v>10123000</v>
      </c>
      <c r="L48" s="21"/>
      <c r="M48" s="22"/>
      <c r="N48" s="438"/>
      <c r="O48" s="438"/>
      <c r="P48" s="438"/>
      <c r="Q48" s="438"/>
      <c r="R48" s="379"/>
      <c r="S48" s="22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s="1684" customFormat="1" ht="15" customHeight="1" x14ac:dyDescent="0.25">
      <c r="A49" s="131"/>
      <c r="B49" s="132"/>
      <c r="C49" s="132" t="s">
        <v>54</v>
      </c>
      <c r="D49" s="28" t="s">
        <v>1430</v>
      </c>
      <c r="E49" s="38">
        <v>0</v>
      </c>
      <c r="F49" s="38">
        <v>0</v>
      </c>
      <c r="G49" s="38">
        <v>0</v>
      </c>
      <c r="H49" s="38">
        <v>0</v>
      </c>
      <c r="I49" s="367">
        <v>0</v>
      </c>
      <c r="J49" s="367">
        <v>0</v>
      </c>
      <c r="K49" s="367">
        <v>0</v>
      </c>
      <c r="L49" s="22"/>
      <c r="M49" s="22"/>
      <c r="N49" s="438"/>
      <c r="O49" s="438"/>
      <c r="P49" s="438"/>
      <c r="Q49" s="438"/>
      <c r="R49" s="379"/>
      <c r="S49" s="22"/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1684" customFormat="1" ht="15" customHeight="1" x14ac:dyDescent="0.25">
      <c r="A50" s="131"/>
      <c r="B50" s="132"/>
      <c r="C50" s="132">
        <v>4216</v>
      </c>
      <c r="D50" s="28" t="s">
        <v>1432</v>
      </c>
      <c r="E50" s="38"/>
      <c r="F50" s="38"/>
      <c r="G50" s="38"/>
      <c r="H50" s="38"/>
      <c r="I50" s="367">
        <v>0</v>
      </c>
      <c r="J50" s="367">
        <v>0</v>
      </c>
      <c r="K50" s="367">
        <v>0</v>
      </c>
      <c r="L50" s="22"/>
      <c r="M50" s="22"/>
      <c r="N50" s="438"/>
      <c r="O50" s="438"/>
      <c r="P50" s="438"/>
      <c r="Q50" s="438"/>
      <c r="R50" s="379"/>
      <c r="S50" s="22"/>
      <c r="T50" s="2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1684" customFormat="1" ht="15" customHeight="1" x14ac:dyDescent="0.25">
      <c r="A51" s="131"/>
      <c r="B51" s="132"/>
      <c r="C51" s="132" t="s">
        <v>54</v>
      </c>
      <c r="D51" s="28" t="s">
        <v>56</v>
      </c>
      <c r="E51" s="38">
        <v>693164</v>
      </c>
      <c r="F51" s="367"/>
      <c r="G51" s="367"/>
      <c r="H51" s="367"/>
      <c r="I51" s="367">
        <v>0</v>
      </c>
      <c r="J51" s="367">
        <v>0</v>
      </c>
      <c r="K51" s="367">
        <v>0</v>
      </c>
      <c r="L51" s="21"/>
      <c r="M51" s="22"/>
      <c r="N51" s="438"/>
      <c r="O51" s="438"/>
      <c r="P51" s="438"/>
      <c r="Q51" s="438"/>
      <c r="R51" s="379"/>
      <c r="S51" s="22"/>
      <c r="T51" s="2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1684" customFormat="1" ht="15" customHeight="1" x14ac:dyDescent="0.25">
      <c r="A52" s="131"/>
      <c r="B52" s="132"/>
      <c r="C52" s="132" t="s">
        <v>54</v>
      </c>
      <c r="D52" s="28" t="s">
        <v>57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21"/>
      <c r="M52" s="22"/>
      <c r="N52" s="438"/>
      <c r="O52" s="438"/>
      <c r="P52" s="438"/>
      <c r="Q52" s="438"/>
      <c r="R52" s="379"/>
      <c r="S52" s="22"/>
      <c r="T52" s="2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s="1684" customFormat="1" ht="15" customHeight="1" x14ac:dyDescent="0.25">
      <c r="A53" s="131"/>
      <c r="B53" s="132"/>
      <c r="C53" s="132" t="s">
        <v>54</v>
      </c>
      <c r="D53" s="28" t="s">
        <v>58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21"/>
      <c r="M53" s="22"/>
      <c r="N53" s="438"/>
      <c r="O53" s="438"/>
      <c r="P53" s="438"/>
      <c r="Q53" s="438"/>
      <c r="R53" s="379"/>
      <c r="S53" s="22"/>
      <c r="T53" s="2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1684" customFormat="1" ht="15" customHeight="1" x14ac:dyDescent="0.25">
      <c r="A54" s="131"/>
      <c r="B54" s="132"/>
      <c r="C54" s="132">
        <v>4216</v>
      </c>
      <c r="D54" s="28" t="s">
        <v>792</v>
      </c>
      <c r="E54" s="38">
        <v>3247111</v>
      </c>
      <c r="F54" s="367"/>
      <c r="G54" s="367"/>
      <c r="H54" s="367"/>
      <c r="I54" s="367">
        <v>0</v>
      </c>
      <c r="J54" s="367">
        <v>0</v>
      </c>
      <c r="K54" s="367">
        <v>0</v>
      </c>
      <c r="L54" s="21"/>
      <c r="M54" s="22"/>
      <c r="N54" s="438"/>
      <c r="O54" s="438"/>
      <c r="P54" s="438"/>
      <c r="Q54" s="438"/>
      <c r="R54" s="379"/>
      <c r="S54" s="22"/>
      <c r="T54" s="21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s="1684" customFormat="1" ht="15" customHeight="1" x14ac:dyDescent="0.25">
      <c r="A55" s="131"/>
      <c r="B55" s="132"/>
      <c r="C55" s="132">
        <v>4116</v>
      </c>
      <c r="D55" s="28" t="s">
        <v>611</v>
      </c>
      <c r="E55" s="38">
        <v>225</v>
      </c>
      <c r="F55" s="367"/>
      <c r="G55" s="367"/>
      <c r="H55" s="367"/>
      <c r="I55" s="367">
        <v>0</v>
      </c>
      <c r="J55" s="367">
        <v>0</v>
      </c>
      <c r="K55" s="367">
        <v>0</v>
      </c>
      <c r="L55" s="21"/>
      <c r="M55" s="22"/>
      <c r="N55" s="438"/>
      <c r="O55" s="438"/>
      <c r="P55" s="438"/>
      <c r="Q55" s="438"/>
      <c r="R55" s="379"/>
      <c r="S55" s="22"/>
      <c r="T55" s="21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1684" customFormat="1" ht="15" customHeight="1" x14ac:dyDescent="0.25">
      <c r="A56" s="131"/>
      <c r="B56" s="132"/>
      <c r="C56" s="132" t="s">
        <v>54</v>
      </c>
      <c r="D56" s="28" t="s">
        <v>59</v>
      </c>
      <c r="E56" s="38">
        <v>0</v>
      </c>
      <c r="F56" s="367">
        <v>0</v>
      </c>
      <c r="G56" s="367">
        <v>0</v>
      </c>
      <c r="H56" s="367">
        <v>0</v>
      </c>
      <c r="I56" s="367">
        <v>0</v>
      </c>
      <c r="J56" s="367">
        <v>0</v>
      </c>
      <c r="K56" s="367">
        <v>0</v>
      </c>
      <c r="L56" s="21"/>
      <c r="M56" s="22"/>
      <c r="N56" s="438"/>
      <c r="O56" s="438"/>
      <c r="P56" s="438"/>
      <c r="Q56" s="438"/>
      <c r="R56" s="379"/>
      <c r="S56" s="22"/>
      <c r="T56" s="21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1684" customFormat="1" ht="15" customHeight="1" x14ac:dyDescent="0.25">
      <c r="A57" s="131"/>
      <c r="B57" s="132"/>
      <c r="C57" s="132" t="s">
        <v>54</v>
      </c>
      <c r="D57" s="28" t="s">
        <v>60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21"/>
      <c r="M57" s="22"/>
      <c r="N57" s="438"/>
      <c r="O57" s="438"/>
      <c r="P57" s="438"/>
      <c r="Q57" s="438"/>
      <c r="R57" s="379"/>
      <c r="S57" s="22"/>
      <c r="T57" s="21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1684" customFormat="1" ht="15" customHeight="1" x14ac:dyDescent="0.25">
      <c r="A58" s="131"/>
      <c r="B58" s="132"/>
      <c r="C58" s="132" t="s">
        <v>54</v>
      </c>
      <c r="D58" s="28" t="s">
        <v>61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21"/>
      <c r="M58" s="22"/>
      <c r="N58" s="438"/>
      <c r="O58" s="438"/>
      <c r="P58" s="438"/>
      <c r="Q58" s="438"/>
      <c r="R58" s="379"/>
      <c r="S58" s="22"/>
      <c r="T58" s="21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s="1684" customFormat="1" ht="15" customHeight="1" x14ac:dyDescent="0.25">
      <c r="A59" s="131"/>
      <c r="B59" s="132"/>
      <c r="C59" s="132" t="s">
        <v>62</v>
      </c>
      <c r="D59" s="28" t="s">
        <v>619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21"/>
      <c r="M59" s="22"/>
      <c r="N59" s="438"/>
      <c r="O59" s="438"/>
      <c r="P59" s="438"/>
      <c r="Q59" s="438"/>
      <c r="R59" s="379"/>
      <c r="S59" s="22"/>
      <c r="T59" s="21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s="1684" customFormat="1" ht="15" customHeight="1" x14ac:dyDescent="0.25">
      <c r="A60" s="131"/>
      <c r="B60" s="132"/>
      <c r="C60" s="132" t="s">
        <v>54</v>
      </c>
      <c r="D60" s="28" t="s">
        <v>64</v>
      </c>
      <c r="E60" s="38">
        <v>124465</v>
      </c>
      <c r="F60" s="367"/>
      <c r="G60" s="367"/>
      <c r="H60" s="367"/>
      <c r="I60" s="367">
        <v>0</v>
      </c>
      <c r="J60" s="367">
        <v>0</v>
      </c>
      <c r="K60" s="367">
        <v>0</v>
      </c>
      <c r="L60" s="21"/>
      <c r="M60" s="22"/>
      <c r="N60" s="438"/>
      <c r="O60" s="438"/>
      <c r="P60" s="438"/>
      <c r="Q60" s="438"/>
      <c r="R60" s="379"/>
      <c r="S60" s="22"/>
      <c r="T60" s="21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1684" customFormat="1" ht="15" customHeight="1" x14ac:dyDescent="0.25">
      <c r="A61" s="131"/>
      <c r="B61" s="132"/>
      <c r="C61" s="132" t="s">
        <v>54</v>
      </c>
      <c r="D61" s="28" t="s">
        <v>612</v>
      </c>
      <c r="E61" s="38"/>
      <c r="F61" s="38"/>
      <c r="G61" s="38"/>
      <c r="H61" s="38"/>
      <c r="I61" s="38">
        <v>0</v>
      </c>
      <c r="J61" s="38">
        <v>0</v>
      </c>
      <c r="K61" s="38">
        <v>0</v>
      </c>
      <c r="L61" s="21"/>
      <c r="M61" s="22"/>
      <c r="N61" s="438"/>
      <c r="O61" s="438"/>
      <c r="P61" s="438"/>
      <c r="Q61" s="438"/>
      <c r="R61" s="379"/>
      <c r="S61" s="22"/>
      <c r="T61" s="21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s="1684" customFormat="1" ht="15" customHeight="1" x14ac:dyDescent="0.25">
      <c r="A62" s="131"/>
      <c r="B62" s="132"/>
      <c r="C62" s="132" t="s">
        <v>613</v>
      </c>
      <c r="D62" s="28" t="s">
        <v>614</v>
      </c>
      <c r="E62" s="38">
        <v>108573</v>
      </c>
      <c r="F62" s="367"/>
      <c r="G62" s="367"/>
      <c r="H62" s="367"/>
      <c r="I62" s="367">
        <v>0</v>
      </c>
      <c r="J62" s="367">
        <v>0</v>
      </c>
      <c r="K62" s="367">
        <v>0</v>
      </c>
      <c r="L62" s="21"/>
      <c r="M62" s="22"/>
      <c r="N62" s="438"/>
      <c r="O62" s="438"/>
      <c r="P62" s="438"/>
      <c r="Q62" s="438"/>
      <c r="R62" s="379"/>
      <c r="S62" s="22"/>
      <c r="T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1684" customFormat="1" ht="15" customHeight="1" x14ac:dyDescent="0.25">
      <c r="A63" s="131"/>
      <c r="B63" s="132"/>
      <c r="C63" s="132" t="s">
        <v>54</v>
      </c>
      <c r="D63" s="28" t="s">
        <v>505</v>
      </c>
      <c r="E63" s="367"/>
      <c r="F63" s="367"/>
      <c r="G63" s="367"/>
      <c r="H63" s="367"/>
      <c r="I63" s="367">
        <v>0</v>
      </c>
      <c r="J63" s="367">
        <v>1960000</v>
      </c>
      <c r="K63" s="367">
        <v>1960000</v>
      </c>
      <c r="L63" s="21"/>
      <c r="M63" s="22"/>
      <c r="N63" s="438"/>
      <c r="O63" s="438"/>
      <c r="P63" s="438"/>
      <c r="Q63" s="438"/>
      <c r="R63" s="379"/>
      <c r="S63" s="22"/>
      <c r="T63" s="21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1684" customFormat="1" ht="15" customHeight="1" x14ac:dyDescent="0.25">
      <c r="A64" s="131"/>
      <c r="B64" s="132"/>
      <c r="C64" s="132">
        <v>4222</v>
      </c>
      <c r="D64" s="28" t="s">
        <v>500</v>
      </c>
      <c r="E64" s="367"/>
      <c r="F64" s="367"/>
      <c r="G64" s="367"/>
      <c r="H64" s="367"/>
      <c r="I64" s="367">
        <v>0</v>
      </c>
      <c r="J64" s="367">
        <v>0</v>
      </c>
      <c r="K64" s="367">
        <v>0</v>
      </c>
      <c r="L64" s="21"/>
      <c r="M64" s="22"/>
      <c r="N64" s="438"/>
      <c r="O64" s="438"/>
      <c r="P64" s="438"/>
      <c r="Q64" s="438"/>
      <c r="R64" s="379"/>
      <c r="S64" s="22"/>
      <c r="T64" s="21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84" customFormat="1" ht="15" customHeight="1" x14ac:dyDescent="0.25">
      <c r="A65" s="131"/>
      <c r="B65" s="132"/>
      <c r="C65" s="132">
        <v>4222</v>
      </c>
      <c r="D65" s="28" t="s">
        <v>501</v>
      </c>
      <c r="E65" s="38"/>
      <c r="F65" s="38"/>
      <c r="G65" s="38"/>
      <c r="H65" s="38"/>
      <c r="I65" s="38">
        <v>0</v>
      </c>
      <c r="J65" s="38">
        <v>0</v>
      </c>
      <c r="K65" s="38">
        <v>0</v>
      </c>
      <c r="L65" s="21"/>
      <c r="M65" s="22"/>
      <c r="N65" s="438"/>
      <c r="O65" s="438"/>
      <c r="P65" s="438"/>
      <c r="Q65" s="438"/>
      <c r="R65" s="379"/>
      <c r="S65" s="22"/>
      <c r="T65" s="21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s="1684" customFormat="1" ht="15" customHeight="1" x14ac:dyDescent="0.25">
      <c r="A66" s="131"/>
      <c r="B66" s="132"/>
      <c r="C66" s="132">
        <v>4222</v>
      </c>
      <c r="D66" s="28" t="s">
        <v>793</v>
      </c>
      <c r="E66" s="38"/>
      <c r="F66" s="38"/>
      <c r="G66" s="38"/>
      <c r="H66" s="38"/>
      <c r="I66" s="38">
        <v>0</v>
      </c>
      <c r="J66" s="38">
        <v>0</v>
      </c>
      <c r="K66" s="38">
        <v>0</v>
      </c>
      <c r="L66" s="21"/>
      <c r="M66" s="22"/>
      <c r="N66" s="438"/>
      <c r="O66" s="438"/>
      <c r="P66" s="438"/>
      <c r="Q66" s="438"/>
      <c r="R66" s="379"/>
      <c r="S66" s="22"/>
      <c r="T66" s="2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1684" customFormat="1" ht="15" customHeight="1" x14ac:dyDescent="0.25">
      <c r="A67" s="131"/>
      <c r="B67" s="132"/>
      <c r="C67" s="592">
        <v>4122</v>
      </c>
      <c r="D67" s="28" t="s">
        <v>65</v>
      </c>
      <c r="E67" s="376">
        <v>1042000</v>
      </c>
      <c r="F67" s="367">
        <v>1000000</v>
      </c>
      <c r="G67" s="367">
        <v>1000000</v>
      </c>
      <c r="H67" s="367">
        <v>1000000</v>
      </c>
      <c r="I67" s="367">
        <v>1000000</v>
      </c>
      <c r="J67" s="367">
        <v>1279200</v>
      </c>
      <c r="K67" s="367">
        <v>1279200</v>
      </c>
      <c r="L67" s="21"/>
      <c r="M67" s="22"/>
      <c r="N67" s="438"/>
      <c r="O67" s="438"/>
      <c r="P67" s="438"/>
      <c r="Q67" s="438"/>
      <c r="R67" s="379"/>
      <c r="S67" s="22"/>
      <c r="T67" s="21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s="1684" customFormat="1" ht="15" customHeight="1" x14ac:dyDescent="0.25">
      <c r="A68" s="131"/>
      <c r="B68" s="132"/>
      <c r="C68" s="132" t="s">
        <v>54</v>
      </c>
      <c r="D68" s="28"/>
      <c r="E68" s="38"/>
      <c r="F68" s="38"/>
      <c r="G68" s="38"/>
      <c r="H68" s="38"/>
      <c r="I68" s="38">
        <v>0</v>
      </c>
      <c r="J68" s="38">
        <v>0</v>
      </c>
      <c r="K68" s="38">
        <v>0</v>
      </c>
      <c r="L68" s="272"/>
      <c r="M68" s="22"/>
      <c r="N68" s="438"/>
      <c r="O68" s="438"/>
      <c r="P68" s="438"/>
      <c r="Q68" s="438"/>
      <c r="R68" s="379"/>
      <c r="S68" s="22"/>
      <c r="T68" s="21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s="1684" customFormat="1" ht="15" customHeight="1" x14ac:dyDescent="0.25">
      <c r="A69" s="131" t="s">
        <v>71</v>
      </c>
      <c r="B69" s="132"/>
      <c r="C69" s="132" t="s">
        <v>72</v>
      </c>
      <c r="D69" s="28" t="s">
        <v>73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21"/>
      <c r="M69" s="22"/>
      <c r="N69" s="440">
        <v>2016</v>
      </c>
      <c r="O69" s="440"/>
      <c r="P69" s="440"/>
      <c r="Q69" s="440"/>
      <c r="R69" s="389">
        <v>2017</v>
      </c>
      <c r="S69" s="22"/>
      <c r="T69" s="21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1684" customFormat="1" ht="15" customHeight="1" x14ac:dyDescent="0.25">
      <c r="A70" s="131" t="s">
        <v>74</v>
      </c>
      <c r="B70" s="132" t="s">
        <v>72</v>
      </c>
      <c r="C70" s="132" t="s">
        <v>72</v>
      </c>
      <c r="D70" s="28" t="s">
        <v>75</v>
      </c>
      <c r="E70" s="38">
        <v>50000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9">
        <v>2016</v>
      </c>
      <c r="M70" s="389">
        <v>2017</v>
      </c>
      <c r="N70" s="441">
        <v>2018</v>
      </c>
      <c r="O70" s="441"/>
      <c r="P70" s="441"/>
      <c r="Q70" s="441"/>
      <c r="R70" s="652">
        <v>2019</v>
      </c>
      <c r="S70" s="389">
        <v>2018</v>
      </c>
      <c r="T70" s="318">
        <v>2019</v>
      </c>
      <c r="U70" s="389">
        <v>2020</v>
      </c>
      <c r="V70" s="389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1684" customFormat="1" ht="15" customHeight="1" x14ac:dyDescent="0.25">
      <c r="A71" s="320"/>
      <c r="B71" s="321">
        <v>2310</v>
      </c>
      <c r="C71" s="321" t="s">
        <v>76</v>
      </c>
      <c r="D71" s="322" t="s">
        <v>77</v>
      </c>
      <c r="E71" s="319">
        <v>2267000</v>
      </c>
      <c r="F71" s="319">
        <f>$R$71</f>
        <v>2660000</v>
      </c>
      <c r="G71" s="319">
        <v>2660000</v>
      </c>
      <c r="H71" s="319">
        <v>2660000</v>
      </c>
      <c r="I71" s="319">
        <v>3075000</v>
      </c>
      <c r="J71" s="319">
        <v>3075000</v>
      </c>
      <c r="K71" s="319">
        <f>$S$71</f>
        <v>3075000</v>
      </c>
      <c r="L71" s="318">
        <v>1541000</v>
      </c>
      <c r="M71" s="569">
        <v>1894000</v>
      </c>
      <c r="N71" s="570">
        <v>2267000</v>
      </c>
      <c r="O71" s="570"/>
      <c r="P71" s="570"/>
      <c r="Q71" s="570"/>
      <c r="R71" s="653">
        <v>2660000</v>
      </c>
      <c r="S71" s="569">
        <v>3075000</v>
      </c>
      <c r="T71" s="569">
        <v>3512000</v>
      </c>
      <c r="U71" s="569">
        <v>3972000</v>
      </c>
      <c r="V71" s="569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s="1684" customFormat="1" ht="15" customHeight="1" x14ac:dyDescent="0.25">
      <c r="A72" s="320" t="s">
        <v>78</v>
      </c>
      <c r="B72" s="321">
        <v>2321</v>
      </c>
      <c r="C72" s="321" t="s">
        <v>76</v>
      </c>
      <c r="D72" s="322" t="s">
        <v>79</v>
      </c>
      <c r="E72" s="319">
        <v>4989000</v>
      </c>
      <c r="F72" s="319">
        <f>$R$72</f>
        <v>5490000</v>
      </c>
      <c r="G72" s="319">
        <v>5490000</v>
      </c>
      <c r="H72" s="319">
        <v>5490000</v>
      </c>
      <c r="I72" s="319">
        <v>6016000</v>
      </c>
      <c r="J72" s="319">
        <v>6016000</v>
      </c>
      <c r="K72" s="319">
        <f>$S$72</f>
        <v>6016000</v>
      </c>
      <c r="L72" s="318">
        <v>4054000</v>
      </c>
      <c r="M72" s="569">
        <v>4510000</v>
      </c>
      <c r="N72" s="570">
        <v>4989000</v>
      </c>
      <c r="O72" s="570"/>
      <c r="P72" s="570"/>
      <c r="Q72" s="570"/>
      <c r="R72" s="653">
        <v>5490000</v>
      </c>
      <c r="S72" s="569">
        <v>6016000</v>
      </c>
      <c r="T72" s="569">
        <v>6567000</v>
      </c>
      <c r="U72" s="569">
        <v>7146000</v>
      </c>
      <c r="V72" s="569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1684" customFormat="1" ht="15" customHeight="1" x14ac:dyDescent="0.25">
      <c r="A73" s="131"/>
      <c r="B73" s="132"/>
      <c r="C73" s="132">
        <v>2111</v>
      </c>
      <c r="D73" s="28" t="s">
        <v>794</v>
      </c>
      <c r="E73" s="38">
        <v>13000</v>
      </c>
      <c r="F73" s="38"/>
      <c r="G73" s="38"/>
      <c r="H73" s="38"/>
      <c r="I73" s="38">
        <v>0</v>
      </c>
      <c r="J73" s="38">
        <v>0</v>
      </c>
      <c r="K73" s="38">
        <v>0</v>
      </c>
      <c r="L73" s="318"/>
      <c r="M73" s="318"/>
      <c r="N73" s="571"/>
      <c r="O73" s="571"/>
      <c r="P73" s="571"/>
      <c r="Q73" s="571"/>
      <c r="R73" s="654"/>
      <c r="S73" s="318"/>
      <c r="T73" s="318"/>
      <c r="U73" s="318"/>
      <c r="V73" s="318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s="1684" customFormat="1" ht="15" customHeight="1" x14ac:dyDescent="0.25">
      <c r="A74" s="131"/>
      <c r="B74" s="131">
        <v>2212</v>
      </c>
      <c r="C74" s="132">
        <v>2111</v>
      </c>
      <c r="D74" s="28" t="s">
        <v>233</v>
      </c>
      <c r="E74" s="38"/>
      <c r="F74" s="38"/>
      <c r="G74" s="38"/>
      <c r="H74" s="38"/>
      <c r="I74" s="38"/>
      <c r="J74" s="38"/>
      <c r="K74" s="376">
        <v>2500</v>
      </c>
      <c r="L74" s="318"/>
      <c r="M74" s="318"/>
      <c r="N74" s="571"/>
      <c r="O74" s="571"/>
      <c r="P74" s="571"/>
      <c r="Q74" s="571"/>
      <c r="R74" s="654"/>
      <c r="S74" s="318"/>
      <c r="T74" s="318"/>
      <c r="U74" s="318"/>
      <c r="V74" s="318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1684" customFormat="1" ht="15" customHeight="1" x14ac:dyDescent="0.25">
      <c r="A75" s="131">
        <v>3113</v>
      </c>
      <c r="B75" s="132">
        <v>3113</v>
      </c>
      <c r="C75" s="132" t="s">
        <v>80</v>
      </c>
      <c r="D75" s="28" t="s">
        <v>81</v>
      </c>
      <c r="E75" s="38">
        <v>50000</v>
      </c>
      <c r="F75" s="38">
        <v>50000</v>
      </c>
      <c r="G75" s="38">
        <v>50000</v>
      </c>
      <c r="H75" s="38">
        <v>50000</v>
      </c>
      <c r="I75" s="38">
        <v>50000</v>
      </c>
      <c r="J75" s="38">
        <v>50000</v>
      </c>
      <c r="K75" s="38">
        <v>50000</v>
      </c>
      <c r="L75" s="318">
        <f t="shared" ref="L75:U75" si="0">SUM(L71:L72)</f>
        <v>5595000</v>
      </c>
      <c r="M75" s="318">
        <f t="shared" si="0"/>
        <v>6404000</v>
      </c>
      <c r="N75" s="571">
        <f t="shared" si="0"/>
        <v>7256000</v>
      </c>
      <c r="O75" s="571"/>
      <c r="P75" s="571"/>
      <c r="Q75" s="571"/>
      <c r="R75" s="654">
        <f t="shared" si="0"/>
        <v>8150000</v>
      </c>
      <c r="S75" s="318">
        <f t="shared" si="0"/>
        <v>9091000</v>
      </c>
      <c r="T75" s="318">
        <f t="shared" si="0"/>
        <v>10079000</v>
      </c>
      <c r="U75" s="318">
        <f t="shared" si="0"/>
        <v>11118000</v>
      </c>
      <c r="V75" s="318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s="1684" customFormat="1" ht="15" customHeight="1" x14ac:dyDescent="0.25">
      <c r="A76" s="131"/>
      <c r="B76" s="132">
        <v>3113</v>
      </c>
      <c r="C76" s="132" t="s">
        <v>76</v>
      </c>
      <c r="D76" s="28" t="s">
        <v>82</v>
      </c>
      <c r="E76" s="38">
        <v>154000</v>
      </c>
      <c r="F76" s="38">
        <v>154000</v>
      </c>
      <c r="G76" s="38">
        <v>154000</v>
      </c>
      <c r="H76" s="38">
        <v>154000</v>
      </c>
      <c r="I76" s="38">
        <v>154000</v>
      </c>
      <c r="J76" s="38">
        <v>154000</v>
      </c>
      <c r="K76" s="38">
        <v>154000</v>
      </c>
      <c r="L76" s="318">
        <f>L75/200000</f>
        <v>27.975000000000001</v>
      </c>
      <c r="M76" s="389">
        <f>M75/200000</f>
        <v>32.020000000000003</v>
      </c>
      <c r="N76" s="876">
        <f>N75/200000</f>
        <v>36.28</v>
      </c>
      <c r="O76" s="876"/>
      <c r="P76" s="876"/>
      <c r="Q76" s="876"/>
      <c r="R76" s="877">
        <f>R75/200000</f>
        <v>40.75</v>
      </c>
      <c r="S76" s="877">
        <f>S75/200000</f>
        <v>45.454999999999998</v>
      </c>
      <c r="T76" s="877">
        <f>T75/200000</f>
        <v>50.395000000000003</v>
      </c>
      <c r="U76" s="877">
        <f>U75/200000</f>
        <v>55.59</v>
      </c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1684" customFormat="1" ht="15" customHeight="1" x14ac:dyDescent="0.25">
      <c r="A77" s="131"/>
      <c r="B77" s="132">
        <v>3113</v>
      </c>
      <c r="C77" s="132">
        <v>2322</v>
      </c>
      <c r="D77" s="28" t="s">
        <v>615</v>
      </c>
      <c r="E77" s="38"/>
      <c r="F77" s="38"/>
      <c r="G77" s="38"/>
      <c r="H77" s="38"/>
      <c r="I77" s="38">
        <v>0</v>
      </c>
      <c r="J77" s="38">
        <v>0</v>
      </c>
      <c r="K77" s="38">
        <v>0</v>
      </c>
      <c r="L77" s="21"/>
      <c r="M77" s="22"/>
      <c r="N77" s="439"/>
      <c r="O77" s="439"/>
      <c r="P77" s="439"/>
      <c r="Q77" s="439"/>
      <c r="R77" s="379"/>
      <c r="S77" s="21">
        <f>+S75-R75</f>
        <v>941000</v>
      </c>
      <c r="T77" s="21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s="1684" customFormat="1" ht="15" customHeight="1" x14ac:dyDescent="0.25">
      <c r="A78" s="131">
        <v>3114</v>
      </c>
      <c r="B78" s="132">
        <v>3114</v>
      </c>
      <c r="C78" s="132">
        <v>2111</v>
      </c>
      <c r="D78" s="28" t="s">
        <v>83</v>
      </c>
      <c r="E78" s="273">
        <v>0</v>
      </c>
      <c r="F78" s="273">
        <v>0</v>
      </c>
      <c r="G78" s="273">
        <v>0</v>
      </c>
      <c r="H78" s="273">
        <v>0</v>
      </c>
      <c r="I78" s="273">
        <v>0</v>
      </c>
      <c r="J78" s="273">
        <v>0</v>
      </c>
      <c r="K78" s="273">
        <v>0</v>
      </c>
      <c r="L78" s="21"/>
      <c r="M78" s="22"/>
      <c r="N78" s="438"/>
      <c r="O78" s="438"/>
      <c r="P78" s="438"/>
      <c r="Q78" s="438"/>
      <c r="R78" s="379">
        <f>+R75/12</f>
        <v>679166.66666666663</v>
      </c>
      <c r="S78" s="158">
        <f>+S77/R75</f>
        <v>0.11546012269938651</v>
      </c>
      <c r="T78" s="21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1684" customFormat="1" ht="15" customHeight="1" x14ac:dyDescent="0.25">
      <c r="A79" s="131"/>
      <c r="B79" s="132">
        <v>3114</v>
      </c>
      <c r="C79" s="132">
        <v>2132</v>
      </c>
      <c r="D79" s="28" t="s">
        <v>84</v>
      </c>
      <c r="E79" s="273">
        <v>0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21"/>
      <c r="M79" s="22"/>
      <c r="N79" s="438"/>
      <c r="O79" s="438"/>
      <c r="P79" s="438"/>
      <c r="Q79" s="438"/>
      <c r="R79" s="379"/>
      <c r="S79" s="22"/>
      <c r="T79" s="21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s="1684" customFormat="1" ht="15" customHeight="1" x14ac:dyDescent="0.25">
      <c r="A80" s="131"/>
      <c r="B80" s="132">
        <v>3314</v>
      </c>
      <c r="C80" s="132">
        <v>2111</v>
      </c>
      <c r="D80" s="28" t="s">
        <v>85</v>
      </c>
      <c r="E80" s="38">
        <v>50000</v>
      </c>
      <c r="F80" s="38">
        <v>50000</v>
      </c>
      <c r="G80" s="38">
        <v>50000</v>
      </c>
      <c r="H80" s="38">
        <v>50000</v>
      </c>
      <c r="I80" s="38">
        <v>50000</v>
      </c>
      <c r="J80" s="38">
        <v>50000</v>
      </c>
      <c r="K80" s="38">
        <v>50000</v>
      </c>
      <c r="L80" s="21"/>
      <c r="M80" s="22"/>
      <c r="N80" s="438"/>
      <c r="O80" s="438"/>
      <c r="P80" s="438"/>
      <c r="Q80" s="438"/>
      <c r="R80" s="379"/>
      <c r="S80" s="22"/>
      <c r="T80" s="21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1684" customFormat="1" ht="15" customHeight="1" x14ac:dyDescent="0.25">
      <c r="A81" s="131">
        <v>3349</v>
      </c>
      <c r="B81" s="132">
        <v>3349</v>
      </c>
      <c r="C81" s="132">
        <v>2111</v>
      </c>
      <c r="D81" s="28" t="s">
        <v>86</v>
      </c>
      <c r="E81" s="38">
        <v>340000</v>
      </c>
      <c r="F81" s="38">
        <v>200000</v>
      </c>
      <c r="G81" s="38">
        <v>200000</v>
      </c>
      <c r="H81" s="38">
        <v>200000</v>
      </c>
      <c r="I81" s="38">
        <v>250000</v>
      </c>
      <c r="J81" s="38">
        <v>300000</v>
      </c>
      <c r="K81" s="38">
        <v>300000</v>
      </c>
      <c r="L81" s="21"/>
      <c r="M81" s="22"/>
      <c r="N81" s="438"/>
      <c r="O81" s="438"/>
      <c r="P81" s="438"/>
      <c r="Q81" s="438"/>
      <c r="R81" s="379"/>
      <c r="S81" s="22"/>
      <c r="T81" s="21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1684" customFormat="1" ht="15" customHeight="1" x14ac:dyDescent="0.25">
      <c r="A82" s="131">
        <v>3399</v>
      </c>
      <c r="B82" s="132">
        <v>3399</v>
      </c>
      <c r="C82" s="132" t="s">
        <v>80</v>
      </c>
      <c r="D82" s="28" t="s">
        <v>87</v>
      </c>
      <c r="E82" s="38">
        <v>70000</v>
      </c>
      <c r="F82" s="38">
        <v>70000</v>
      </c>
      <c r="G82" s="38">
        <v>70000</v>
      </c>
      <c r="H82" s="38">
        <v>70000</v>
      </c>
      <c r="I82" s="38">
        <v>70000</v>
      </c>
      <c r="J82" s="38">
        <v>70000</v>
      </c>
      <c r="K82" s="38">
        <v>70000</v>
      </c>
      <c r="L82" s="21"/>
      <c r="M82" s="22"/>
      <c r="N82" s="438"/>
      <c r="O82" s="438"/>
      <c r="P82" s="438"/>
      <c r="Q82" s="438"/>
      <c r="R82" s="379"/>
      <c r="S82" s="22"/>
      <c r="T82" s="21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s="1684" customFormat="1" ht="15" customHeight="1" x14ac:dyDescent="0.25">
      <c r="A83" s="131"/>
      <c r="B83" s="132">
        <v>2212</v>
      </c>
      <c r="C83" s="132">
        <v>3121</v>
      </c>
      <c r="D83" s="28" t="s">
        <v>1642</v>
      </c>
      <c r="E83" s="38"/>
      <c r="F83" s="38"/>
      <c r="G83" s="38"/>
      <c r="H83" s="38"/>
      <c r="I83" s="38"/>
      <c r="J83" s="38"/>
      <c r="K83" s="376">
        <v>50000</v>
      </c>
      <c r="L83" s="21"/>
      <c r="M83" s="22"/>
      <c r="N83" s="438"/>
      <c r="O83" s="438"/>
      <c r="P83" s="438"/>
      <c r="Q83" s="438"/>
      <c r="R83" s="379"/>
      <c r="S83" s="22"/>
      <c r="T83" s="2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s="1684" customFormat="1" ht="15" customHeight="1" x14ac:dyDescent="0.25">
      <c r="A84" s="131"/>
      <c r="B84" s="132">
        <v>3399</v>
      </c>
      <c r="C84" s="132" t="s">
        <v>78</v>
      </c>
      <c r="D84" s="28" t="s">
        <v>88</v>
      </c>
      <c r="E84" s="38"/>
      <c r="F84" s="38"/>
      <c r="G84" s="38"/>
      <c r="H84" s="38"/>
      <c r="I84" s="38">
        <v>0</v>
      </c>
      <c r="J84" s="38">
        <v>0</v>
      </c>
      <c r="K84" s="38">
        <v>0</v>
      </c>
      <c r="L84" s="21"/>
      <c r="M84" s="22"/>
      <c r="N84" s="438"/>
      <c r="O84" s="438"/>
      <c r="P84" s="438"/>
      <c r="Q84" s="438"/>
      <c r="R84" s="379"/>
      <c r="S84" s="22"/>
      <c r="T84" s="21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s="1684" customFormat="1" ht="15" customHeight="1" x14ac:dyDescent="0.25">
      <c r="A85" s="131">
        <v>3412</v>
      </c>
      <c r="B85" s="132">
        <v>3412</v>
      </c>
      <c r="C85" s="132">
        <v>2132</v>
      </c>
      <c r="D85" s="28" t="s">
        <v>89</v>
      </c>
      <c r="E85" s="273">
        <v>0</v>
      </c>
      <c r="F85" s="273">
        <v>0</v>
      </c>
      <c r="G85" s="273">
        <v>0</v>
      </c>
      <c r="H85" s="273">
        <v>0</v>
      </c>
      <c r="I85" s="273">
        <v>0</v>
      </c>
      <c r="J85" s="273">
        <v>0</v>
      </c>
      <c r="K85" s="273">
        <v>0</v>
      </c>
      <c r="L85" s="21"/>
      <c r="M85" s="22"/>
      <c r="N85" s="438"/>
      <c r="O85" s="438"/>
      <c r="P85" s="438"/>
      <c r="Q85" s="438"/>
      <c r="R85" s="379"/>
      <c r="S85" s="22"/>
      <c r="T85" s="21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s="1684" customFormat="1" ht="15" customHeight="1" x14ac:dyDescent="0.25">
      <c r="A86" s="131">
        <v>3429</v>
      </c>
      <c r="B86" s="132">
        <v>3429</v>
      </c>
      <c r="C86" s="132" t="s">
        <v>80</v>
      </c>
      <c r="D86" s="28" t="s">
        <v>90</v>
      </c>
      <c r="E86" s="38">
        <v>15000</v>
      </c>
      <c r="F86" s="38">
        <v>15000</v>
      </c>
      <c r="G86" s="38">
        <v>15000</v>
      </c>
      <c r="H86" s="38">
        <v>15000</v>
      </c>
      <c r="I86" s="38">
        <v>0</v>
      </c>
      <c r="J86" s="38">
        <v>0</v>
      </c>
      <c r="K86" s="38">
        <v>0</v>
      </c>
      <c r="L86" s="21"/>
      <c r="M86" s="22"/>
      <c r="N86" s="438"/>
      <c r="O86" s="438"/>
      <c r="P86" s="438"/>
      <c r="Q86" s="438"/>
      <c r="R86" s="379"/>
      <c r="S86" s="22"/>
      <c r="T86" s="21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s="1684" customFormat="1" ht="15" customHeight="1" x14ac:dyDescent="0.25">
      <c r="A87" s="131"/>
      <c r="B87" s="132">
        <v>3429</v>
      </c>
      <c r="C87" s="132" t="s">
        <v>76</v>
      </c>
      <c r="D87" s="28" t="s">
        <v>91</v>
      </c>
      <c r="E87" s="38">
        <v>6000</v>
      </c>
      <c r="F87" s="38">
        <v>6000</v>
      </c>
      <c r="G87" s="38">
        <v>6000</v>
      </c>
      <c r="H87" s="38">
        <v>6000</v>
      </c>
      <c r="I87" s="38">
        <v>0</v>
      </c>
      <c r="J87" s="38">
        <v>0</v>
      </c>
      <c r="K87" s="38">
        <v>0</v>
      </c>
      <c r="L87" s="21"/>
      <c r="M87" s="22"/>
      <c r="N87" s="438"/>
      <c r="O87" s="438"/>
      <c r="P87" s="438"/>
      <c r="Q87" s="438"/>
      <c r="R87" s="379"/>
      <c r="S87" s="22"/>
      <c r="T87" s="21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s="1684" customFormat="1" ht="15" customHeight="1" x14ac:dyDescent="0.25">
      <c r="A88" s="131">
        <v>3744</v>
      </c>
      <c r="B88" s="132">
        <v>3744</v>
      </c>
      <c r="C88" s="132" t="s">
        <v>92</v>
      </c>
      <c r="D88" s="28" t="s">
        <v>93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21"/>
      <c r="M88" s="22"/>
      <c r="N88" s="438"/>
      <c r="O88" s="438"/>
      <c r="P88" s="438"/>
      <c r="Q88" s="438"/>
      <c r="R88" s="379"/>
      <c r="S88" s="22"/>
      <c r="T88" s="21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s="1684" customFormat="1" ht="15" customHeight="1" x14ac:dyDescent="0.25">
      <c r="A89" s="131">
        <v>3519</v>
      </c>
      <c r="B89" s="132">
        <v>3519</v>
      </c>
      <c r="C89" s="132">
        <v>2111</v>
      </c>
      <c r="D89" s="28" t="s">
        <v>94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21"/>
      <c r="M89" s="22"/>
      <c r="N89" s="438"/>
      <c r="O89" s="438"/>
      <c r="P89" s="438"/>
      <c r="Q89" s="438"/>
      <c r="R89" s="379"/>
      <c r="S89" s="22"/>
      <c r="T89" s="21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s="1684" customFormat="1" ht="15" customHeight="1" x14ac:dyDescent="0.25">
      <c r="A90" s="131"/>
      <c r="B90" s="132">
        <v>3519</v>
      </c>
      <c r="C90" s="132">
        <v>2132</v>
      </c>
      <c r="D90" s="28" t="s">
        <v>95</v>
      </c>
      <c r="E90" s="38">
        <v>775800</v>
      </c>
      <c r="F90" s="38">
        <v>775800</v>
      </c>
      <c r="G90" s="38">
        <v>775800</v>
      </c>
      <c r="H90" s="38">
        <v>775800</v>
      </c>
      <c r="I90" s="38">
        <v>775800</v>
      </c>
      <c r="J90" s="38">
        <v>775800</v>
      </c>
      <c r="K90" s="38">
        <v>775800</v>
      </c>
      <c r="L90" s="21"/>
      <c r="M90" s="22"/>
      <c r="N90" s="438"/>
      <c r="O90" s="438"/>
      <c r="P90" s="438"/>
      <c r="Q90" s="438"/>
      <c r="R90" s="379"/>
      <c r="S90" s="22"/>
      <c r="T90" s="21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s="1684" customFormat="1" ht="15" customHeight="1" x14ac:dyDescent="0.25">
      <c r="A91" s="131"/>
      <c r="B91" s="132">
        <v>3519</v>
      </c>
      <c r="C91" s="132" t="s">
        <v>92</v>
      </c>
      <c r="D91" s="28" t="s">
        <v>96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21"/>
      <c r="M91" s="22"/>
      <c r="N91" s="438"/>
      <c r="O91" s="438"/>
      <c r="P91" s="438"/>
      <c r="Q91" s="438"/>
      <c r="R91" s="379"/>
      <c r="S91" s="22"/>
      <c r="T91" s="21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s="1684" customFormat="1" ht="15" customHeight="1" x14ac:dyDescent="0.25">
      <c r="A92" s="131">
        <v>3612</v>
      </c>
      <c r="B92" s="132">
        <v>3612</v>
      </c>
      <c r="C92" s="132">
        <v>2111</v>
      </c>
      <c r="D92" s="28" t="s">
        <v>97</v>
      </c>
      <c r="E92" s="38">
        <v>1600000</v>
      </c>
      <c r="F92" s="38">
        <v>1600000</v>
      </c>
      <c r="G92" s="38">
        <v>1600000</v>
      </c>
      <c r="H92" s="38">
        <v>1600000</v>
      </c>
      <c r="I92" s="38">
        <v>1600000</v>
      </c>
      <c r="J92" s="38">
        <v>1600000</v>
      </c>
      <c r="K92" s="38">
        <v>1600000</v>
      </c>
      <c r="L92" s="21"/>
      <c r="M92" s="22"/>
      <c r="N92" s="438"/>
      <c r="O92" s="438"/>
      <c r="P92" s="438"/>
      <c r="Q92" s="438"/>
      <c r="R92" s="379"/>
      <c r="S92" s="22"/>
      <c r="T92" s="21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s="1684" customFormat="1" ht="15" customHeight="1" x14ac:dyDescent="0.25">
      <c r="A93" s="131"/>
      <c r="B93" s="132">
        <v>3612</v>
      </c>
      <c r="C93" s="132">
        <v>2132</v>
      </c>
      <c r="D93" s="28" t="s">
        <v>98</v>
      </c>
      <c r="E93" s="38">
        <v>3010000</v>
      </c>
      <c r="F93" s="38">
        <v>3010000</v>
      </c>
      <c r="G93" s="38">
        <v>3010000</v>
      </c>
      <c r="H93" s="38">
        <v>3010000</v>
      </c>
      <c r="I93" s="38">
        <v>3031000</v>
      </c>
      <c r="J93" s="38">
        <v>3031000</v>
      </c>
      <c r="K93" s="38">
        <v>3031000</v>
      </c>
      <c r="L93" s="21"/>
      <c r="M93" s="22"/>
      <c r="N93" s="438"/>
      <c r="O93" s="438"/>
      <c r="P93" s="438"/>
      <c r="Q93" s="438"/>
      <c r="R93" s="379"/>
      <c r="S93" s="22"/>
      <c r="T93" s="21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s="1684" customFormat="1" ht="15" customHeight="1" x14ac:dyDescent="0.25">
      <c r="A94" s="131"/>
      <c r="B94" s="132">
        <v>3612</v>
      </c>
      <c r="C94" s="132" t="s">
        <v>99</v>
      </c>
      <c r="D94" s="28" t="s">
        <v>100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21"/>
      <c r="M94" s="22"/>
      <c r="N94" s="438"/>
      <c r="O94" s="438"/>
      <c r="P94" s="438"/>
      <c r="Q94" s="438"/>
      <c r="R94" s="379"/>
      <c r="S94" s="22"/>
      <c r="T94" s="21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s="1684" customFormat="1" ht="15" customHeight="1" x14ac:dyDescent="0.25">
      <c r="A95" s="131"/>
      <c r="B95" s="132">
        <v>3612</v>
      </c>
      <c r="C95" s="132" t="s">
        <v>78</v>
      </c>
      <c r="D95" s="28" t="s">
        <v>101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21"/>
      <c r="M95" s="22"/>
      <c r="N95" s="438"/>
      <c r="O95" s="438"/>
      <c r="P95" s="438"/>
      <c r="Q95" s="438"/>
      <c r="R95" s="379"/>
      <c r="S95" s="22"/>
      <c r="T95" s="21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s="1684" customFormat="1" ht="15" customHeight="1" x14ac:dyDescent="0.25">
      <c r="A96" s="131">
        <v>3613</v>
      </c>
      <c r="B96" s="132">
        <v>3613</v>
      </c>
      <c r="C96" s="132" t="s">
        <v>80</v>
      </c>
      <c r="D96" s="28" t="s">
        <v>102</v>
      </c>
      <c r="E96" s="38">
        <v>81000</v>
      </c>
      <c r="F96" s="38">
        <v>81000</v>
      </c>
      <c r="G96" s="38">
        <v>81000</v>
      </c>
      <c r="H96" s="38">
        <v>81000</v>
      </c>
      <c r="I96" s="38">
        <v>81000</v>
      </c>
      <c r="J96" s="38">
        <v>81000</v>
      </c>
      <c r="K96" s="38">
        <v>81000</v>
      </c>
      <c r="L96" s="21"/>
      <c r="M96" s="22"/>
      <c r="N96" s="438"/>
      <c r="O96" s="438"/>
      <c r="P96" s="438"/>
      <c r="Q96" s="438"/>
      <c r="R96" s="379"/>
      <c r="S96" s="22"/>
      <c r="T96" s="21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45" s="1684" customFormat="1" ht="15" customHeight="1" x14ac:dyDescent="0.25">
      <c r="A97" s="131"/>
      <c r="B97" s="132">
        <v>3613</v>
      </c>
      <c r="C97" s="132">
        <v>2322</v>
      </c>
      <c r="D97" s="28" t="s">
        <v>804</v>
      </c>
      <c r="E97" s="38">
        <v>264500</v>
      </c>
      <c r="F97" s="574"/>
      <c r="G97" s="367"/>
      <c r="H97" s="367"/>
      <c r="I97" s="367">
        <v>0</v>
      </c>
      <c r="J97" s="367">
        <v>0</v>
      </c>
      <c r="K97" s="376">
        <v>14600</v>
      </c>
      <c r="L97" s="21"/>
      <c r="M97" s="22"/>
      <c r="N97" s="438"/>
      <c r="O97" s="438"/>
      <c r="P97" s="438"/>
      <c r="Q97" s="438"/>
      <c r="R97" s="379"/>
      <c r="S97" s="22"/>
      <c r="T97" s="21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45" s="1684" customFormat="1" ht="15" customHeight="1" x14ac:dyDescent="0.25">
      <c r="A98" s="131"/>
      <c r="B98" s="132">
        <v>3613</v>
      </c>
      <c r="C98" s="132">
        <v>2132</v>
      </c>
      <c r="D98" s="28" t="s">
        <v>965</v>
      </c>
      <c r="E98" s="38">
        <v>80000</v>
      </c>
      <c r="F98" s="574">
        <v>240000</v>
      </c>
      <c r="G98" s="367">
        <v>240000</v>
      </c>
      <c r="H98" s="367">
        <v>240000</v>
      </c>
      <c r="I98" s="367">
        <v>240000</v>
      </c>
      <c r="J98" s="367">
        <v>240000</v>
      </c>
      <c r="K98" s="367">
        <v>240000</v>
      </c>
      <c r="L98" s="21"/>
      <c r="M98" s="22"/>
      <c r="N98" s="438"/>
      <c r="O98" s="438"/>
      <c r="P98" s="438"/>
      <c r="Q98" s="438"/>
      <c r="R98" s="379"/>
      <c r="S98" s="22"/>
      <c r="T98" s="21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45" s="1684" customFormat="1" ht="15" customHeight="1" x14ac:dyDescent="0.25">
      <c r="A99" s="131"/>
      <c r="B99" s="132">
        <v>3613</v>
      </c>
      <c r="C99" s="132">
        <v>2111</v>
      </c>
      <c r="D99" s="28" t="s">
        <v>966</v>
      </c>
      <c r="E99" s="38">
        <v>26000</v>
      </c>
      <c r="F99" s="574">
        <v>78000</v>
      </c>
      <c r="G99" s="367">
        <v>78000</v>
      </c>
      <c r="H99" s="367">
        <v>78000</v>
      </c>
      <c r="I99" s="367">
        <v>78000</v>
      </c>
      <c r="J99" s="367">
        <v>78000</v>
      </c>
      <c r="K99" s="367">
        <v>78000</v>
      </c>
      <c r="L99" s="21"/>
      <c r="M99" s="22"/>
      <c r="N99" s="438"/>
      <c r="O99" s="438"/>
      <c r="P99" s="438"/>
      <c r="Q99" s="438"/>
      <c r="R99" s="379"/>
      <c r="S99" s="22"/>
      <c r="T99" s="21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45" s="1684" customFormat="1" ht="15" customHeight="1" x14ac:dyDescent="0.25">
      <c r="A100" s="131">
        <v>3613</v>
      </c>
      <c r="B100" s="132">
        <v>3613</v>
      </c>
      <c r="C100" s="132">
        <v>2132</v>
      </c>
      <c r="D100" s="28" t="s">
        <v>103</v>
      </c>
      <c r="E100" s="38">
        <v>400000</v>
      </c>
      <c r="F100" s="38">
        <v>400000</v>
      </c>
      <c r="G100" s="38">
        <v>400000</v>
      </c>
      <c r="H100" s="38">
        <v>400000</v>
      </c>
      <c r="I100" s="38">
        <v>400000</v>
      </c>
      <c r="J100" s="38">
        <v>400000</v>
      </c>
      <c r="K100" s="38">
        <v>400000</v>
      </c>
      <c r="L100" s="21"/>
      <c r="M100" s="22"/>
      <c r="N100" s="438"/>
      <c r="O100" s="438"/>
      <c r="P100" s="438"/>
      <c r="Q100" s="438"/>
      <c r="R100" s="379"/>
      <c r="S100" s="22"/>
      <c r="T100" s="21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S100" s="1686">
        <f>-'Sumář příjmů kapitol'!E255</f>
        <v>0</v>
      </c>
    </row>
    <row r="101" spans="1:45" s="1684" customFormat="1" ht="15" customHeight="1" x14ac:dyDescent="0.25">
      <c r="A101" s="131"/>
      <c r="B101" s="132">
        <v>3613</v>
      </c>
      <c r="C101" s="132">
        <v>2132</v>
      </c>
      <c r="D101" s="28" t="s">
        <v>824</v>
      </c>
      <c r="E101" s="38">
        <v>0</v>
      </c>
      <c r="F101" s="38">
        <v>1063000</v>
      </c>
      <c r="G101" s="38">
        <v>1063000</v>
      </c>
      <c r="H101" s="38">
        <v>1063000</v>
      </c>
      <c r="I101" s="38">
        <v>1063000</v>
      </c>
      <c r="J101" s="38">
        <v>1063000</v>
      </c>
      <c r="K101" s="38">
        <v>1063000</v>
      </c>
      <c r="L101" s="21"/>
      <c r="M101" s="22"/>
      <c r="N101" s="438"/>
      <c r="O101" s="438"/>
      <c r="P101" s="438"/>
      <c r="Q101" s="438"/>
      <c r="R101" s="379"/>
      <c r="S101" s="22"/>
      <c r="T101" s="21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S101" s="1686"/>
    </row>
    <row r="102" spans="1:45" s="1684" customFormat="1" ht="15" customHeight="1" x14ac:dyDescent="0.25">
      <c r="A102" s="320">
        <v>3632</v>
      </c>
      <c r="B102" s="321">
        <v>3632</v>
      </c>
      <c r="C102" s="321">
        <v>2111</v>
      </c>
      <c r="D102" s="322" t="s">
        <v>104</v>
      </c>
      <c r="E102" s="319">
        <v>450000</v>
      </c>
      <c r="F102" s="319">
        <v>450000</v>
      </c>
      <c r="G102" s="319">
        <v>450000</v>
      </c>
      <c r="H102" s="319">
        <v>450000</v>
      </c>
      <c r="I102" s="319">
        <v>250000</v>
      </c>
      <c r="J102" s="319">
        <v>250000</v>
      </c>
      <c r="K102" s="443">
        <v>250000</v>
      </c>
      <c r="L102" s="575" t="s">
        <v>391</v>
      </c>
      <c r="M102" s="655"/>
      <c r="N102" s="656"/>
      <c r="O102" s="656"/>
      <c r="P102" s="656"/>
      <c r="Q102" s="656"/>
      <c r="R102" s="657"/>
      <c r="S102" s="655"/>
      <c r="T102" s="575"/>
      <c r="U102" s="655"/>
      <c r="V102" s="655"/>
      <c r="W102" s="655"/>
      <c r="X102" s="655"/>
      <c r="Y102" s="655"/>
      <c r="Z102" s="655"/>
      <c r="AA102" s="655"/>
      <c r="AB102" s="655"/>
      <c r="AC102" s="655"/>
      <c r="AD102" s="655"/>
      <c r="AE102" s="655"/>
    </row>
    <row r="103" spans="1:45" s="1684" customFormat="1" ht="15" customHeight="1" x14ac:dyDescent="0.25">
      <c r="A103" s="131">
        <v>3631</v>
      </c>
      <c r="B103" s="132">
        <v>3631</v>
      </c>
      <c r="C103" s="132" t="s">
        <v>76</v>
      </c>
      <c r="D103" s="28" t="s">
        <v>105</v>
      </c>
      <c r="E103" s="38">
        <v>1700</v>
      </c>
      <c r="F103" s="367">
        <v>0</v>
      </c>
      <c r="G103" s="367">
        <v>0</v>
      </c>
      <c r="H103" s="367">
        <v>0</v>
      </c>
      <c r="I103" s="367">
        <v>0</v>
      </c>
      <c r="J103" s="367">
        <v>0</v>
      </c>
      <c r="K103" s="367">
        <v>0</v>
      </c>
      <c r="L103" s="21"/>
      <c r="M103" s="22"/>
      <c r="N103" s="438"/>
      <c r="O103" s="438"/>
      <c r="P103" s="438"/>
      <c r="Q103" s="438"/>
      <c r="R103" s="379"/>
      <c r="S103" s="22"/>
      <c r="T103" s="21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45" s="1684" customFormat="1" ht="15" customHeight="1" x14ac:dyDescent="0.25">
      <c r="A104" s="131"/>
      <c r="B104" s="132">
        <v>3633</v>
      </c>
      <c r="C104" s="132" t="s">
        <v>80</v>
      </c>
      <c r="D104" s="28" t="s">
        <v>106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21"/>
      <c r="M104" s="22"/>
      <c r="N104" s="438"/>
      <c r="O104" s="438"/>
      <c r="P104" s="438"/>
      <c r="Q104" s="438"/>
      <c r="R104" s="379"/>
      <c r="S104" s="22"/>
      <c r="T104" s="21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45" s="1684" customFormat="1" ht="15" customHeight="1" x14ac:dyDescent="0.25">
      <c r="A105" s="320">
        <v>3722</v>
      </c>
      <c r="B105" s="321">
        <v>3722</v>
      </c>
      <c r="C105" s="321" t="s">
        <v>80</v>
      </c>
      <c r="D105" s="322" t="s">
        <v>107</v>
      </c>
      <c r="E105" s="319">
        <v>800000</v>
      </c>
      <c r="F105" s="319">
        <v>800000</v>
      </c>
      <c r="G105" s="319">
        <v>800000</v>
      </c>
      <c r="H105" s="319">
        <v>800000</v>
      </c>
      <c r="I105" s="319">
        <v>800000</v>
      </c>
      <c r="J105" s="319">
        <v>1000000</v>
      </c>
      <c r="K105" s="319">
        <v>1000000</v>
      </c>
      <c r="L105" s="21"/>
      <c r="M105" s="22"/>
      <c r="N105" s="438"/>
      <c r="O105" s="438"/>
      <c r="P105" s="438"/>
      <c r="Q105" s="438"/>
      <c r="R105" s="379"/>
      <c r="S105" s="22"/>
      <c r="T105" s="21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45" s="1684" customFormat="1" ht="15" customHeight="1" x14ac:dyDescent="0.25">
      <c r="A106" s="131">
        <v>4351</v>
      </c>
      <c r="B106" s="132">
        <v>4351</v>
      </c>
      <c r="C106" s="132" t="s">
        <v>80</v>
      </c>
      <c r="D106" s="28" t="s">
        <v>795</v>
      </c>
      <c r="E106" s="38">
        <v>450000</v>
      </c>
      <c r="F106" s="38">
        <v>350000</v>
      </c>
      <c r="G106" s="38">
        <v>350000</v>
      </c>
      <c r="H106" s="38">
        <v>350000</v>
      </c>
      <c r="I106" s="38">
        <v>350000</v>
      </c>
      <c r="J106" s="38">
        <v>350000</v>
      </c>
      <c r="K106" s="38">
        <v>350000</v>
      </c>
      <c r="L106" s="21"/>
      <c r="M106" s="22"/>
      <c r="N106" s="438"/>
      <c r="O106" s="438"/>
      <c r="P106" s="438"/>
      <c r="Q106" s="438"/>
      <c r="R106" s="379"/>
      <c r="S106" s="22"/>
      <c r="T106" s="21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45" s="1684" customFormat="1" ht="15" customHeight="1" x14ac:dyDescent="0.25">
      <c r="A107" s="131">
        <v>5311</v>
      </c>
      <c r="B107" s="132">
        <v>5311</v>
      </c>
      <c r="C107" s="132">
        <v>2321</v>
      </c>
      <c r="D107" s="28" t="s">
        <v>616</v>
      </c>
      <c r="E107" s="38"/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21"/>
      <c r="M107" s="22"/>
      <c r="N107" s="438"/>
      <c r="O107" s="438"/>
      <c r="P107" s="438"/>
      <c r="Q107" s="438"/>
      <c r="R107" s="379"/>
      <c r="S107" s="22"/>
      <c r="T107" s="21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45" s="1684" customFormat="1" ht="15" customHeight="1" x14ac:dyDescent="0.25">
      <c r="A108" s="131">
        <v>5512</v>
      </c>
      <c r="B108" s="132">
        <v>5512</v>
      </c>
      <c r="C108" s="132">
        <v>2111</v>
      </c>
      <c r="D108" s="28" t="s">
        <v>109</v>
      </c>
      <c r="E108" s="38">
        <v>20000</v>
      </c>
      <c r="F108" s="38">
        <v>20000</v>
      </c>
      <c r="G108" s="38">
        <v>20000</v>
      </c>
      <c r="H108" s="38">
        <v>20000</v>
      </c>
      <c r="I108" s="38">
        <v>20000</v>
      </c>
      <c r="J108" s="38">
        <v>20000</v>
      </c>
      <c r="K108" s="38">
        <v>20000</v>
      </c>
      <c r="L108" s="21"/>
      <c r="M108" s="22"/>
      <c r="N108" s="438"/>
      <c r="O108" s="438"/>
      <c r="P108" s="438"/>
      <c r="Q108" s="438"/>
      <c r="R108" s="379"/>
      <c r="S108" s="22"/>
      <c r="T108" s="21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45" s="1684" customFormat="1" ht="15" customHeight="1" x14ac:dyDescent="0.25">
      <c r="A109" s="131">
        <v>5512</v>
      </c>
      <c r="B109" s="132">
        <v>5512</v>
      </c>
      <c r="C109" s="132">
        <v>2132</v>
      </c>
      <c r="D109" s="28" t="s">
        <v>110</v>
      </c>
      <c r="E109" s="38">
        <v>24000</v>
      </c>
      <c r="F109" s="38">
        <v>24000</v>
      </c>
      <c r="G109" s="38">
        <v>24000</v>
      </c>
      <c r="H109" s="38">
        <v>24000</v>
      </c>
      <c r="I109" s="38">
        <v>24000</v>
      </c>
      <c r="J109" s="38">
        <v>24000</v>
      </c>
      <c r="K109" s="38">
        <v>24000</v>
      </c>
      <c r="L109" s="21"/>
      <c r="M109" s="22"/>
      <c r="N109" s="438"/>
      <c r="O109" s="438"/>
      <c r="P109" s="438"/>
      <c r="Q109" s="438"/>
      <c r="R109" s="379"/>
      <c r="S109" s="22"/>
      <c r="T109" s="21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45" s="1684" customFormat="1" ht="15" customHeight="1" x14ac:dyDescent="0.25">
      <c r="A110" s="131"/>
      <c r="B110" s="132">
        <v>5512</v>
      </c>
      <c r="C110" s="132">
        <v>2322</v>
      </c>
      <c r="D110" s="28" t="s">
        <v>1088</v>
      </c>
      <c r="E110" s="38">
        <v>28000</v>
      </c>
      <c r="F110" s="38"/>
      <c r="G110" s="38"/>
      <c r="H110" s="38"/>
      <c r="I110" s="38">
        <v>0</v>
      </c>
      <c r="J110" s="38">
        <v>0</v>
      </c>
      <c r="K110" s="38">
        <v>0</v>
      </c>
      <c r="L110" s="21"/>
      <c r="M110" s="22"/>
      <c r="N110" s="438"/>
      <c r="O110" s="438"/>
      <c r="P110" s="438"/>
      <c r="Q110" s="438"/>
      <c r="R110" s="379"/>
      <c r="S110" s="22"/>
      <c r="T110" s="21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45" s="1684" customFormat="1" ht="15" customHeight="1" x14ac:dyDescent="0.25">
      <c r="A111" s="131"/>
      <c r="B111" s="132">
        <v>5512</v>
      </c>
      <c r="C111" s="132">
        <v>3121</v>
      </c>
      <c r="D111" s="28" t="s">
        <v>349</v>
      </c>
      <c r="E111" s="38"/>
      <c r="F111" s="38"/>
      <c r="G111" s="38"/>
      <c r="H111" s="38"/>
      <c r="I111" s="38">
        <v>0</v>
      </c>
      <c r="J111" s="38">
        <v>0</v>
      </c>
      <c r="K111" s="38">
        <v>0</v>
      </c>
      <c r="L111" s="21"/>
      <c r="M111" s="22"/>
      <c r="N111" s="438"/>
      <c r="O111" s="438"/>
      <c r="P111" s="438"/>
      <c r="Q111" s="438"/>
      <c r="R111" s="379"/>
      <c r="S111" s="22"/>
      <c r="T111" s="21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45" s="1684" customFormat="1" ht="15" customHeight="1" x14ac:dyDescent="0.25">
      <c r="A112" s="131"/>
      <c r="B112" s="132">
        <v>5512</v>
      </c>
      <c r="C112" s="132" t="s">
        <v>99</v>
      </c>
      <c r="D112" s="28" t="s">
        <v>111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21"/>
      <c r="M112" s="22"/>
      <c r="N112" s="438"/>
      <c r="O112" s="438"/>
      <c r="P112" s="438"/>
      <c r="Q112" s="438"/>
      <c r="R112" s="379"/>
      <c r="S112" s="22"/>
      <c r="T112" s="21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s="1684" customFormat="1" ht="15" customHeight="1" x14ac:dyDescent="0.25">
      <c r="A113" s="131">
        <v>6171</v>
      </c>
      <c r="B113" s="132">
        <v>6171</v>
      </c>
      <c r="C113" s="132" t="s">
        <v>78</v>
      </c>
      <c r="D113" s="28" t="s">
        <v>112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21"/>
      <c r="M113" s="22"/>
      <c r="N113" s="438"/>
      <c r="O113" s="438"/>
      <c r="P113" s="438"/>
      <c r="Q113" s="438"/>
      <c r="R113" s="379"/>
      <c r="S113" s="22"/>
      <c r="T113" s="21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s="1684" customFormat="1" ht="15" customHeight="1" x14ac:dyDescent="0.25">
      <c r="A114" s="131"/>
      <c r="B114" s="132">
        <v>6171</v>
      </c>
      <c r="C114" s="132" t="s">
        <v>80</v>
      </c>
      <c r="D114" s="28" t="s">
        <v>113</v>
      </c>
      <c r="E114" s="38"/>
      <c r="F114" s="38"/>
      <c r="G114" s="38"/>
      <c r="H114" s="38"/>
      <c r="I114" s="38">
        <v>0</v>
      </c>
      <c r="J114" s="38">
        <v>0</v>
      </c>
      <c r="K114" s="38">
        <v>0</v>
      </c>
      <c r="L114" s="21"/>
      <c r="M114" s="22"/>
      <c r="N114" s="438"/>
      <c r="O114" s="438"/>
      <c r="P114" s="438"/>
      <c r="Q114" s="438"/>
      <c r="R114" s="379"/>
      <c r="S114" s="22"/>
      <c r="T114" s="21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s="1684" customFormat="1" ht="15" customHeight="1" x14ac:dyDescent="0.25">
      <c r="A115" s="131"/>
      <c r="B115" s="132">
        <v>6171</v>
      </c>
      <c r="C115" s="132">
        <v>2111</v>
      </c>
      <c r="D115" s="28" t="s">
        <v>114</v>
      </c>
      <c r="E115" s="38">
        <v>7000</v>
      </c>
      <c r="F115" s="38">
        <v>3000</v>
      </c>
      <c r="G115" s="38">
        <v>3000</v>
      </c>
      <c r="H115" s="38">
        <v>3000</v>
      </c>
      <c r="I115" s="38">
        <v>3000</v>
      </c>
      <c r="J115" s="38">
        <v>3000</v>
      </c>
      <c r="K115" s="376">
        <v>18000</v>
      </c>
      <c r="L115" s="21"/>
      <c r="M115" s="22"/>
      <c r="N115" s="438"/>
      <c r="O115" s="438"/>
      <c r="P115" s="438"/>
      <c r="Q115" s="438"/>
      <c r="R115" s="379"/>
      <c r="S115" s="22"/>
      <c r="T115" s="21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s="1684" customFormat="1" ht="15" customHeight="1" x14ac:dyDescent="0.25">
      <c r="A116" s="131">
        <v>6310</v>
      </c>
      <c r="B116" s="132">
        <v>6310</v>
      </c>
      <c r="C116" s="132">
        <v>2141</v>
      </c>
      <c r="D116" s="28" t="s">
        <v>115</v>
      </c>
      <c r="E116" s="38">
        <v>10000</v>
      </c>
      <c r="F116" s="38">
        <v>10000</v>
      </c>
      <c r="G116" s="38">
        <v>10000</v>
      </c>
      <c r="H116" s="38">
        <v>10000</v>
      </c>
      <c r="I116" s="38">
        <v>10000</v>
      </c>
      <c r="J116" s="38">
        <v>10000</v>
      </c>
      <c r="K116" s="38">
        <v>10000</v>
      </c>
      <c r="L116" s="21"/>
      <c r="M116" s="22"/>
      <c r="N116" s="438"/>
      <c r="O116" s="438"/>
      <c r="P116" s="438"/>
      <c r="Q116" s="438"/>
      <c r="R116" s="379"/>
      <c r="S116" s="22"/>
      <c r="T116" s="21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s="1684" customFormat="1" ht="15" customHeight="1" x14ac:dyDescent="0.25">
      <c r="A117" s="131"/>
      <c r="B117" s="132">
        <v>6310</v>
      </c>
      <c r="C117" s="132" t="s">
        <v>116</v>
      </c>
      <c r="D117" s="28" t="s">
        <v>1298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21"/>
      <c r="M117" s="22"/>
      <c r="N117" s="438"/>
      <c r="O117" s="438"/>
      <c r="P117" s="438"/>
      <c r="Q117" s="438"/>
      <c r="R117" s="379"/>
      <c r="S117" s="22"/>
      <c r="T117" s="21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s="1684" customFormat="1" ht="15" customHeight="1" x14ac:dyDescent="0.25">
      <c r="A118" s="131"/>
      <c r="B118" s="132">
        <v>5311</v>
      </c>
      <c r="C118" s="132">
        <v>2212</v>
      </c>
      <c r="D118" s="28" t="s">
        <v>814</v>
      </c>
      <c r="E118" s="38">
        <v>96000</v>
      </c>
      <c r="F118" s="591"/>
      <c r="G118" s="1166">
        <v>2000</v>
      </c>
      <c r="H118" s="1166">
        <v>2000</v>
      </c>
      <c r="I118" s="1166">
        <v>0</v>
      </c>
      <c r="J118" s="1166">
        <v>113000</v>
      </c>
      <c r="K118" s="376">
        <v>173000</v>
      </c>
      <c r="L118" s="21"/>
      <c r="M118" s="22"/>
      <c r="N118" s="438"/>
      <c r="O118" s="438"/>
      <c r="P118" s="438"/>
      <c r="Q118" s="438"/>
      <c r="R118" s="379"/>
      <c r="S118" s="22"/>
      <c r="T118" s="21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s="1684" customFormat="1" ht="15" customHeight="1" x14ac:dyDescent="0.25">
      <c r="A119" s="131"/>
      <c r="B119" s="132">
        <v>6310</v>
      </c>
      <c r="C119" s="132">
        <v>2212</v>
      </c>
      <c r="D119" s="28" t="s">
        <v>813</v>
      </c>
      <c r="E119" s="367">
        <v>17300</v>
      </c>
      <c r="F119" s="574">
        <v>4500</v>
      </c>
      <c r="G119" s="1166">
        <v>7700</v>
      </c>
      <c r="H119" s="1166">
        <v>7700</v>
      </c>
      <c r="I119" s="1166">
        <v>0</v>
      </c>
      <c r="J119" s="1166">
        <v>0</v>
      </c>
      <c r="K119" s="376">
        <v>107000</v>
      </c>
      <c r="L119" s="21"/>
      <c r="M119" s="22"/>
      <c r="N119" s="438"/>
      <c r="O119" s="438"/>
      <c r="P119" s="438"/>
      <c r="Q119" s="438"/>
      <c r="R119" s="379"/>
      <c r="S119" s="22"/>
      <c r="T119" s="21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s="1684" customFormat="1" ht="15" customHeight="1" x14ac:dyDescent="0.25">
      <c r="A120" s="131">
        <v>6409</v>
      </c>
      <c r="B120" s="132">
        <v>6409</v>
      </c>
      <c r="C120" s="132" t="s">
        <v>92</v>
      </c>
      <c r="D120" s="28" t="s">
        <v>93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76">
        <v>24000</v>
      </c>
      <c r="L120" s="21"/>
      <c r="M120" s="22"/>
      <c r="N120" s="438"/>
      <c r="O120" s="438"/>
      <c r="P120" s="438"/>
      <c r="Q120" s="438"/>
      <c r="R120" s="379"/>
      <c r="S120" s="22"/>
      <c r="T120" s="21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s="1684" customFormat="1" ht="15" customHeight="1" x14ac:dyDescent="0.25">
      <c r="A121" s="131"/>
      <c r="B121" s="132">
        <v>6409</v>
      </c>
      <c r="C121" s="132">
        <v>3122</v>
      </c>
      <c r="D121" s="28" t="s">
        <v>639</v>
      </c>
      <c r="E121" s="38">
        <v>200000</v>
      </c>
      <c r="F121" s="38">
        <v>200000</v>
      </c>
      <c r="G121" s="38">
        <v>200000</v>
      </c>
      <c r="H121" s="38">
        <v>200000</v>
      </c>
      <c r="I121" s="38">
        <v>200000</v>
      </c>
      <c r="J121" s="38">
        <v>200000</v>
      </c>
      <c r="K121" s="38">
        <v>200000</v>
      </c>
      <c r="L121" s="21"/>
      <c r="M121" s="22"/>
      <c r="N121" s="438"/>
      <c r="O121" s="438"/>
      <c r="P121" s="438"/>
      <c r="Q121" s="438"/>
      <c r="R121" s="379"/>
      <c r="S121" s="22"/>
      <c r="T121" s="21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s="1684" customFormat="1" ht="15" customHeight="1" x14ac:dyDescent="0.25">
      <c r="A122" s="131"/>
      <c r="B122" s="132">
        <v>6409</v>
      </c>
      <c r="C122" s="132">
        <v>3122</v>
      </c>
      <c r="D122" s="28" t="s">
        <v>640</v>
      </c>
      <c r="E122" s="38">
        <v>50000</v>
      </c>
      <c r="F122" s="38">
        <v>50000</v>
      </c>
      <c r="G122" s="38">
        <v>50000</v>
      </c>
      <c r="H122" s="38">
        <v>50000</v>
      </c>
      <c r="I122" s="38">
        <v>50000</v>
      </c>
      <c r="J122" s="38">
        <v>50000</v>
      </c>
      <c r="K122" s="38">
        <v>50000</v>
      </c>
      <c r="L122" s="21"/>
      <c r="M122" s="22"/>
      <c r="N122" s="438"/>
      <c r="O122" s="438"/>
      <c r="P122" s="438"/>
      <c r="Q122" s="438"/>
      <c r="R122" s="379"/>
      <c r="S122" s="22"/>
      <c r="T122" s="21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s="1684" customFormat="1" ht="15" customHeight="1" x14ac:dyDescent="0.25">
      <c r="A123" s="131"/>
      <c r="B123" s="132">
        <v>6409</v>
      </c>
      <c r="C123" s="132">
        <v>3122</v>
      </c>
      <c r="D123" s="28" t="s">
        <v>641</v>
      </c>
      <c r="E123" s="38">
        <v>30000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575"/>
      <c r="M123" s="22"/>
      <c r="N123" s="438"/>
      <c r="O123" s="438"/>
      <c r="P123" s="438"/>
      <c r="Q123" s="438"/>
      <c r="R123" s="379"/>
      <c r="S123" s="22"/>
      <c r="T123" s="21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s="1684" customFormat="1" ht="15" customHeight="1" x14ac:dyDescent="0.25">
      <c r="A124" s="131"/>
      <c r="B124" s="132">
        <v>6409</v>
      </c>
      <c r="C124" s="132">
        <v>3111</v>
      </c>
      <c r="D124" s="28" t="s">
        <v>805</v>
      </c>
      <c r="E124" s="38">
        <v>36108</v>
      </c>
      <c r="F124" s="574">
        <v>26000</v>
      </c>
      <c r="G124" s="367">
        <v>26000</v>
      </c>
      <c r="H124" s="367">
        <v>26000</v>
      </c>
      <c r="I124" s="367">
        <v>26000</v>
      </c>
      <c r="J124" s="367">
        <v>26000</v>
      </c>
      <c r="K124" s="376">
        <v>35000</v>
      </c>
      <c r="L124" s="21"/>
      <c r="M124" s="22"/>
      <c r="N124" s="438"/>
      <c r="O124" s="438"/>
      <c r="P124" s="438"/>
      <c r="Q124" s="438"/>
      <c r="R124" s="379"/>
      <c r="S124" s="22"/>
      <c r="T124" s="21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s="1684" customFormat="1" ht="15" customHeight="1" x14ac:dyDescent="0.25">
      <c r="A125" s="131"/>
      <c r="B125" s="132">
        <v>6409</v>
      </c>
      <c r="C125" s="132">
        <v>2132</v>
      </c>
      <c r="D125" s="28" t="s">
        <v>815</v>
      </c>
      <c r="E125" s="38">
        <v>4400</v>
      </c>
      <c r="F125" s="591">
        <v>4400</v>
      </c>
      <c r="G125" s="367">
        <v>4400</v>
      </c>
      <c r="H125" s="367">
        <v>4400</v>
      </c>
      <c r="I125" s="367">
        <v>4400</v>
      </c>
      <c r="J125" s="367">
        <v>4400</v>
      </c>
      <c r="K125" s="367">
        <v>4400</v>
      </c>
      <c r="L125" s="21"/>
      <c r="M125" s="22"/>
      <c r="N125" s="438"/>
      <c r="O125" s="438"/>
      <c r="P125" s="438"/>
      <c r="Q125" s="438"/>
      <c r="R125" s="379"/>
      <c r="S125" s="22"/>
      <c r="T125" s="21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s="1684" customFormat="1" ht="15" customHeight="1" x14ac:dyDescent="0.25">
      <c r="A126" s="131"/>
      <c r="B126" s="132">
        <v>6409</v>
      </c>
      <c r="C126" s="132">
        <v>2229</v>
      </c>
      <c r="D126" s="28" t="s">
        <v>618</v>
      </c>
      <c r="E126" s="38"/>
      <c r="F126" s="38"/>
      <c r="G126" s="38"/>
      <c r="H126" s="38"/>
      <c r="I126" s="38">
        <v>0</v>
      </c>
      <c r="J126" s="38">
        <v>0</v>
      </c>
      <c r="K126" s="38">
        <v>0</v>
      </c>
      <c r="L126" s="21"/>
      <c r="M126" s="22"/>
      <c r="N126" s="438"/>
      <c r="O126" s="438"/>
      <c r="P126" s="438"/>
      <c r="Q126" s="438"/>
      <c r="R126" s="379"/>
      <c r="S126" s="22"/>
      <c r="T126" s="21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s="1684" customFormat="1" ht="15" customHeight="1" x14ac:dyDescent="0.25">
      <c r="A127" s="131"/>
      <c r="B127" s="132">
        <v>6409</v>
      </c>
      <c r="C127" s="132" t="s">
        <v>119</v>
      </c>
      <c r="D127" s="28" t="s">
        <v>120</v>
      </c>
      <c r="E127" s="38">
        <v>33910</v>
      </c>
      <c r="F127" s="38">
        <v>34000</v>
      </c>
      <c r="G127" s="38">
        <v>34000</v>
      </c>
      <c r="H127" s="38">
        <v>34000</v>
      </c>
      <c r="I127" s="38">
        <v>34000</v>
      </c>
      <c r="J127" s="38">
        <v>34000</v>
      </c>
      <c r="K127" s="38">
        <v>34000</v>
      </c>
      <c r="L127" s="21"/>
      <c r="M127" s="22"/>
      <c r="N127" s="438"/>
      <c r="O127" s="438"/>
      <c r="P127" s="438"/>
      <c r="Q127" s="438"/>
      <c r="R127" s="379"/>
      <c r="S127" s="22"/>
      <c r="T127" s="21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s="1684" customFormat="1" ht="15" customHeight="1" x14ac:dyDescent="0.25">
      <c r="A128" s="131">
        <v>2321</v>
      </c>
      <c r="B128" s="132">
        <v>2321</v>
      </c>
      <c r="C128" s="132" t="s">
        <v>80</v>
      </c>
      <c r="D128" s="28" t="s">
        <v>123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21"/>
      <c r="M128" s="22"/>
      <c r="N128" s="438"/>
      <c r="O128" s="438"/>
      <c r="P128" s="438"/>
      <c r="Q128" s="438"/>
      <c r="R128" s="379"/>
      <c r="S128" s="22"/>
      <c r="T128" s="21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s="1684" customFormat="1" ht="15" customHeight="1" thickBot="1" x14ac:dyDescent="0.3">
      <c r="A129" s="133">
        <v>6409</v>
      </c>
      <c r="B129" s="134">
        <v>6409</v>
      </c>
      <c r="C129" s="134">
        <v>2119</v>
      </c>
      <c r="D129" s="29" t="s">
        <v>1297</v>
      </c>
      <c r="E129" s="38">
        <v>280000</v>
      </c>
      <c r="F129" s="38">
        <v>460000</v>
      </c>
      <c r="G129" s="1166">
        <v>560000</v>
      </c>
      <c r="H129" s="1166">
        <v>560000</v>
      </c>
      <c r="I129" s="1166">
        <v>400000</v>
      </c>
      <c r="J129" s="1166">
        <v>400000</v>
      </c>
      <c r="K129" s="1166">
        <v>400000</v>
      </c>
      <c r="L129" s="21"/>
      <c r="M129" s="22"/>
      <c r="N129" s="438"/>
      <c r="O129" s="438"/>
      <c r="P129" s="438"/>
      <c r="Q129" s="438"/>
      <c r="R129" s="379"/>
      <c r="S129" s="22"/>
      <c r="T129" s="21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s="1687" customFormat="1" ht="15" customHeight="1" thickBot="1" x14ac:dyDescent="0.3">
      <c r="A130" s="135" t="s">
        <v>274</v>
      </c>
      <c r="B130" s="136"/>
      <c r="C130" s="136"/>
      <c r="D130" s="137"/>
      <c r="E130" s="140">
        <f>SUM(E8:E129)</f>
        <v>119011919</v>
      </c>
      <c r="F130" s="140">
        <f>SUM(F8:F129)</f>
        <v>127492646</v>
      </c>
      <c r="G130" s="140">
        <v>129673619</v>
      </c>
      <c r="H130" s="140">
        <v>131993419</v>
      </c>
      <c r="I130" s="140">
        <v>148346267</v>
      </c>
      <c r="J130" s="140">
        <v>152431867</v>
      </c>
      <c r="K130" s="140">
        <f>SUM(K8:K129)</f>
        <v>157713967</v>
      </c>
      <c r="L130" s="138"/>
      <c r="M130" s="138"/>
      <c r="N130" s="265"/>
      <c r="O130" s="265"/>
      <c r="P130" s="265"/>
      <c r="Q130" s="265"/>
      <c r="R130" s="381"/>
      <c r="S130" s="139"/>
      <c r="T130" s="138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</row>
    <row r="131" spans="1:31" s="1687" customFormat="1" ht="15" customHeight="1" thickBot="1" x14ac:dyDescent="0.3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38"/>
      <c r="M131" s="139"/>
      <c r="N131" s="265"/>
      <c r="O131" s="265"/>
      <c r="P131" s="265"/>
      <c r="Q131" s="265"/>
      <c r="R131" s="381"/>
      <c r="S131" s="139"/>
      <c r="T131" s="138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</row>
    <row r="132" spans="1:31" s="1687" customFormat="1" ht="16.5" customHeight="1" thickBot="1" x14ac:dyDescent="0.3">
      <c r="A132" s="1924" t="s">
        <v>273</v>
      </c>
      <c r="B132" s="1925"/>
      <c r="C132" s="1925"/>
      <c r="D132" s="1926"/>
      <c r="E132" s="140">
        <f>SUM(E133:E138)</f>
        <v>24165154.809999999</v>
      </c>
      <c r="F132" s="140">
        <f>SUM(F133:F138)</f>
        <v>27000903</v>
      </c>
      <c r="G132" s="140">
        <v>133533884</v>
      </c>
      <c r="H132" s="140">
        <v>133533884</v>
      </c>
      <c r="I132" s="140">
        <v>90858791</v>
      </c>
      <c r="J132" s="140">
        <v>89088871</v>
      </c>
      <c r="K132" s="140">
        <f>SUM(K133:K138)</f>
        <v>89088871</v>
      </c>
      <c r="L132" s="138"/>
      <c r="M132" s="139"/>
      <c r="N132" s="265"/>
      <c r="O132" s="265"/>
      <c r="P132" s="265"/>
      <c r="Q132" s="265"/>
      <c r="R132" s="381"/>
      <c r="S132" s="139"/>
      <c r="T132" s="138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</row>
    <row r="133" spans="1:31" s="1688" customFormat="1" ht="15" x14ac:dyDescent="0.25">
      <c r="A133" s="159"/>
      <c r="B133" s="160"/>
      <c r="C133" s="161" t="s">
        <v>66</v>
      </c>
      <c r="D133" s="162" t="s">
        <v>1373</v>
      </c>
      <c r="E133" s="163">
        <v>18307655</v>
      </c>
      <c r="F133" s="163">
        <v>25000000</v>
      </c>
      <c r="G133" s="163">
        <v>23257200</v>
      </c>
      <c r="H133" s="163">
        <v>23257200</v>
      </c>
      <c r="I133" s="163">
        <v>27000000</v>
      </c>
      <c r="J133" s="163">
        <v>25459000</v>
      </c>
      <c r="K133" s="1838">
        <v>25459000</v>
      </c>
      <c r="L133" s="164"/>
      <c r="M133" s="165"/>
      <c r="N133" s="442"/>
      <c r="O133" s="442"/>
      <c r="P133" s="442"/>
      <c r="Q133" s="442"/>
      <c r="R133" s="382"/>
      <c r="S133" s="165"/>
      <c r="T133" s="164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</row>
    <row r="134" spans="1:31" s="1688" customFormat="1" ht="15" x14ac:dyDescent="0.25">
      <c r="A134" s="166"/>
      <c r="B134" s="167"/>
      <c r="C134" s="168" t="s">
        <v>66</v>
      </c>
      <c r="D134" s="169" t="s">
        <v>67</v>
      </c>
      <c r="E134" s="170">
        <v>5857499.8099999996</v>
      </c>
      <c r="F134" s="170">
        <v>2000903</v>
      </c>
      <c r="G134" s="170">
        <v>276684</v>
      </c>
      <c r="H134" s="170">
        <v>276684</v>
      </c>
      <c r="I134" s="170">
        <v>0</v>
      </c>
      <c r="J134" s="170">
        <v>0</v>
      </c>
      <c r="K134" s="170">
        <v>0</v>
      </c>
      <c r="L134" s="164"/>
      <c r="M134" s="165"/>
      <c r="N134" s="442"/>
      <c r="O134" s="442"/>
      <c r="P134" s="442"/>
      <c r="Q134" s="442"/>
      <c r="R134" s="382"/>
      <c r="S134" s="165"/>
      <c r="T134" s="164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</row>
    <row r="135" spans="1:31" s="1688" customFormat="1" ht="15" hidden="1" x14ac:dyDescent="0.25">
      <c r="A135" s="166"/>
      <c r="B135" s="167"/>
      <c r="C135" s="168" t="s">
        <v>66</v>
      </c>
      <c r="D135" s="169" t="s">
        <v>68</v>
      </c>
      <c r="E135" s="170"/>
      <c r="F135" s="170"/>
      <c r="G135" s="170"/>
      <c r="H135" s="170"/>
      <c r="I135" s="170"/>
      <c r="J135" s="170"/>
      <c r="K135" s="170"/>
      <c r="L135" s="164"/>
      <c r="M135" s="165"/>
      <c r="N135" s="442"/>
      <c r="O135" s="442"/>
      <c r="P135" s="442"/>
      <c r="Q135" s="442"/>
      <c r="R135" s="382"/>
      <c r="S135" s="165"/>
      <c r="T135" s="164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</row>
    <row r="136" spans="1:31" s="1688" customFormat="1" ht="15" hidden="1" x14ac:dyDescent="0.25">
      <c r="A136" s="166"/>
      <c r="B136" s="167"/>
      <c r="C136" s="168" t="s">
        <v>66</v>
      </c>
      <c r="D136" s="169" t="s">
        <v>69</v>
      </c>
      <c r="E136" s="170"/>
      <c r="F136" s="170"/>
      <c r="G136" s="170"/>
      <c r="H136" s="170"/>
      <c r="I136" s="170"/>
      <c r="J136" s="170"/>
      <c r="K136" s="170"/>
      <c r="L136" s="164"/>
      <c r="M136" s="165"/>
      <c r="N136" s="442"/>
      <c r="O136" s="442"/>
      <c r="P136" s="442"/>
      <c r="Q136" s="442"/>
      <c r="R136" s="382"/>
      <c r="S136" s="165"/>
      <c r="T136" s="164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</row>
    <row r="137" spans="1:31" s="1688" customFormat="1" ht="15" hidden="1" x14ac:dyDescent="0.25">
      <c r="A137" s="166"/>
      <c r="B137" s="167"/>
      <c r="C137" s="168" t="s">
        <v>66</v>
      </c>
      <c r="D137" s="169" t="s">
        <v>70</v>
      </c>
      <c r="E137" s="170"/>
      <c r="F137" s="170"/>
      <c r="G137" s="170"/>
      <c r="H137" s="170"/>
      <c r="I137" s="170"/>
      <c r="J137" s="170"/>
      <c r="K137" s="170"/>
      <c r="L137" s="164"/>
      <c r="M137" s="165"/>
      <c r="N137" s="442"/>
      <c r="O137" s="442"/>
      <c r="P137" s="442"/>
      <c r="Q137" s="442"/>
      <c r="R137" s="382"/>
      <c r="S137" s="165"/>
      <c r="T137" s="164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</row>
    <row r="138" spans="1:31" s="1688" customFormat="1" ht="15.75" thickBot="1" x14ac:dyDescent="0.3">
      <c r="A138" s="166"/>
      <c r="B138" s="167"/>
      <c r="C138" s="168" t="s">
        <v>121</v>
      </c>
      <c r="D138" s="169" t="s">
        <v>122</v>
      </c>
      <c r="E138" s="170"/>
      <c r="F138" s="170"/>
      <c r="G138" s="170">
        <v>110000000</v>
      </c>
      <c r="H138" s="170">
        <v>110000000</v>
      </c>
      <c r="I138" s="170">
        <v>63858791</v>
      </c>
      <c r="J138" s="170">
        <v>63629871</v>
      </c>
      <c r="K138" s="170">
        <f>110000000-46370129</f>
        <v>63629871</v>
      </c>
      <c r="L138" s="164"/>
      <c r="M138" s="165"/>
      <c r="N138" s="442"/>
      <c r="O138" s="442"/>
      <c r="P138" s="442"/>
      <c r="Q138" s="442"/>
      <c r="R138" s="382"/>
      <c r="S138" s="165"/>
      <c r="T138" s="164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</row>
    <row r="139" spans="1:31" s="1689" customFormat="1" ht="20.25" customHeight="1" thickBot="1" x14ac:dyDescent="0.3">
      <c r="A139" s="1918" t="s">
        <v>124</v>
      </c>
      <c r="B139" s="1919"/>
      <c r="C139" s="1919"/>
      <c r="D139" s="1920"/>
      <c r="E139" s="30">
        <f>+E130+E132</f>
        <v>143177073.81</v>
      </c>
      <c r="F139" s="30">
        <f>+F130+F132</f>
        <v>154493549</v>
      </c>
      <c r="G139" s="30">
        <v>263207503</v>
      </c>
      <c r="H139" s="30">
        <v>265527303</v>
      </c>
      <c r="I139" s="30">
        <v>239205058</v>
      </c>
      <c r="J139" s="30">
        <v>241520738</v>
      </c>
      <c r="K139" s="30">
        <f>+K130+K132</f>
        <v>246802838</v>
      </c>
      <c r="L139" s="32"/>
      <c r="M139" s="33"/>
      <c r="N139" s="265"/>
      <c r="O139" s="265"/>
      <c r="P139" s="265"/>
      <c r="Q139" s="265"/>
      <c r="R139" s="383"/>
      <c r="S139" s="33"/>
      <c r="T139" s="32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ht="12.75" customHeight="1" x14ac:dyDescent="0.2"/>
    <row r="141" spans="1:31" ht="12.75" customHeight="1" x14ac:dyDescent="0.2"/>
    <row r="142" spans="1:31" ht="12.75" customHeight="1" x14ac:dyDescent="0.2">
      <c r="D142" s="1696"/>
      <c r="E142" s="1697"/>
      <c r="F142" s="1697"/>
      <c r="G142" s="1697"/>
      <c r="H142" s="1697"/>
      <c r="I142" s="1697"/>
      <c r="J142" s="1697"/>
      <c r="K142" s="1697"/>
      <c r="L142" s="1697"/>
      <c r="M142" s="1697"/>
      <c r="N142" s="1698"/>
      <c r="O142" s="1698"/>
      <c r="P142" s="1698"/>
      <c r="Q142" s="1698"/>
    </row>
    <row r="143" spans="1:31" ht="12.75" customHeight="1" x14ac:dyDescent="0.2">
      <c r="D143" s="1696"/>
      <c r="E143" s="1697"/>
      <c r="F143" s="1697"/>
      <c r="G143" s="1697"/>
      <c r="H143" s="1697"/>
      <c r="I143" s="1697"/>
      <c r="J143" s="1697"/>
      <c r="K143" s="1697"/>
      <c r="L143" s="1697"/>
      <c r="M143" s="1697"/>
      <c r="N143" s="1698"/>
      <c r="O143" s="1698"/>
      <c r="P143" s="1698"/>
      <c r="Q143" s="1698"/>
    </row>
    <row r="144" spans="1:31" x14ac:dyDescent="0.2">
      <c r="D144" s="1696"/>
      <c r="E144" s="1697"/>
    </row>
  </sheetData>
  <mergeCells count="3">
    <mergeCell ref="A139:D139"/>
    <mergeCell ref="A6:D6"/>
    <mergeCell ref="A132:D132"/>
  </mergeCells>
  <phoneticPr fontId="5" type="noConversion"/>
  <pageMargins left="0.31496062992125984" right="0.31496062992125984" top="0.19685039370078741" bottom="0.19685039370078741" header="0.31496062992125984" footer="0.31496062992125984"/>
  <pageSetup paperSize="9" scale="85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5"/>
  <sheetViews>
    <sheetView tabSelected="1" topLeftCell="A4" workbookViewId="0">
      <pane xSplit="9" ySplit="4" topLeftCell="J59" activePane="bottomRight" state="frozen"/>
      <selection activeCell="A4" sqref="A4"/>
      <selection pane="topRight" activeCell="J4" sqref="J4"/>
      <selection pane="bottomLeft" activeCell="A8" sqref="A8"/>
      <selection pane="bottomRight" activeCell="I49" sqref="I49"/>
    </sheetView>
  </sheetViews>
  <sheetFormatPr defaultRowHeight="12.75" outlineLevelCol="2" x14ac:dyDescent="0.2"/>
  <cols>
    <col min="1" max="1" width="8.140625" style="1699" customWidth="1"/>
    <col min="2" max="2" width="29.42578125" style="1682" customWidth="1"/>
    <col min="3" max="3" width="21" style="1692" hidden="1" customWidth="1" outlineLevel="2"/>
    <col min="4" max="4" width="18.140625" style="1692" hidden="1" customWidth="1" outlineLevel="2"/>
    <col min="5" max="6" width="12.42578125" style="1692" hidden="1" customWidth="1" outlineLevel="2"/>
    <col min="7" max="7" width="12.42578125" style="1692" customWidth="1" collapsed="1"/>
    <col min="8" max="8" width="12.42578125" style="1692" customWidth="1"/>
    <col min="9" max="9" width="14.85546875" style="1692" bestFit="1" customWidth="1"/>
    <col min="10" max="10" width="10.85546875" style="1693" bestFit="1" customWidth="1"/>
    <col min="11" max="11" width="12.28515625" style="1693" bestFit="1" customWidth="1"/>
    <col min="12" max="12" width="13.140625" style="1693" bestFit="1" customWidth="1"/>
    <col min="13" max="13" width="11.7109375" style="1693" customWidth="1"/>
    <col min="14" max="14" width="11.28515625" style="1693" bestFit="1" customWidth="1"/>
    <col min="15" max="16" width="11.28515625" style="1700" customWidth="1" outlineLevel="1"/>
    <col min="17" max="17" width="11.28515625" style="1693" bestFit="1" customWidth="1"/>
    <col min="18" max="21" width="10.42578125" style="1693" customWidth="1"/>
    <col min="22" max="22" width="11.28515625" style="1693" bestFit="1" customWidth="1"/>
    <col min="23" max="24" width="10.42578125" style="1693" customWidth="1"/>
    <col min="25" max="25" width="11.28515625" style="1693" customWidth="1"/>
    <col min="26" max="26" width="11.28515625" style="1700" customWidth="1" outlineLevel="1"/>
    <col min="27" max="27" width="12.42578125" style="1700" customWidth="1" outlineLevel="1"/>
    <col min="28" max="28" width="10.42578125" style="1693" customWidth="1"/>
    <col min="29" max="30" width="10.42578125" style="1700" customWidth="1" outlineLevel="1"/>
    <col min="31" max="31" width="11.28515625" style="1693" bestFit="1" customWidth="1"/>
    <col min="32" max="33" width="11.28515625" style="1700" customWidth="1" outlineLevel="1"/>
    <col min="34" max="37" width="10.42578125" style="1693" customWidth="1"/>
    <col min="38" max="39" width="10.42578125" style="1700" customWidth="1" outlineLevel="1"/>
    <col min="40" max="40" width="11.28515625" style="1693" bestFit="1" customWidth="1"/>
    <col min="41" max="42" width="10.42578125" style="1700" customWidth="1" outlineLevel="1"/>
    <col min="43" max="43" width="11.28515625" style="1693" bestFit="1" customWidth="1"/>
    <col min="44" max="45" width="11.28515625" style="1700" customWidth="1" outlineLevel="1"/>
    <col min="46" max="46" width="10.42578125" style="1693" customWidth="1"/>
    <col min="47" max="48" width="10.42578125" style="1700" customWidth="1" outlineLevel="1"/>
    <col min="49" max="49" width="10.42578125" style="1693" customWidth="1"/>
    <col min="50" max="51" width="10.42578125" style="1700" customWidth="1" outlineLevel="1"/>
    <col min="52" max="52" width="10.42578125" style="1693" customWidth="1"/>
    <col min="53" max="54" width="10.42578125" style="1700" customWidth="1" outlineLevel="1"/>
    <col min="55" max="55" width="11.28515625" style="1693" bestFit="1" customWidth="1"/>
    <col min="56" max="57" width="11.28515625" style="1700" customWidth="1" outlineLevel="1"/>
    <col min="58" max="58" width="10.42578125" style="1693" customWidth="1"/>
    <col min="59" max="60" width="10.42578125" style="1700" customWidth="1" outlineLevel="1"/>
    <col min="61" max="62" width="12.42578125" style="1693" customWidth="1"/>
    <col min="63" max="64" width="12.42578125" style="1700" customWidth="1" outlineLevel="1"/>
    <col min="65" max="66" width="10.42578125" style="1693" customWidth="1"/>
    <col min="67" max="68" width="10.42578125" style="1700" customWidth="1" outlineLevel="1"/>
    <col min="69" max="69" width="12.42578125" style="1693" bestFit="1" customWidth="1"/>
    <col min="70" max="71" width="12.42578125" style="1700" customWidth="1" outlineLevel="1"/>
    <col min="72" max="72" width="10.42578125" style="1693" customWidth="1"/>
    <col min="73" max="73" width="13.140625" style="1693" bestFit="1" customWidth="1"/>
    <col min="74" max="75" width="13.140625" style="1700" customWidth="1" outlineLevel="2"/>
    <col min="76" max="76" width="12.5703125" style="1693" customWidth="1"/>
    <col min="77" max="77" width="11.42578125" style="1693" customWidth="1"/>
    <col min="78" max="78" width="11.5703125" style="1693" customWidth="1"/>
    <col min="79" max="79" width="10.42578125" style="1693" customWidth="1"/>
    <col min="80" max="81" width="10.42578125" style="1700" customWidth="1" outlineLevel="1"/>
    <col min="82" max="83" width="10.42578125" style="1693" customWidth="1"/>
    <col min="84" max="85" width="10.42578125" style="1700" customWidth="1" outlineLevel="1"/>
    <col min="86" max="86" width="10.42578125" style="1693" customWidth="1"/>
    <col min="87" max="88" width="10.42578125" style="1700" customWidth="1" outlineLevel="1"/>
    <col min="89" max="89" width="10.42578125" style="1693" customWidth="1"/>
    <col min="90" max="91" width="10.42578125" style="1700" customWidth="1" outlineLevel="1"/>
    <col min="92" max="93" width="10.42578125" style="1693" customWidth="1"/>
    <col min="94" max="96" width="10.42578125" style="1700" customWidth="1" outlineLevel="1"/>
    <col min="97" max="97" width="10.42578125" style="1693" customWidth="1"/>
    <col min="98" max="98" width="11.42578125" style="1693" bestFit="1" customWidth="1"/>
    <col min="99" max="100" width="10.42578125" style="1693" customWidth="1"/>
    <col min="101" max="101" width="12.140625" style="1693" customWidth="1"/>
    <col min="102" max="102" width="13.42578125" style="1693" customWidth="1"/>
    <col min="103" max="103" width="10.42578125" style="1693" customWidth="1"/>
    <col min="104" max="104" width="11.42578125" style="1682" hidden="1" customWidth="1"/>
    <col min="105" max="105" width="14.28515625" style="1695" hidden="1" customWidth="1"/>
    <col min="106" max="106" width="17.85546875" style="1701" hidden="1" customWidth="1"/>
    <col min="107" max="107" width="10.42578125" style="1693" hidden="1" customWidth="1"/>
    <col min="108" max="108" width="0" style="1682" hidden="1" customWidth="1"/>
    <col min="109" max="109" width="10.85546875" style="1682" hidden="1" customWidth="1"/>
    <col min="110" max="112" width="9.140625" style="1682"/>
    <col min="113" max="113" width="9.85546875" style="1682" bestFit="1" customWidth="1"/>
    <col min="114" max="16384" width="9.140625" style="1682"/>
  </cols>
  <sheetData>
    <row r="1" spans="1:114" ht="16.5" customHeight="1" x14ac:dyDescent="0.2">
      <c r="A1" s="34"/>
      <c r="B1" s="9"/>
      <c r="C1" s="64"/>
      <c r="D1" s="64"/>
      <c r="E1" s="64"/>
      <c r="F1" s="64"/>
      <c r="G1" s="64"/>
      <c r="H1" s="64"/>
      <c r="I1" s="64"/>
      <c r="J1" s="9"/>
      <c r="K1" s="9"/>
      <c r="L1" s="9"/>
      <c r="M1" s="9"/>
      <c r="N1" s="9"/>
      <c r="O1" s="144"/>
      <c r="P1" s="144"/>
      <c r="Q1" s="9"/>
      <c r="R1" s="9"/>
      <c r="S1" s="9"/>
      <c r="T1" s="9"/>
      <c r="U1" s="9"/>
      <c r="V1" s="9"/>
      <c r="W1" s="9"/>
      <c r="X1" s="9"/>
      <c r="Y1" s="9"/>
      <c r="Z1" s="144"/>
      <c r="AA1" s="144"/>
      <c r="AB1" s="9"/>
      <c r="AC1" s="144"/>
      <c r="AD1" s="144"/>
      <c r="AE1" s="9"/>
      <c r="AF1" s="144"/>
      <c r="AG1" s="144"/>
      <c r="AH1" s="9"/>
      <c r="AI1" s="9"/>
      <c r="AJ1" s="9"/>
      <c r="AK1" s="9"/>
      <c r="AL1" s="144"/>
      <c r="AM1" s="144"/>
      <c r="AN1" s="9"/>
      <c r="AO1" s="144"/>
      <c r="AP1" s="144"/>
      <c r="AQ1" s="9"/>
      <c r="AR1" s="144"/>
      <c r="AS1" s="144"/>
      <c r="AT1" s="9"/>
      <c r="AU1" s="144"/>
      <c r="AV1" s="144"/>
      <c r="AW1" s="9"/>
      <c r="AX1" s="144"/>
      <c r="AY1" s="144"/>
      <c r="AZ1" s="9"/>
      <c r="BA1" s="144"/>
      <c r="BB1" s="144"/>
      <c r="BC1" s="9"/>
      <c r="BD1" s="144"/>
      <c r="BE1" s="144"/>
      <c r="BF1" s="9"/>
      <c r="BG1" s="144"/>
      <c r="BH1" s="144"/>
      <c r="BI1" s="9"/>
      <c r="BJ1" s="9"/>
      <c r="BK1" s="144"/>
      <c r="BL1" s="144"/>
      <c r="BM1" s="9"/>
      <c r="BN1" s="9"/>
      <c r="BO1" s="144"/>
      <c r="BP1" s="144"/>
      <c r="BQ1" s="9"/>
      <c r="BR1" s="144"/>
      <c r="BS1" s="144"/>
      <c r="BT1" s="9"/>
      <c r="BU1" s="9"/>
      <c r="BV1" s="144"/>
      <c r="BW1" s="144"/>
      <c r="BX1" s="9"/>
      <c r="BY1" s="9"/>
      <c r="BZ1" s="9"/>
      <c r="CA1" s="9"/>
      <c r="CB1" s="144"/>
      <c r="CC1" s="144"/>
      <c r="CD1" s="9"/>
      <c r="CE1" s="9"/>
      <c r="CF1" s="144"/>
      <c r="CG1" s="144"/>
      <c r="CH1" s="9"/>
      <c r="CI1" s="144"/>
      <c r="CJ1" s="144"/>
      <c r="CK1" s="9"/>
      <c r="CL1" s="144"/>
      <c r="CM1" s="144"/>
      <c r="CN1" s="9"/>
      <c r="CO1" s="9"/>
      <c r="CP1" s="144"/>
      <c r="CQ1" s="144"/>
      <c r="CR1" s="144"/>
      <c r="CS1" s="9"/>
      <c r="CT1" s="9"/>
      <c r="CU1" s="9"/>
      <c r="CV1" s="9"/>
      <c r="CW1" s="9"/>
      <c r="CX1" s="9"/>
      <c r="CY1" s="9"/>
      <c r="CZ1" s="9"/>
      <c r="DA1" s="377"/>
      <c r="DB1" s="878"/>
      <c r="DC1" s="9"/>
      <c r="DD1" s="9"/>
      <c r="DE1" s="9"/>
    </row>
    <row r="2" spans="1:114" ht="23.25" x14ac:dyDescent="0.35">
      <c r="A2" s="15"/>
      <c r="B2" s="9"/>
      <c r="C2" s="64"/>
      <c r="D2" s="64"/>
      <c r="E2" s="64"/>
      <c r="F2" s="64"/>
      <c r="G2" s="64"/>
      <c r="H2" s="64"/>
      <c r="I2" s="12"/>
      <c r="J2" s="9"/>
      <c r="K2" s="9"/>
      <c r="L2" s="9"/>
      <c r="M2" s="9"/>
      <c r="N2" s="9"/>
      <c r="O2" s="144"/>
      <c r="P2" s="144"/>
      <c r="Q2" s="9"/>
      <c r="R2" s="9"/>
      <c r="S2" s="9"/>
      <c r="T2" s="9"/>
      <c r="U2" s="9"/>
      <c r="V2" s="9"/>
      <c r="W2" s="9"/>
      <c r="X2" s="9"/>
      <c r="Y2" s="9"/>
      <c r="Z2" s="144"/>
      <c r="AA2" s="144"/>
      <c r="AB2" s="9"/>
      <c r="AC2" s="144"/>
      <c r="AD2" s="144"/>
      <c r="AE2" s="9"/>
      <c r="AF2" s="144"/>
      <c r="AG2" s="144"/>
      <c r="AH2" s="9"/>
      <c r="AI2" s="9"/>
      <c r="AJ2" s="9"/>
      <c r="AK2" s="9"/>
      <c r="AL2" s="144"/>
      <c r="AM2" s="144"/>
      <c r="AN2" s="9"/>
      <c r="AO2" s="144"/>
      <c r="AP2" s="144"/>
      <c r="AQ2" s="9"/>
      <c r="AR2" s="144"/>
      <c r="AS2" s="144"/>
      <c r="AT2" s="9"/>
      <c r="AU2" s="144"/>
      <c r="AV2" s="144"/>
      <c r="AW2" s="9"/>
      <c r="AX2" s="144"/>
      <c r="AY2" s="144"/>
      <c r="AZ2" s="9"/>
      <c r="BA2" s="144"/>
      <c r="BB2" s="144"/>
      <c r="BC2" s="9"/>
      <c r="BD2" s="144"/>
      <c r="BE2" s="144"/>
      <c r="BF2" s="9"/>
      <c r="BG2" s="144"/>
      <c r="BH2" s="144"/>
      <c r="BI2" s="9"/>
      <c r="BJ2" s="9"/>
      <c r="BK2" s="144"/>
      <c r="BL2" s="144"/>
      <c r="BM2" s="9"/>
      <c r="BN2" s="9"/>
      <c r="BO2" s="144"/>
      <c r="BP2" s="144"/>
      <c r="BQ2" s="9"/>
      <c r="BR2" s="144"/>
      <c r="BS2" s="144"/>
      <c r="BT2" s="9"/>
      <c r="BU2" s="9"/>
      <c r="BV2" s="144"/>
      <c r="BW2" s="144"/>
      <c r="BX2" s="9"/>
      <c r="BY2" s="9"/>
      <c r="BZ2" s="9"/>
      <c r="CA2" s="9"/>
      <c r="CB2" s="144"/>
      <c r="CC2" s="144"/>
      <c r="CD2" s="9"/>
      <c r="CE2" s="9"/>
      <c r="CF2" s="144"/>
      <c r="CG2" s="144"/>
      <c r="CH2" s="9"/>
      <c r="CI2" s="144"/>
      <c r="CJ2" s="144"/>
      <c r="CK2" s="9"/>
      <c r="CL2" s="144"/>
      <c r="CM2" s="144"/>
      <c r="CN2" s="9"/>
      <c r="CO2" s="9"/>
      <c r="CP2" s="144"/>
      <c r="CQ2" s="144"/>
      <c r="CR2" s="144"/>
      <c r="CS2" s="9"/>
      <c r="CT2" s="9"/>
      <c r="CU2" s="9"/>
      <c r="CV2" s="9"/>
      <c r="CW2" s="9"/>
      <c r="CX2" s="9"/>
      <c r="CY2" s="9"/>
      <c r="CZ2" s="9"/>
      <c r="DA2" s="377"/>
      <c r="DB2" s="878"/>
      <c r="DC2" s="9"/>
      <c r="DD2" s="9"/>
      <c r="DE2" s="9"/>
    </row>
    <row r="3" spans="1:114" x14ac:dyDescent="0.2">
      <c r="A3" s="34"/>
      <c r="B3" s="9"/>
      <c r="C3" s="64"/>
      <c r="D3" s="64"/>
      <c r="E3" s="64"/>
      <c r="F3" s="64"/>
      <c r="G3" s="64"/>
      <c r="H3" s="64"/>
      <c r="I3" s="64"/>
      <c r="J3" s="9"/>
      <c r="K3" s="377"/>
      <c r="L3" s="9"/>
      <c r="M3" s="9"/>
      <c r="N3" s="9"/>
      <c r="O3" s="144"/>
      <c r="P3" s="144"/>
      <c r="Q3" s="9"/>
      <c r="R3" s="9"/>
      <c r="S3" s="9"/>
      <c r="T3" s="9"/>
      <c r="U3" s="9"/>
      <c r="V3" s="9"/>
      <c r="W3" s="9"/>
      <c r="X3" s="9"/>
      <c r="Y3" s="9"/>
      <c r="Z3" s="144"/>
      <c r="AA3" s="144"/>
      <c r="AB3" s="9"/>
      <c r="AC3" s="144"/>
      <c r="AD3" s="144"/>
      <c r="AE3" s="9"/>
      <c r="AF3" s="144"/>
      <c r="AG3" s="144"/>
      <c r="AH3" s="9"/>
      <c r="AI3" s="9"/>
      <c r="AJ3" s="9"/>
      <c r="AK3" s="9"/>
      <c r="AL3" s="144"/>
      <c r="AM3" s="144"/>
      <c r="AN3" s="9"/>
      <c r="AO3" s="144"/>
      <c r="AP3" s="144"/>
      <c r="AQ3" s="9"/>
      <c r="AR3" s="144"/>
      <c r="AS3" s="144"/>
      <c r="AT3" s="9"/>
      <c r="AU3" s="144"/>
      <c r="AV3" s="144"/>
      <c r="AW3" s="9"/>
      <c r="AX3" s="144"/>
      <c r="AY3" s="144"/>
      <c r="AZ3" s="9"/>
      <c r="BA3" s="144"/>
      <c r="BB3" s="144"/>
      <c r="BC3" s="9"/>
      <c r="BD3" s="144"/>
      <c r="BE3" s="144"/>
      <c r="BF3" s="9"/>
      <c r="BG3" s="144"/>
      <c r="BH3" s="144"/>
      <c r="BI3" s="9"/>
      <c r="BJ3" s="9"/>
      <c r="BK3" s="144"/>
      <c r="BL3" s="144"/>
      <c r="BM3" s="9"/>
      <c r="BN3" s="9"/>
      <c r="BO3" s="144"/>
      <c r="BP3" s="144"/>
      <c r="BQ3" s="9"/>
      <c r="BR3" s="144"/>
      <c r="BS3" s="144"/>
      <c r="BT3" s="9"/>
      <c r="BU3" s="9"/>
      <c r="BV3" s="144"/>
      <c r="BW3" s="144"/>
      <c r="BX3" s="9"/>
      <c r="BY3" s="9"/>
      <c r="BZ3" s="9"/>
      <c r="CA3" s="9"/>
      <c r="CB3" s="144"/>
      <c r="CC3" s="144"/>
      <c r="CD3" s="9"/>
      <c r="CE3" s="9"/>
      <c r="CF3" s="144"/>
      <c r="CG3" s="144"/>
      <c r="CH3" s="9"/>
      <c r="CI3" s="144"/>
      <c r="CJ3" s="144"/>
      <c r="CK3" s="9"/>
      <c r="CL3" s="144"/>
      <c r="CM3" s="144"/>
      <c r="CN3" s="9"/>
      <c r="CO3" s="9"/>
      <c r="CP3" s="144"/>
      <c r="CQ3" s="144"/>
      <c r="CR3" s="144"/>
      <c r="CS3" s="9"/>
      <c r="CT3" s="9"/>
      <c r="CU3" s="9"/>
      <c r="CV3" s="9"/>
      <c r="CW3" s="9"/>
      <c r="CX3" s="9"/>
      <c r="CY3" s="9"/>
      <c r="CZ3" s="9"/>
      <c r="DA3" s="377"/>
      <c r="DB3" s="878"/>
      <c r="DC3" s="9"/>
      <c r="DD3" s="9"/>
      <c r="DE3" s="9"/>
    </row>
    <row r="4" spans="1:114" ht="18.75" x14ac:dyDescent="0.3">
      <c r="A4" s="17" t="s">
        <v>1655</v>
      </c>
      <c r="B4" s="9"/>
      <c r="C4" s="64"/>
      <c r="D4" s="64"/>
      <c r="E4" s="64"/>
      <c r="F4" s="64"/>
      <c r="G4" s="64"/>
      <c r="H4" s="64"/>
      <c r="I4" s="64"/>
      <c r="J4" s="9"/>
      <c r="K4" s="377"/>
      <c r="L4" s="9"/>
      <c r="M4" s="377"/>
      <c r="N4" s="377"/>
      <c r="O4" s="144"/>
      <c r="P4" s="144"/>
      <c r="Q4" s="9"/>
      <c r="R4" s="9"/>
      <c r="S4" s="9"/>
      <c r="T4" s="9"/>
      <c r="U4" s="9"/>
      <c r="V4" s="9"/>
      <c r="W4" s="9"/>
      <c r="X4" s="9"/>
      <c r="Y4" s="9"/>
      <c r="Z4" s="144"/>
      <c r="AA4" s="144"/>
      <c r="AB4" s="9"/>
      <c r="AC4" s="144"/>
      <c r="AD4" s="144"/>
      <c r="AE4" s="9"/>
      <c r="AF4" s="144"/>
      <c r="AG4" s="144"/>
      <c r="AH4" s="9"/>
      <c r="AI4" s="9"/>
      <c r="AJ4" s="9"/>
      <c r="AK4" s="9"/>
      <c r="AL4" s="144"/>
      <c r="AM4" s="144"/>
      <c r="AN4" s="9"/>
      <c r="AO4" s="144"/>
      <c r="AP4" s="144"/>
      <c r="AQ4" s="9"/>
      <c r="AR4" s="144"/>
      <c r="AS4" s="144"/>
      <c r="AT4" s="9"/>
      <c r="AU4" s="144"/>
      <c r="AV4" s="144"/>
      <c r="AW4" s="9"/>
      <c r="AX4" s="144"/>
      <c r="AY4" s="144"/>
      <c r="AZ4" s="9"/>
      <c r="BA4" s="144"/>
      <c r="BB4" s="144"/>
      <c r="BC4" s="9"/>
      <c r="BD4" s="144"/>
      <c r="BE4" s="144"/>
      <c r="BF4" s="9"/>
      <c r="BG4" s="144"/>
      <c r="BH4" s="144"/>
      <c r="BI4" s="9"/>
      <c r="BJ4" s="9"/>
      <c r="BK4" s="144"/>
      <c r="BL4" s="144"/>
      <c r="BM4" s="9"/>
      <c r="BN4" s="9"/>
      <c r="BO4" s="144"/>
      <c r="BP4" s="144"/>
      <c r="BQ4" s="9"/>
      <c r="BR4" s="144"/>
      <c r="BS4" s="144"/>
      <c r="BT4" s="9"/>
      <c r="BU4" s="9"/>
      <c r="BV4" s="144"/>
      <c r="BW4" s="144"/>
      <c r="BX4" s="9"/>
      <c r="BY4" s="9"/>
      <c r="BZ4" s="9"/>
      <c r="CA4" s="9"/>
      <c r="CB4" s="144"/>
      <c r="CC4" s="144"/>
      <c r="CD4" s="9"/>
      <c r="CE4" s="9"/>
      <c r="CF4" s="144"/>
      <c r="CG4" s="144"/>
      <c r="CH4" s="9"/>
      <c r="CI4" s="144"/>
      <c r="CJ4" s="144"/>
      <c r="CK4" s="9"/>
      <c r="CL4" s="144"/>
      <c r="CM4" s="144"/>
      <c r="CN4" s="9"/>
      <c r="CO4" s="9"/>
      <c r="CP4" s="144"/>
      <c r="CQ4" s="144"/>
      <c r="CR4" s="144"/>
      <c r="CS4" s="9"/>
      <c r="CT4" s="9"/>
      <c r="CU4" s="9"/>
      <c r="CV4" s="9"/>
      <c r="CW4" s="9"/>
      <c r="CX4" s="9"/>
      <c r="CY4" s="9"/>
      <c r="CZ4" s="9"/>
      <c r="DA4" s="377"/>
      <c r="DB4" s="878"/>
      <c r="DC4" s="9"/>
      <c r="DD4" s="9"/>
      <c r="DE4" s="9"/>
    </row>
    <row r="5" spans="1:114" ht="15.75" thickBot="1" x14ac:dyDescent="0.3">
      <c r="A5" s="35" t="s">
        <v>272</v>
      </c>
      <c r="B5" s="9"/>
      <c r="C5" s="12"/>
      <c r="D5" s="12"/>
      <c r="E5" s="12"/>
      <c r="F5" s="12"/>
      <c r="G5" s="12"/>
      <c r="H5" s="12"/>
      <c r="I5" s="596"/>
      <c r="J5" s="884"/>
      <c r="K5" s="36"/>
      <c r="L5" s="36"/>
      <c r="M5" s="36"/>
      <c r="N5" s="36"/>
      <c r="O5" s="684"/>
      <c r="P5" s="684"/>
      <c r="Q5" s="36"/>
      <c r="R5" s="36"/>
      <c r="S5" s="36"/>
      <c r="T5" s="36"/>
      <c r="U5" s="36"/>
      <c r="V5" s="36"/>
      <c r="W5" s="36"/>
      <c r="X5" s="36"/>
      <c r="Y5" s="36"/>
      <c r="Z5" s="684"/>
      <c r="AA5" s="684"/>
      <c r="AB5" s="36"/>
      <c r="AC5" s="684"/>
      <c r="AD5" s="684"/>
      <c r="AE5" s="36"/>
      <c r="AF5" s="684"/>
      <c r="AG5" s="684"/>
      <c r="AH5" s="36"/>
      <c r="AI5" s="36"/>
      <c r="AJ5" s="36"/>
      <c r="AK5" s="36"/>
      <c r="AL5" s="684"/>
      <c r="AM5" s="684"/>
      <c r="AN5" s="36"/>
      <c r="AO5" s="684"/>
      <c r="AP5" s="684"/>
      <c r="AQ5" s="36"/>
      <c r="AR5" s="684"/>
      <c r="AS5" s="684"/>
      <c r="AT5" s="36"/>
      <c r="AU5" s="684"/>
      <c r="AV5" s="684"/>
      <c r="AW5" s="36"/>
      <c r="AX5" s="684"/>
      <c r="AY5" s="684"/>
      <c r="AZ5" s="36"/>
      <c r="BA5" s="684"/>
      <c r="BB5" s="684"/>
      <c r="BC5" s="36"/>
      <c r="BD5" s="684"/>
      <c r="BE5" s="684"/>
      <c r="BF5" s="36"/>
      <c r="BG5" s="684"/>
      <c r="BH5" s="684"/>
      <c r="BI5" s="36"/>
      <c r="BJ5" s="36"/>
      <c r="BK5" s="684"/>
      <c r="BL5" s="684"/>
      <c r="BM5" s="36"/>
      <c r="BN5" s="36"/>
      <c r="BO5" s="684"/>
      <c r="BP5" s="684"/>
      <c r="BQ5" s="36">
        <f>+BQ62-43556898</f>
        <v>-730000.03999999911</v>
      </c>
      <c r="BR5" s="684"/>
      <c r="BS5" s="684"/>
      <c r="BT5" s="36"/>
      <c r="BU5" s="36"/>
      <c r="BV5" s="684"/>
      <c r="BW5" s="684"/>
      <c r="BX5" s="36"/>
      <c r="BY5" s="36"/>
      <c r="BZ5" s="36"/>
      <c r="CA5" s="36"/>
      <c r="CB5" s="684"/>
      <c r="CC5" s="684"/>
      <c r="CD5" s="36"/>
      <c r="CE5" s="36"/>
      <c r="CF5" s="684"/>
      <c r="CG5" s="684"/>
      <c r="CH5" s="36"/>
      <c r="CI5" s="684"/>
      <c r="CJ5" s="684"/>
      <c r="CK5" s="36"/>
      <c r="CL5" s="684"/>
      <c r="CM5" s="684"/>
      <c r="CN5" s="36"/>
      <c r="CO5" s="36"/>
      <c r="CP5" s="684"/>
      <c r="CQ5" s="684"/>
      <c r="CR5" s="684"/>
      <c r="CS5" s="36"/>
      <c r="CT5" s="36"/>
      <c r="CU5" s="36"/>
      <c r="CV5" s="36"/>
      <c r="CW5" s="36"/>
      <c r="CX5" s="36"/>
      <c r="CY5" s="36"/>
      <c r="CZ5" s="9"/>
      <c r="DA5" s="377"/>
      <c r="DB5" s="878"/>
      <c r="DC5" s="36"/>
      <c r="DD5" s="9"/>
      <c r="DE5" s="9"/>
    </row>
    <row r="6" spans="1:114" ht="31.5" customHeight="1" thickBot="1" x14ac:dyDescent="0.25">
      <c r="A6" s="5" t="s">
        <v>17</v>
      </c>
      <c r="B6" s="5" t="s">
        <v>0</v>
      </c>
      <c r="C6" s="19" t="s">
        <v>422</v>
      </c>
      <c r="D6" s="19" t="s">
        <v>1255</v>
      </c>
      <c r="E6" s="19" t="s">
        <v>1343</v>
      </c>
      <c r="F6" s="19" t="s">
        <v>1394</v>
      </c>
      <c r="G6" s="19" t="s">
        <v>1369</v>
      </c>
      <c r="H6" s="19" t="s">
        <v>1553</v>
      </c>
      <c r="I6" s="19" t="s">
        <v>1628</v>
      </c>
      <c r="J6" s="7" t="s">
        <v>204</v>
      </c>
      <c r="K6" s="7" t="s">
        <v>205</v>
      </c>
      <c r="L6" s="7" t="s">
        <v>206</v>
      </c>
      <c r="M6" s="7" t="s">
        <v>207</v>
      </c>
      <c r="N6" s="7" t="s">
        <v>208</v>
      </c>
      <c r="O6" s="685" t="s">
        <v>928</v>
      </c>
      <c r="P6" s="686" t="s">
        <v>391</v>
      </c>
      <c r="Q6" s="357" t="s">
        <v>391</v>
      </c>
      <c r="R6" s="7" t="s">
        <v>209</v>
      </c>
      <c r="S6" s="7" t="s">
        <v>210</v>
      </c>
      <c r="T6" s="7" t="s">
        <v>211</v>
      </c>
      <c r="U6" s="7" t="s">
        <v>212</v>
      </c>
      <c r="V6" s="7" t="s">
        <v>213</v>
      </c>
      <c r="W6" s="7" t="s">
        <v>214</v>
      </c>
      <c r="X6" s="7" t="s">
        <v>215</v>
      </c>
      <c r="Y6" s="7" t="s">
        <v>216</v>
      </c>
      <c r="Z6" s="685" t="s">
        <v>929</v>
      </c>
      <c r="AA6" s="686" t="s">
        <v>391</v>
      </c>
      <c r="AB6" s="7" t="s">
        <v>217</v>
      </c>
      <c r="AC6" s="685" t="s">
        <v>929</v>
      </c>
      <c r="AD6" s="686" t="s">
        <v>391</v>
      </c>
      <c r="AE6" s="7" t="s">
        <v>218</v>
      </c>
      <c r="AF6" s="685" t="s">
        <v>929</v>
      </c>
      <c r="AG6" s="686" t="s">
        <v>391</v>
      </c>
      <c r="AH6" s="7" t="s">
        <v>219</v>
      </c>
      <c r="AI6" s="7" t="s">
        <v>220</v>
      </c>
      <c r="AJ6" s="7" t="s">
        <v>221</v>
      </c>
      <c r="AK6" s="7" t="s">
        <v>222</v>
      </c>
      <c r="AL6" s="685" t="s">
        <v>929</v>
      </c>
      <c r="AM6" s="686" t="s">
        <v>391</v>
      </c>
      <c r="AN6" s="7" t="s">
        <v>1372</v>
      </c>
      <c r="AO6" s="685" t="s">
        <v>929</v>
      </c>
      <c r="AP6" s="686" t="s">
        <v>391</v>
      </c>
      <c r="AQ6" s="7" t="s">
        <v>224</v>
      </c>
      <c r="AR6" s="685" t="s">
        <v>929</v>
      </c>
      <c r="AS6" s="686" t="s">
        <v>391</v>
      </c>
      <c r="AT6" s="7" t="s">
        <v>225</v>
      </c>
      <c r="AU6" s="685" t="s">
        <v>929</v>
      </c>
      <c r="AV6" s="686" t="s">
        <v>391</v>
      </c>
      <c r="AW6" s="7" t="s">
        <v>226</v>
      </c>
      <c r="AX6" s="685" t="s">
        <v>929</v>
      </c>
      <c r="AY6" s="686" t="s">
        <v>391</v>
      </c>
      <c r="AZ6" s="7" t="s">
        <v>227</v>
      </c>
      <c r="BA6" s="685" t="s">
        <v>929</v>
      </c>
      <c r="BB6" s="686" t="s">
        <v>391</v>
      </c>
      <c r="BC6" s="7" t="s">
        <v>228</v>
      </c>
      <c r="BD6" s="685" t="s">
        <v>929</v>
      </c>
      <c r="BE6" s="686" t="s">
        <v>391</v>
      </c>
      <c r="BF6" s="7" t="s">
        <v>229</v>
      </c>
      <c r="BG6" s="685" t="s">
        <v>929</v>
      </c>
      <c r="BH6" s="686" t="s">
        <v>391</v>
      </c>
      <c r="BI6" s="7" t="s">
        <v>230</v>
      </c>
      <c r="BJ6" s="7" t="s">
        <v>550</v>
      </c>
      <c r="BK6" s="685" t="s">
        <v>929</v>
      </c>
      <c r="BL6" s="686" t="s">
        <v>391</v>
      </c>
      <c r="BM6" s="7" t="s">
        <v>231</v>
      </c>
      <c r="BN6" s="7" t="s">
        <v>232</v>
      </c>
      <c r="BO6" s="685" t="s">
        <v>929</v>
      </c>
      <c r="BP6" s="686" t="s">
        <v>391</v>
      </c>
      <c r="BQ6" s="7" t="s">
        <v>233</v>
      </c>
      <c r="BR6" s="685" t="s">
        <v>929</v>
      </c>
      <c r="BS6" s="686" t="s">
        <v>391</v>
      </c>
      <c r="BT6" s="7" t="s">
        <v>234</v>
      </c>
      <c r="BU6" s="7" t="s">
        <v>235</v>
      </c>
      <c r="BV6" s="685" t="s">
        <v>929</v>
      </c>
      <c r="BW6" s="686" t="s">
        <v>391</v>
      </c>
      <c r="BX6" s="7" t="s">
        <v>236</v>
      </c>
      <c r="BY6" s="7" t="s">
        <v>237</v>
      </c>
      <c r="BZ6" s="7" t="s">
        <v>238</v>
      </c>
      <c r="CA6" s="7" t="s">
        <v>239</v>
      </c>
      <c r="CB6" s="685" t="s">
        <v>929</v>
      </c>
      <c r="CC6" s="686" t="s">
        <v>391</v>
      </c>
      <c r="CD6" s="7" t="s">
        <v>240</v>
      </c>
      <c r="CE6" s="7" t="s">
        <v>241</v>
      </c>
      <c r="CF6" s="685" t="s">
        <v>973</v>
      </c>
      <c r="CG6" s="686" t="s">
        <v>391</v>
      </c>
      <c r="CH6" s="7" t="s">
        <v>242</v>
      </c>
      <c r="CI6" s="685" t="s">
        <v>973</v>
      </c>
      <c r="CJ6" s="686" t="s">
        <v>391</v>
      </c>
      <c r="CK6" s="7" t="s">
        <v>243</v>
      </c>
      <c r="CL6" s="685" t="s">
        <v>973</v>
      </c>
      <c r="CM6" s="686" t="s">
        <v>391</v>
      </c>
      <c r="CN6" s="7" t="s">
        <v>244</v>
      </c>
      <c r="CO6" s="7" t="s">
        <v>245</v>
      </c>
      <c r="CP6" s="685" t="s">
        <v>973</v>
      </c>
      <c r="CQ6" s="695" t="s">
        <v>929</v>
      </c>
      <c r="CR6" s="686" t="s">
        <v>391</v>
      </c>
      <c r="CS6" s="7" t="s">
        <v>504</v>
      </c>
      <c r="CT6" s="7" t="s">
        <v>458</v>
      </c>
      <c r="CU6" s="7" t="s">
        <v>1300</v>
      </c>
      <c r="CV6" s="7" t="s">
        <v>246</v>
      </c>
      <c r="CW6" s="7" t="s">
        <v>247</v>
      </c>
      <c r="CX6" s="7" t="s">
        <v>248</v>
      </c>
      <c r="CY6" s="7" t="s">
        <v>249</v>
      </c>
      <c r="CZ6" s="9"/>
      <c r="DA6" s="377"/>
      <c r="DB6" s="878"/>
      <c r="DC6" s="7" t="s">
        <v>391</v>
      </c>
      <c r="DD6" s="9"/>
      <c r="DE6" s="9"/>
    </row>
    <row r="7" spans="1:114" ht="13.5" customHeight="1" thickBot="1" x14ac:dyDescent="0.25">
      <c r="A7" s="176"/>
      <c r="B7" s="177"/>
      <c r="C7" s="269"/>
      <c r="D7" s="269"/>
      <c r="E7" s="269"/>
      <c r="F7" s="269"/>
      <c r="G7" s="269"/>
      <c r="H7" s="269"/>
      <c r="I7" s="269"/>
      <c r="J7" s="193" t="s">
        <v>250</v>
      </c>
      <c r="K7" s="200">
        <v>6310</v>
      </c>
      <c r="L7" s="200">
        <v>6409</v>
      </c>
      <c r="M7" s="200">
        <v>6112</v>
      </c>
      <c r="N7" s="200">
        <v>6171</v>
      </c>
      <c r="O7" s="200"/>
      <c r="P7" s="200"/>
      <c r="Q7" s="358">
        <v>3639</v>
      </c>
      <c r="R7" s="200" t="s">
        <v>251</v>
      </c>
      <c r="S7" s="200" t="s">
        <v>252</v>
      </c>
      <c r="T7" s="200" t="s">
        <v>308</v>
      </c>
      <c r="U7" s="200">
        <v>3319</v>
      </c>
      <c r="V7" s="200">
        <v>3314</v>
      </c>
      <c r="W7" s="200">
        <v>3349</v>
      </c>
      <c r="X7" s="200" t="s">
        <v>253</v>
      </c>
      <c r="Y7" s="200">
        <v>3612</v>
      </c>
      <c r="Z7" s="200"/>
      <c r="AA7" s="200"/>
      <c r="AB7" s="200" t="s">
        <v>254</v>
      </c>
      <c r="AC7" s="200"/>
      <c r="AD7" s="200"/>
      <c r="AE7" s="200" t="s">
        <v>255</v>
      </c>
      <c r="AF7" s="200"/>
      <c r="AG7" s="200"/>
      <c r="AH7" s="200">
        <v>5512</v>
      </c>
      <c r="AI7" s="200">
        <v>3519</v>
      </c>
      <c r="AJ7" s="200" t="s">
        <v>256</v>
      </c>
      <c r="AK7" s="200">
        <v>3632</v>
      </c>
      <c r="AL7" s="200"/>
      <c r="AM7" s="200"/>
      <c r="AN7" s="200" t="s">
        <v>257</v>
      </c>
      <c r="AO7" s="200"/>
      <c r="AP7" s="200"/>
      <c r="AQ7" s="200">
        <v>3113</v>
      </c>
      <c r="AR7" s="200"/>
      <c r="AS7" s="200"/>
      <c r="AT7" s="200">
        <v>3114</v>
      </c>
      <c r="AU7" s="200"/>
      <c r="AV7" s="200"/>
      <c r="AW7" s="200">
        <v>3421</v>
      </c>
      <c r="AX7" s="200"/>
      <c r="AY7" s="200"/>
      <c r="AZ7" s="200" t="s">
        <v>258</v>
      </c>
      <c r="BA7" s="200"/>
      <c r="BB7" s="200"/>
      <c r="BC7" s="200" t="s">
        <v>259</v>
      </c>
      <c r="BD7" s="200"/>
      <c r="BE7" s="200"/>
      <c r="BF7" s="200" t="s">
        <v>260</v>
      </c>
      <c r="BG7" s="200"/>
      <c r="BH7" s="200"/>
      <c r="BI7" s="200" t="s">
        <v>261</v>
      </c>
      <c r="BJ7" s="200" t="s">
        <v>801</v>
      </c>
      <c r="BK7" s="200"/>
      <c r="BL7" s="200"/>
      <c r="BM7" s="200">
        <v>3635</v>
      </c>
      <c r="BN7" s="200">
        <v>3631</v>
      </c>
      <c r="BO7" s="200"/>
      <c r="BP7" s="200"/>
      <c r="BQ7" s="200" t="s">
        <v>262</v>
      </c>
      <c r="BR7" s="200"/>
      <c r="BS7" s="200"/>
      <c r="BT7" s="200" t="s">
        <v>263</v>
      </c>
      <c r="BU7" s="200">
        <v>2310</v>
      </c>
      <c r="BV7" s="200"/>
      <c r="BW7" s="200"/>
      <c r="BX7" s="200" t="s">
        <v>264</v>
      </c>
      <c r="BY7" s="200" t="s">
        <v>265</v>
      </c>
      <c r="BZ7" s="200" t="s">
        <v>343</v>
      </c>
      <c r="CA7" s="200">
        <v>3633</v>
      </c>
      <c r="CB7" s="200"/>
      <c r="CC7" s="200"/>
      <c r="CD7" s="200">
        <v>1036</v>
      </c>
      <c r="CE7" s="200" t="s">
        <v>266</v>
      </c>
      <c r="CF7" s="200"/>
      <c r="CG7" s="200"/>
      <c r="CH7" s="200" t="s">
        <v>267</v>
      </c>
      <c r="CI7" s="200"/>
      <c r="CJ7" s="200"/>
      <c r="CK7" s="200">
        <v>3729</v>
      </c>
      <c r="CL7" s="200"/>
      <c r="CM7" s="200"/>
      <c r="CN7" s="200">
        <v>3744</v>
      </c>
      <c r="CO7" s="200">
        <v>3749</v>
      </c>
      <c r="CP7" s="200"/>
      <c r="CQ7" s="200"/>
      <c r="CR7" s="200"/>
      <c r="CS7" s="200" t="s">
        <v>503</v>
      </c>
      <c r="CT7" s="200" t="s">
        <v>459</v>
      </c>
      <c r="CU7" s="200" t="s">
        <v>1301</v>
      </c>
      <c r="CV7" s="200" t="s">
        <v>268</v>
      </c>
      <c r="CW7" s="200" t="s">
        <v>269</v>
      </c>
      <c r="CX7" s="200" t="s">
        <v>270</v>
      </c>
      <c r="CY7" s="188" t="s">
        <v>271</v>
      </c>
      <c r="CZ7" s="9"/>
      <c r="DA7" s="377"/>
      <c r="DB7" s="878"/>
      <c r="DC7" s="679" t="s">
        <v>271</v>
      </c>
      <c r="DD7" s="9"/>
      <c r="DE7" s="9"/>
    </row>
    <row r="8" spans="1:114" ht="17.25" customHeight="1" x14ac:dyDescent="0.25">
      <c r="A8" s="124">
        <v>5011</v>
      </c>
      <c r="B8" s="27" t="s">
        <v>126</v>
      </c>
      <c r="C8" s="270">
        <v>18196947</v>
      </c>
      <c r="D8" s="270">
        <v>19091320</v>
      </c>
      <c r="E8" s="270">
        <v>19025320</v>
      </c>
      <c r="F8" s="270">
        <v>19223464</v>
      </c>
      <c r="G8" s="270">
        <v>20374400</v>
      </c>
      <c r="H8" s="270">
        <v>20374400</v>
      </c>
      <c r="I8" s="270">
        <f>SUM(J8:N8)+SUM(Q8:Y8)+AB8+AE8+SUM(AH8:AK8)+AN8+AQ8+AT8+AW8+AZ8+BC8+BF8+BI8+BJ8+BM8+BN8+BQ8+SUM(BT8:BU8)+BZ8+CA8+CD8+CE8+CH8+CK8+CN8+CO8+SUM(CS8:CY8)+BX8+BY8</f>
        <v>21368700</v>
      </c>
      <c r="J8" s="194"/>
      <c r="K8" s="201"/>
      <c r="L8" s="201"/>
      <c r="M8" s="201"/>
      <c r="N8" s="201">
        <f>+'[1]2018'!$B$3+'[1]2018'!$B$12+'[1]2018'!$B$13+'[1]2018'!$B$14+'[1]2018'!$B$15+'[1]2018'!$B$16</f>
        <v>15105500</v>
      </c>
      <c r="O8" s="687"/>
      <c r="P8" s="687"/>
      <c r="Q8" s="1232"/>
      <c r="R8" s="201">
        <f>+'[1]2018'!$B$6</f>
        <v>1243000</v>
      </c>
      <c r="S8" s="201"/>
      <c r="T8" s="201">
        <f>'[1]2018'!$B$4</f>
        <v>3969800</v>
      </c>
      <c r="U8" s="201">
        <f>+'[1]2018'!$B$7</f>
        <v>0</v>
      </c>
      <c r="V8" s="201">
        <f>+'[1]2018'!$B$8</f>
        <v>1050400</v>
      </c>
      <c r="W8" s="201">
        <f>+'[1]2018'!$B$9</f>
        <v>0</v>
      </c>
      <c r="X8" s="201"/>
      <c r="Y8" s="201"/>
      <c r="Z8" s="687"/>
      <c r="AA8" s="687"/>
      <c r="AB8" s="201">
        <f>+'[1]2018'!$B$10</f>
        <v>0</v>
      </c>
      <c r="AC8" s="687"/>
      <c r="AD8" s="687"/>
      <c r="AE8" s="201"/>
      <c r="AF8" s="687"/>
      <c r="AG8" s="687"/>
      <c r="AH8" s="201">
        <f>+'[1]2018'!$B$5</f>
        <v>0</v>
      </c>
      <c r="AI8" s="201"/>
      <c r="AJ8" s="201"/>
      <c r="AK8" s="201"/>
      <c r="AL8" s="687"/>
      <c r="AM8" s="687"/>
      <c r="AN8" s="201"/>
      <c r="AO8" s="687"/>
      <c r="AP8" s="687"/>
      <c r="AQ8" s="201"/>
      <c r="AR8" s="687"/>
      <c r="AS8" s="687"/>
      <c r="AT8" s="201">
        <f>+'[1]2018'!$B$11</f>
        <v>0</v>
      </c>
      <c r="AU8" s="687"/>
      <c r="AV8" s="687"/>
      <c r="AW8" s="201"/>
      <c r="AX8" s="687"/>
      <c r="AY8" s="687"/>
      <c r="AZ8" s="201"/>
      <c r="BA8" s="687"/>
      <c r="BB8" s="687"/>
      <c r="BC8" s="201"/>
      <c r="BD8" s="687"/>
      <c r="BE8" s="687"/>
      <c r="BF8" s="201"/>
      <c r="BG8" s="687"/>
      <c r="BH8" s="687"/>
      <c r="BI8" s="201"/>
      <c r="BJ8" s="201"/>
      <c r="BK8" s="687"/>
      <c r="BL8" s="687"/>
      <c r="BM8" s="201"/>
      <c r="BN8" s="201"/>
      <c r="BO8" s="687"/>
      <c r="BP8" s="687"/>
      <c r="BQ8" s="201"/>
      <c r="BR8" s="687"/>
      <c r="BS8" s="687"/>
      <c r="BT8" s="201"/>
      <c r="BU8" s="201"/>
      <c r="BV8" s="687"/>
      <c r="BW8" s="687"/>
      <c r="BX8" s="201"/>
      <c r="BY8" s="201"/>
      <c r="BZ8" s="201"/>
      <c r="CA8" s="201"/>
      <c r="CB8" s="687"/>
      <c r="CC8" s="687"/>
      <c r="CD8" s="201"/>
      <c r="CE8" s="201"/>
      <c r="CF8" s="687"/>
      <c r="CG8" s="687"/>
      <c r="CH8" s="201"/>
      <c r="CI8" s="687"/>
      <c r="CJ8" s="687"/>
      <c r="CK8" s="201"/>
      <c r="CL8" s="687"/>
      <c r="CM8" s="687"/>
      <c r="CN8" s="201"/>
      <c r="CO8" s="201"/>
      <c r="CP8" s="687"/>
      <c r="CQ8" s="687"/>
      <c r="CR8" s="687"/>
      <c r="CS8" s="201"/>
      <c r="CT8" s="201"/>
      <c r="CU8" s="201"/>
      <c r="CV8" s="201"/>
      <c r="CW8" s="201"/>
      <c r="CX8" s="201"/>
      <c r="CY8" s="189"/>
      <c r="CZ8" s="13">
        <f>+SUM(J8:N8)+SUM(Q8:Y8)+AB8+AE8+SUM(AH8:AK8)+AN8+AQ8+AT8+AW8+AZ8+BC8+BF8+BI8+BJ8+BM8+BN8+BQ8+BT8+BU8+SUM(BX8:CA8)+CD8+CE8+CH8+CK8+CN8+CO8+SUM(CS8:CY8)</f>
        <v>21368700</v>
      </c>
      <c r="DA8" s="436">
        <f t="shared" ref="DA8:DA39" si="0">CZ8-I8</f>
        <v>0</v>
      </c>
      <c r="DB8" s="879">
        <f>I8/C8</f>
        <v>1.1743013814350287</v>
      </c>
      <c r="DC8" s="37">
        <f>+P8+AA8+AD8++AG8+AM8+AP8+AS8+AV8+AY8+BB8+BE8+BH8+BL8+BP8+BS8+BW8+CC8+CG8+CJ8+CM8+CR8</f>
        <v>0</v>
      </c>
      <c r="DD8" s="9"/>
      <c r="DE8" s="13">
        <f t="shared" ref="DE8:DE52" si="1">I8-D8</f>
        <v>2277380</v>
      </c>
      <c r="DI8" s="1693"/>
      <c r="DJ8" s="1693"/>
    </row>
    <row r="9" spans="1:114" ht="17.25" customHeight="1" x14ac:dyDescent="0.25">
      <c r="A9" s="124">
        <v>5021</v>
      </c>
      <c r="B9" s="27" t="s">
        <v>127</v>
      </c>
      <c r="C9" s="39">
        <v>1425000</v>
      </c>
      <c r="D9" s="39">
        <v>1364000</v>
      </c>
      <c r="E9" s="39">
        <v>1430000</v>
      </c>
      <c r="F9" s="39">
        <v>1490740</v>
      </c>
      <c r="G9" s="39">
        <v>1434000</v>
      </c>
      <c r="H9" s="39">
        <v>1434000</v>
      </c>
      <c r="I9" s="39">
        <f t="shared" ref="I9:I11" si="2">SUM(J9:N9)+SUM(Q9:Y9)+AB9+AE9+SUM(AH9:AK9)+AN9+AQ9+AT9+AW9+AZ9+BC9+BF9+BI9+BJ9+BM9+BN9+BQ9+SUM(BT9:BU9)+BZ9+CA9+CD9+CE9+CH9+CK9+CN9+CO9+SUM(CS9:CY9)+BX9+BY9</f>
        <v>1371200</v>
      </c>
      <c r="J9" s="195"/>
      <c r="K9" s="202"/>
      <c r="L9" s="202"/>
      <c r="M9" s="202"/>
      <c r="N9" s="202">
        <f>+'[1]2018'!$C$3+'[1]2018'!$D$3+'[1]2018'!$C$12+'[1]2018'!$D$12+'[1]2018'!$C$13+'[1]2018'!$D$13+'[1]2018'!$C$14+'[1]2018'!$D$14+'[1]2018'!$C$15+'[1]2018'!$D$15+'[1]2018'!$C$16+'[1]2018'!$D$16</f>
        <v>1049000</v>
      </c>
      <c r="O9" s="375"/>
      <c r="P9" s="375"/>
      <c r="Q9" s="1233">
        <f>'[1]2018'!$D$17</f>
        <v>0</v>
      </c>
      <c r="R9" s="202">
        <f>+'[1]2018'!$C$6+'[1]2018'!$D$6</f>
        <v>0</v>
      </c>
      <c r="S9" s="202"/>
      <c r="T9" s="202">
        <f>+'[1]2018'!$C$4+'[1]2018'!$D$4</f>
        <v>120000</v>
      </c>
      <c r="U9" s="202">
        <f>+'[1]2018'!$C$7+'[1]2018'!$D$7</f>
        <v>0</v>
      </c>
      <c r="V9" s="202">
        <f>+'[1]2018'!$C$8+'[1]2018'!$D$8</f>
        <v>0</v>
      </c>
      <c r="W9" s="202">
        <f>+'[1]2018'!$C$9+'[1]2018'!$D$9</f>
        <v>131400</v>
      </c>
      <c r="X9" s="202"/>
      <c r="Y9" s="202"/>
      <c r="Z9" s="375"/>
      <c r="AA9" s="375"/>
      <c r="AB9" s="202">
        <f>+'[1]2018'!$C$10+'[1]2018'!$D$10</f>
        <v>0</v>
      </c>
      <c r="AC9" s="375"/>
      <c r="AD9" s="375"/>
      <c r="AE9" s="202"/>
      <c r="AF9" s="375"/>
      <c r="AG9" s="375"/>
      <c r="AH9" s="202">
        <f>+'[1]2018'!$C$5+'[1]2018'!$D$5</f>
        <v>70800</v>
      </c>
      <c r="AI9" s="202"/>
      <c r="AJ9" s="202"/>
      <c r="AK9" s="202"/>
      <c r="AL9" s="375"/>
      <c r="AM9" s="375"/>
      <c r="AN9" s="202"/>
      <c r="AO9" s="375"/>
      <c r="AP9" s="375"/>
      <c r="AQ9" s="202"/>
      <c r="AR9" s="375"/>
      <c r="AS9" s="375"/>
      <c r="AT9" s="202">
        <f>+'[1]2018'!$C$11+'[1]2018'!$D$11</f>
        <v>0</v>
      </c>
      <c r="AU9" s="375"/>
      <c r="AV9" s="375"/>
      <c r="AW9" s="202"/>
      <c r="AX9" s="375"/>
      <c r="AY9" s="375"/>
      <c r="AZ9" s="202"/>
      <c r="BA9" s="375"/>
      <c r="BB9" s="375"/>
      <c r="BC9" s="202"/>
      <c r="BD9" s="375"/>
      <c r="BE9" s="375"/>
      <c r="BF9" s="202"/>
      <c r="BG9" s="375"/>
      <c r="BH9" s="375"/>
      <c r="BI9" s="202"/>
      <c r="BJ9" s="202"/>
      <c r="BK9" s="375"/>
      <c r="BL9" s="375"/>
      <c r="BM9" s="202"/>
      <c r="BN9" s="202"/>
      <c r="BO9" s="375"/>
      <c r="BP9" s="375"/>
      <c r="BQ9" s="202"/>
      <c r="BR9" s="375"/>
      <c r="BS9" s="375"/>
      <c r="BT9" s="202"/>
      <c r="BU9" s="202"/>
      <c r="BV9" s="375"/>
      <c r="BW9" s="375"/>
      <c r="BX9" s="202"/>
      <c r="BY9" s="202"/>
      <c r="BZ9" s="202"/>
      <c r="CA9" s="202"/>
      <c r="CB9" s="375"/>
      <c r="CC9" s="375"/>
      <c r="CD9" s="202"/>
      <c r="CE9" s="202"/>
      <c r="CF9" s="375"/>
      <c r="CG9" s="375"/>
      <c r="CH9" s="202"/>
      <c r="CI9" s="375"/>
      <c r="CJ9" s="375"/>
      <c r="CK9" s="202"/>
      <c r="CL9" s="375"/>
      <c r="CM9" s="375"/>
      <c r="CN9" s="202"/>
      <c r="CO9" s="202"/>
      <c r="CP9" s="375"/>
      <c r="CQ9" s="375"/>
      <c r="CR9" s="375"/>
      <c r="CS9" s="202"/>
      <c r="CT9" s="202"/>
      <c r="CU9" s="202"/>
      <c r="CV9" s="202"/>
      <c r="CW9" s="202"/>
      <c r="CX9" s="202"/>
      <c r="CY9" s="190"/>
      <c r="CZ9" s="13">
        <f t="shared" ref="CZ9:CZ55" si="3">+SUM(J9:N9)+SUM(Q9:Y9)+AB9+AE9+SUM(AH9:AK9)+AN9+AQ9+AT9+AW9+AZ9+BC9+BF9+BI9+BJ9+BM9+BN9+BQ9+BT9+BU9+SUM(BX9:CA9)+CD9+CE9+CH9+CK9+CN9+CO9+SUM(CS9:CY9)</f>
        <v>1371200</v>
      </c>
      <c r="DA9" s="436">
        <f t="shared" si="0"/>
        <v>0</v>
      </c>
      <c r="DB9" s="879">
        <f>I9/C9</f>
        <v>0.96224561403508768</v>
      </c>
      <c r="DC9" s="39">
        <f t="shared" ref="DC9:DC15" si="4">+P9+AA9+AD9++AG9+AM9+AP9+AS9+AV9+AY9+BB9+BE9+BH9+BL9+BP9+BS9+BW9+CC9+CG9+CJ9+CM9+CR9</f>
        <v>0</v>
      </c>
      <c r="DD9" s="9"/>
      <c r="DE9" s="13">
        <f t="shared" si="1"/>
        <v>7200</v>
      </c>
      <c r="DI9" s="1693"/>
      <c r="DJ9" s="1693"/>
    </row>
    <row r="10" spans="1:114" ht="17.25" customHeight="1" x14ac:dyDescent="0.25">
      <c r="A10" s="124">
        <v>5023</v>
      </c>
      <c r="B10" s="27" t="s">
        <v>796</v>
      </c>
      <c r="C10" s="39">
        <v>1674000</v>
      </c>
      <c r="D10" s="39">
        <v>1740960</v>
      </c>
      <c r="E10" s="39">
        <v>1740960</v>
      </c>
      <c r="F10" s="39">
        <v>1740960</v>
      </c>
      <c r="G10" s="39">
        <v>2347000</v>
      </c>
      <c r="H10" s="39">
        <v>2347000</v>
      </c>
      <c r="I10" s="39">
        <f t="shared" si="2"/>
        <v>2347000</v>
      </c>
      <c r="J10" s="195" t="s">
        <v>1125</v>
      </c>
      <c r="K10" s="202"/>
      <c r="L10" s="202"/>
      <c r="M10" s="202">
        <f>'[1]2018'!$E$18</f>
        <v>2347000</v>
      </c>
      <c r="N10" s="202">
        <f>+'[1]2018'!$E$3+'[1]2018'!$E$12+'[1]2018'!$E$13+'[1]2018'!$E$14+'[1]2018'!$E$15+'[1]2018'!$E$16+'[1]2018'!$E$17</f>
        <v>0</v>
      </c>
      <c r="O10" s="375"/>
      <c r="P10" s="375"/>
      <c r="Q10" s="1233"/>
      <c r="R10" s="202">
        <f>+'[1]2018'!$E$6</f>
        <v>0</v>
      </c>
      <c r="S10" s="202"/>
      <c r="T10" s="202">
        <f>+'[1]2018'!$E$4</f>
        <v>0</v>
      </c>
      <c r="U10" s="202">
        <f>+'[1]2018'!$E$7</f>
        <v>0</v>
      </c>
      <c r="V10" s="202">
        <f>+'[1]2018'!$E$8</f>
        <v>0</v>
      </c>
      <c r="W10" s="202">
        <f>+'[1]2018'!$E$9</f>
        <v>0</v>
      </c>
      <c r="X10" s="202"/>
      <c r="Y10" s="202"/>
      <c r="Z10" s="375"/>
      <c r="AA10" s="375"/>
      <c r="AB10" s="202">
        <f>+'[1]2018'!$E$10</f>
        <v>0</v>
      </c>
      <c r="AC10" s="375"/>
      <c r="AD10" s="375"/>
      <c r="AE10" s="202"/>
      <c r="AF10" s="375"/>
      <c r="AG10" s="375"/>
      <c r="AH10" s="202">
        <f>+'[1]2018'!$E$5</f>
        <v>0</v>
      </c>
      <c r="AI10" s="202"/>
      <c r="AJ10" s="202"/>
      <c r="AK10" s="202"/>
      <c r="AL10" s="375"/>
      <c r="AM10" s="375"/>
      <c r="AN10" s="202"/>
      <c r="AO10" s="375"/>
      <c r="AP10" s="375"/>
      <c r="AQ10" s="202"/>
      <c r="AR10" s="375"/>
      <c r="AS10" s="375"/>
      <c r="AT10" s="202">
        <f>+'[1]2018'!$E$11</f>
        <v>0</v>
      </c>
      <c r="AU10" s="375"/>
      <c r="AV10" s="375"/>
      <c r="AW10" s="202"/>
      <c r="AX10" s="375"/>
      <c r="AY10" s="375"/>
      <c r="AZ10" s="202"/>
      <c r="BA10" s="375"/>
      <c r="BB10" s="375"/>
      <c r="BC10" s="202"/>
      <c r="BD10" s="375"/>
      <c r="BE10" s="375"/>
      <c r="BF10" s="202"/>
      <c r="BG10" s="375"/>
      <c r="BH10" s="375"/>
      <c r="BI10" s="202"/>
      <c r="BJ10" s="202"/>
      <c r="BK10" s="375"/>
      <c r="BL10" s="375"/>
      <c r="BM10" s="202"/>
      <c r="BN10" s="202"/>
      <c r="BO10" s="375"/>
      <c r="BP10" s="375"/>
      <c r="BQ10" s="202"/>
      <c r="BR10" s="375"/>
      <c r="BS10" s="375"/>
      <c r="BT10" s="202"/>
      <c r="BU10" s="202"/>
      <c r="BV10" s="375"/>
      <c r="BW10" s="375"/>
      <c r="BX10" s="202"/>
      <c r="BY10" s="202"/>
      <c r="BZ10" s="202"/>
      <c r="CA10" s="202"/>
      <c r="CB10" s="375"/>
      <c r="CC10" s="375"/>
      <c r="CD10" s="202"/>
      <c r="CE10" s="202"/>
      <c r="CF10" s="375"/>
      <c r="CG10" s="375"/>
      <c r="CH10" s="202"/>
      <c r="CI10" s="375"/>
      <c r="CJ10" s="375"/>
      <c r="CK10" s="202"/>
      <c r="CL10" s="375"/>
      <c r="CM10" s="375"/>
      <c r="CN10" s="202"/>
      <c r="CO10" s="202"/>
      <c r="CP10" s="375"/>
      <c r="CQ10" s="375"/>
      <c r="CR10" s="375"/>
      <c r="CS10" s="202"/>
      <c r="CT10" s="202"/>
      <c r="CU10" s="202"/>
      <c r="CV10" s="202"/>
      <c r="CW10" s="202"/>
      <c r="CX10" s="202"/>
      <c r="CY10" s="190"/>
      <c r="CZ10" s="13">
        <f t="shared" si="3"/>
        <v>2347000</v>
      </c>
      <c r="DA10" s="436">
        <f t="shared" si="0"/>
        <v>0</v>
      </c>
      <c r="DB10" s="879">
        <f>I10/C10</f>
        <v>1.4020310633213859</v>
      </c>
      <c r="DC10" s="39">
        <f t="shared" si="4"/>
        <v>0</v>
      </c>
      <c r="DD10" s="9"/>
      <c r="DE10" s="13">
        <f t="shared" si="1"/>
        <v>606040</v>
      </c>
      <c r="DI10" s="1693"/>
      <c r="DJ10" s="1693"/>
    </row>
    <row r="11" spans="1:114" ht="17.25" customHeight="1" x14ac:dyDescent="0.25">
      <c r="A11" s="124">
        <v>5024</v>
      </c>
      <c r="B11" s="27" t="s">
        <v>129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f t="shared" si="2"/>
        <v>657000</v>
      </c>
      <c r="J11" s="195"/>
      <c r="K11" s="202"/>
      <c r="L11" s="202"/>
      <c r="M11" s="202">
        <f>'[1]2018'!$F$18</f>
        <v>657000</v>
      </c>
      <c r="N11" s="202">
        <f>+'[1]2018'!$F$3+'[1]2018'!$F$12+'[1]2018'!$F$13+'[1]2018'!$F$14+'[1]2018'!$F$15+'[1]2018'!$F$16+'[1]2018'!$F$17</f>
        <v>0</v>
      </c>
      <c r="O11" s="375"/>
      <c r="P11" s="375"/>
      <c r="Q11" s="1233"/>
      <c r="R11" s="202">
        <f>+'[1]2018'!$F$6</f>
        <v>0</v>
      </c>
      <c r="S11" s="202"/>
      <c r="T11" s="202">
        <f>+'[1]2018'!$F$4</f>
        <v>0</v>
      </c>
      <c r="U11" s="202">
        <f>+'[1]2018'!$F$7</f>
        <v>0</v>
      </c>
      <c r="V11" s="202">
        <f>+'[1]2018'!$F$8</f>
        <v>0</v>
      </c>
      <c r="W11" s="202">
        <f>+'[1]2018'!$F$9</f>
        <v>0</v>
      </c>
      <c r="X11" s="202"/>
      <c r="Y11" s="202"/>
      <c r="Z11" s="375"/>
      <c r="AA11" s="375"/>
      <c r="AB11" s="202">
        <f>+'[1]2018'!$F$10</f>
        <v>0</v>
      </c>
      <c r="AC11" s="375"/>
      <c r="AD11" s="375"/>
      <c r="AE11" s="202"/>
      <c r="AF11" s="375"/>
      <c r="AG11" s="375"/>
      <c r="AH11" s="202">
        <f>+'[1]2018'!$F$5</f>
        <v>0</v>
      </c>
      <c r="AI11" s="202"/>
      <c r="AJ11" s="202"/>
      <c r="AK11" s="202"/>
      <c r="AL11" s="375"/>
      <c r="AM11" s="375"/>
      <c r="AN11" s="202"/>
      <c r="AO11" s="375"/>
      <c r="AP11" s="375"/>
      <c r="AQ11" s="202"/>
      <c r="AR11" s="375"/>
      <c r="AS11" s="375"/>
      <c r="AT11" s="202">
        <f>+'[1]2018'!$F$11</f>
        <v>0</v>
      </c>
      <c r="AU11" s="375"/>
      <c r="AV11" s="375"/>
      <c r="AW11" s="202"/>
      <c r="AX11" s="375"/>
      <c r="AY11" s="375"/>
      <c r="AZ11" s="202"/>
      <c r="BA11" s="375"/>
      <c r="BB11" s="375"/>
      <c r="BC11" s="202"/>
      <c r="BD11" s="375"/>
      <c r="BE11" s="375"/>
      <c r="BF11" s="202"/>
      <c r="BG11" s="375"/>
      <c r="BH11" s="375"/>
      <c r="BI11" s="202"/>
      <c r="BJ11" s="202"/>
      <c r="BK11" s="375"/>
      <c r="BL11" s="375"/>
      <c r="BM11" s="202"/>
      <c r="BN11" s="202"/>
      <c r="BO11" s="375"/>
      <c r="BP11" s="375"/>
      <c r="BQ11" s="202"/>
      <c r="BR11" s="375"/>
      <c r="BS11" s="375"/>
      <c r="BT11" s="202"/>
      <c r="BU11" s="202"/>
      <c r="BV11" s="375"/>
      <c r="BW11" s="375"/>
      <c r="BX11" s="202"/>
      <c r="BY11" s="202"/>
      <c r="BZ11" s="202"/>
      <c r="CA11" s="202"/>
      <c r="CB11" s="375"/>
      <c r="CC11" s="375"/>
      <c r="CD11" s="202"/>
      <c r="CE11" s="202"/>
      <c r="CF11" s="375"/>
      <c r="CG11" s="375"/>
      <c r="CH11" s="202"/>
      <c r="CI11" s="375"/>
      <c r="CJ11" s="375"/>
      <c r="CK11" s="202"/>
      <c r="CL11" s="375"/>
      <c r="CM11" s="375"/>
      <c r="CN11" s="202"/>
      <c r="CO11" s="202"/>
      <c r="CP11" s="375"/>
      <c r="CQ11" s="375"/>
      <c r="CR11" s="375"/>
      <c r="CS11" s="202"/>
      <c r="CT11" s="202"/>
      <c r="CU11" s="202"/>
      <c r="CV11" s="202"/>
      <c r="CW11" s="202"/>
      <c r="CX11" s="202"/>
      <c r="CY11" s="190"/>
      <c r="CZ11" s="13">
        <f t="shared" si="3"/>
        <v>657000</v>
      </c>
      <c r="DA11" s="436">
        <f t="shared" si="0"/>
        <v>0</v>
      </c>
      <c r="DB11" s="879"/>
      <c r="DC11" s="39">
        <f t="shared" si="4"/>
        <v>0</v>
      </c>
      <c r="DD11" s="9"/>
      <c r="DE11" s="13">
        <f t="shared" si="1"/>
        <v>657000</v>
      </c>
      <c r="DI11" s="1693"/>
      <c r="DJ11" s="1693"/>
    </row>
    <row r="12" spans="1:114" ht="17.25" customHeight="1" x14ac:dyDescent="0.25">
      <c r="A12" s="124">
        <v>5029</v>
      </c>
      <c r="B12" s="27" t="s">
        <v>130</v>
      </c>
      <c r="C12" s="39">
        <v>30000</v>
      </c>
      <c r="D12" s="39">
        <v>30000</v>
      </c>
      <c r="E12" s="39">
        <v>30000</v>
      </c>
      <c r="F12" s="39">
        <v>30000</v>
      </c>
      <c r="G12" s="39">
        <v>30000</v>
      </c>
      <c r="H12" s="39">
        <v>30000</v>
      </c>
      <c r="I12" s="39">
        <f>SUM(J12:N12)+SUM(Q12:Y12)+AB12+AE12+SUM(AH12:AK12)+AN12+AQ12+AT12+AW12+AZ12+BC12+BF12+BI12+BJ12+BM12+BN12+BQ12+SUM(BT12:BU12)+BZ12+CA12+CD12+CE12+CH12+CK12+CN12+CO12+SUM(CS12:CY12)+BX12+BY12</f>
        <v>30000</v>
      </c>
      <c r="J12" s="195"/>
      <c r="K12" s="202"/>
      <c r="L12" s="202"/>
      <c r="M12" s="202"/>
      <c r="N12" s="202">
        <f>+'[1]2018'!$G$3+'[1]2018'!$G$12+'[1]2018'!$G$13+'[1]2018'!$G$14+'[1]2018'!$G$15+'[1]2018'!$G$16</f>
        <v>0</v>
      </c>
      <c r="O12" s="375"/>
      <c r="P12" s="375"/>
      <c r="Q12" s="1233"/>
      <c r="R12" s="202">
        <f>+'[1]2018'!$G$6</f>
        <v>0</v>
      </c>
      <c r="S12" s="202"/>
      <c r="T12" s="202">
        <f>+'[1]2018'!$G$4</f>
        <v>0</v>
      </c>
      <c r="U12" s="202">
        <f>+'[1]2018'!$G$7</f>
        <v>0</v>
      </c>
      <c r="V12" s="202">
        <f>+'[1]2018'!$G$8</f>
        <v>0</v>
      </c>
      <c r="W12" s="202">
        <f>+'[1]2018'!$G$9</f>
        <v>0</v>
      </c>
      <c r="X12" s="202"/>
      <c r="Y12" s="202"/>
      <c r="Z12" s="375"/>
      <c r="AA12" s="375"/>
      <c r="AB12" s="202">
        <f>+'[1]2018'!$G$10</f>
        <v>0</v>
      </c>
      <c r="AC12" s="375"/>
      <c r="AD12" s="375"/>
      <c r="AE12" s="202"/>
      <c r="AF12" s="375"/>
      <c r="AG12" s="375"/>
      <c r="AH12" s="202">
        <f>+'[1]2018'!$G$5</f>
        <v>30000</v>
      </c>
      <c r="AI12" s="202"/>
      <c r="AJ12" s="202"/>
      <c r="AK12" s="202"/>
      <c r="AL12" s="375"/>
      <c r="AM12" s="375"/>
      <c r="AN12" s="202"/>
      <c r="AO12" s="375"/>
      <c r="AP12" s="375"/>
      <c r="AQ12" s="202"/>
      <c r="AR12" s="375"/>
      <c r="AS12" s="375"/>
      <c r="AT12" s="202">
        <f>+'[1]2018'!$G$11</f>
        <v>0</v>
      </c>
      <c r="AU12" s="375"/>
      <c r="AV12" s="375"/>
      <c r="AW12" s="202"/>
      <c r="AX12" s="375"/>
      <c r="AY12" s="375"/>
      <c r="AZ12" s="202"/>
      <c r="BA12" s="375"/>
      <c r="BB12" s="375"/>
      <c r="BC12" s="202"/>
      <c r="BD12" s="375"/>
      <c r="BE12" s="375"/>
      <c r="BF12" s="202"/>
      <c r="BG12" s="375"/>
      <c r="BH12" s="375"/>
      <c r="BI12" s="202"/>
      <c r="BJ12" s="202"/>
      <c r="BK12" s="375"/>
      <c r="BL12" s="375"/>
      <c r="BM12" s="202"/>
      <c r="BN12" s="202"/>
      <c r="BO12" s="375"/>
      <c r="BP12" s="375"/>
      <c r="BQ12" s="202"/>
      <c r="BR12" s="375"/>
      <c r="BS12" s="375"/>
      <c r="BT12" s="202"/>
      <c r="BU12" s="202"/>
      <c r="BV12" s="375"/>
      <c r="BW12" s="375"/>
      <c r="BX12" s="202"/>
      <c r="BY12" s="202"/>
      <c r="BZ12" s="202"/>
      <c r="CA12" s="202"/>
      <c r="CB12" s="375"/>
      <c r="CC12" s="375"/>
      <c r="CD12" s="202"/>
      <c r="CE12" s="202"/>
      <c r="CF12" s="375"/>
      <c r="CG12" s="375"/>
      <c r="CH12" s="202"/>
      <c r="CI12" s="375"/>
      <c r="CJ12" s="375"/>
      <c r="CK12" s="202"/>
      <c r="CL12" s="375"/>
      <c r="CM12" s="375"/>
      <c r="CN12" s="202"/>
      <c r="CO12" s="202"/>
      <c r="CP12" s="375"/>
      <c r="CQ12" s="375"/>
      <c r="CR12" s="375"/>
      <c r="CS12" s="202"/>
      <c r="CT12" s="202"/>
      <c r="CU12" s="202"/>
      <c r="CV12" s="202"/>
      <c r="CW12" s="202"/>
      <c r="CX12" s="202"/>
      <c r="CY12" s="190"/>
      <c r="CZ12" s="13">
        <f t="shared" si="3"/>
        <v>30000</v>
      </c>
      <c r="DA12" s="436">
        <f t="shared" si="0"/>
        <v>0</v>
      </c>
      <c r="DB12" s="879">
        <f>I12/C12</f>
        <v>1</v>
      </c>
      <c r="DC12" s="39">
        <f t="shared" si="4"/>
        <v>0</v>
      </c>
      <c r="DD12" s="9"/>
      <c r="DE12" s="13">
        <f t="shared" si="1"/>
        <v>0</v>
      </c>
      <c r="DI12" s="1693"/>
      <c r="DJ12" s="1693"/>
    </row>
    <row r="13" spans="1:114" ht="17.25" customHeight="1" x14ac:dyDescent="0.25">
      <c r="A13" s="124">
        <v>5031</v>
      </c>
      <c r="B13" s="27" t="s">
        <v>131</v>
      </c>
      <c r="C13" s="39">
        <v>5285986.75</v>
      </c>
      <c r="D13" s="39">
        <v>5463570</v>
      </c>
      <c r="E13" s="39">
        <v>5462070</v>
      </c>
      <c r="F13" s="39">
        <v>5525791</v>
      </c>
      <c r="G13" s="39">
        <v>5950850</v>
      </c>
      <c r="H13" s="39">
        <v>5950850</v>
      </c>
      <c r="I13" s="39">
        <f>SUM(J13:N13)+SUM(Q13:Y13)+AB13+AE13+SUM(AH13:AK13)+AN13+AQ13+AT13+AW13+AZ13+BC13+BF13+BI13+BJ13+BM13+BN13+BQ13+SUM(BT13:BU13)+BZ13+CA13+CD13+CE13+CH13+CK13+CN13+CO13+SUM(CS13:CY13)+BX13+BY13</f>
        <v>6218375</v>
      </c>
      <c r="J13" s="195"/>
      <c r="K13" s="202"/>
      <c r="L13" s="202"/>
      <c r="M13" s="202">
        <f>'[1]2018'!$H$18</f>
        <v>586750</v>
      </c>
      <c r="N13" s="202">
        <f>+'[1]2018'!$H$3+'[1]2018'!$H$12+'[1]2018'!$H$13+'[1]2018'!$H$14+'[1]2018'!$H$15+'[1]2018'!$H$16</f>
        <v>4037625</v>
      </c>
      <c r="O13" s="375"/>
      <c r="P13" s="375"/>
      <c r="Q13" s="1233">
        <f>'[1]2018'!$H$17</f>
        <v>0</v>
      </c>
      <c r="R13" s="202">
        <f>+'[1]2018'!$H$6</f>
        <v>310750</v>
      </c>
      <c r="S13" s="202"/>
      <c r="T13" s="202">
        <f>+'[1]2018'!$H$4</f>
        <v>992450</v>
      </c>
      <c r="U13" s="202">
        <f>+'[1]2018'!$H$7</f>
        <v>0</v>
      </c>
      <c r="V13" s="202">
        <f>+'[1]2018'!$H$8</f>
        <v>262600</v>
      </c>
      <c r="W13" s="202">
        <f>+'[1]2018'!$H$9</f>
        <v>10500</v>
      </c>
      <c r="X13" s="202"/>
      <c r="Y13" s="202"/>
      <c r="Z13" s="375"/>
      <c r="AA13" s="375"/>
      <c r="AB13" s="202">
        <f>+'[1]2018'!$H$10</f>
        <v>0</v>
      </c>
      <c r="AC13" s="375"/>
      <c r="AD13" s="375"/>
      <c r="AE13" s="202"/>
      <c r="AF13" s="375"/>
      <c r="AG13" s="375"/>
      <c r="AH13" s="202">
        <f>+'[1]2018'!$H$5</f>
        <v>17700</v>
      </c>
      <c r="AI13" s="202"/>
      <c r="AJ13" s="202"/>
      <c r="AK13" s="202"/>
      <c r="AL13" s="375"/>
      <c r="AM13" s="375"/>
      <c r="AN13" s="202"/>
      <c r="AO13" s="375"/>
      <c r="AP13" s="375"/>
      <c r="AQ13" s="202"/>
      <c r="AR13" s="375"/>
      <c r="AS13" s="375"/>
      <c r="AT13" s="202">
        <f>+'[1]2018'!$H$11</f>
        <v>0</v>
      </c>
      <c r="AU13" s="375"/>
      <c r="AV13" s="375"/>
      <c r="AW13" s="202"/>
      <c r="AX13" s="375"/>
      <c r="AY13" s="375"/>
      <c r="AZ13" s="202"/>
      <c r="BA13" s="375"/>
      <c r="BB13" s="375"/>
      <c r="BC13" s="202"/>
      <c r="BD13" s="375"/>
      <c r="BE13" s="375"/>
      <c r="BF13" s="202"/>
      <c r="BG13" s="375"/>
      <c r="BH13" s="375"/>
      <c r="BI13" s="202"/>
      <c r="BJ13" s="202"/>
      <c r="BK13" s="375"/>
      <c r="BL13" s="375"/>
      <c r="BM13" s="202"/>
      <c r="BN13" s="202"/>
      <c r="BO13" s="375"/>
      <c r="BP13" s="375"/>
      <c r="BQ13" s="202"/>
      <c r="BR13" s="375"/>
      <c r="BS13" s="375"/>
      <c r="BT13" s="202"/>
      <c r="BU13" s="202"/>
      <c r="BV13" s="375"/>
      <c r="BW13" s="375"/>
      <c r="BX13" s="202"/>
      <c r="BY13" s="202"/>
      <c r="BZ13" s="202"/>
      <c r="CA13" s="202"/>
      <c r="CB13" s="375"/>
      <c r="CC13" s="375"/>
      <c r="CD13" s="202"/>
      <c r="CE13" s="202"/>
      <c r="CF13" s="375"/>
      <c r="CG13" s="375"/>
      <c r="CH13" s="202"/>
      <c r="CI13" s="375"/>
      <c r="CJ13" s="375"/>
      <c r="CK13" s="202"/>
      <c r="CL13" s="375"/>
      <c r="CM13" s="375"/>
      <c r="CN13" s="202"/>
      <c r="CO13" s="202"/>
      <c r="CP13" s="375"/>
      <c r="CQ13" s="375"/>
      <c r="CR13" s="375"/>
      <c r="CS13" s="202"/>
      <c r="CT13" s="202"/>
      <c r="CU13" s="202"/>
      <c r="CV13" s="202"/>
      <c r="CW13" s="202"/>
      <c r="CX13" s="202"/>
      <c r="CY13" s="190"/>
      <c r="CZ13" s="13">
        <f t="shared" si="3"/>
        <v>6218375</v>
      </c>
      <c r="DA13" s="436">
        <f t="shared" si="0"/>
        <v>0</v>
      </c>
      <c r="DB13" s="879">
        <f>I13/C13</f>
        <v>1.1763886846670586</v>
      </c>
      <c r="DC13" s="39">
        <f t="shared" si="4"/>
        <v>0</v>
      </c>
      <c r="DD13" s="9"/>
      <c r="DE13" s="13">
        <f t="shared" si="1"/>
        <v>754805</v>
      </c>
      <c r="DI13" s="1693"/>
      <c r="DJ13" s="1693"/>
    </row>
    <row r="14" spans="1:114" ht="17.25" customHeight="1" x14ac:dyDescent="0.25">
      <c r="A14" s="124">
        <v>5032</v>
      </c>
      <c r="B14" s="27" t="s">
        <v>132</v>
      </c>
      <c r="C14" s="39">
        <v>1902955.2300000023</v>
      </c>
      <c r="D14" s="39">
        <v>1966885.2000000027</v>
      </c>
      <c r="E14" s="39">
        <v>1966345.2000000027</v>
      </c>
      <c r="F14" s="39">
        <v>1989284.7600000021</v>
      </c>
      <c r="G14" s="39">
        <v>2142306.0000000009</v>
      </c>
      <c r="H14" s="39">
        <v>2142306.0000000009</v>
      </c>
      <c r="I14" s="39">
        <f>SUM(J14:N14)+SUM(Q14:Y14)+AB14+AE14+SUM(AH14:AK14)+AN14+AQ14+AT14+AW14+AZ14+BC14+BF14+BI14+BJ14+BM14+BN14+BQ14+SUM(BT14:BU14)+BZ14+CA14+CD14+CE14+CH14+CK14+CN14+CO14+SUM(CS14:CY14)+BX14+BY14</f>
        <v>2238615.0000000009</v>
      </c>
      <c r="J14" s="195"/>
      <c r="K14" s="202"/>
      <c r="L14" s="202"/>
      <c r="M14" s="202">
        <f>'[1]2018'!$I$18</f>
        <v>211230</v>
      </c>
      <c r="N14" s="202">
        <f>+'[1]2018'!$I$3+'[1]2018'!$I$12+'[1]2018'!$I$13+'[1]2018'!$I$14+'[1]2018'!$I$15+'[1]2018'!$I$16</f>
        <v>1453545.0000000012</v>
      </c>
      <c r="O14" s="375"/>
      <c r="P14" s="375"/>
      <c r="Q14" s="1233">
        <f>'[1]2018'!$I$17</f>
        <v>0</v>
      </c>
      <c r="R14" s="202">
        <f>+'[1]2018'!$I$6</f>
        <v>111870</v>
      </c>
      <c r="S14" s="202"/>
      <c r="T14" s="202">
        <f>+'[1]2018'!$I$4</f>
        <v>357282</v>
      </c>
      <c r="U14" s="202">
        <f>+'[1]2018'!$I$7</f>
        <v>0</v>
      </c>
      <c r="V14" s="202">
        <f>+'[1]2018'!$I$8</f>
        <v>94536</v>
      </c>
      <c r="W14" s="202">
        <f>+'[1]2018'!$I$9</f>
        <v>3780</v>
      </c>
      <c r="X14" s="202"/>
      <c r="Y14" s="202"/>
      <c r="Z14" s="375"/>
      <c r="AA14" s="375"/>
      <c r="AB14" s="202">
        <f>+'[1]2018'!$I$10</f>
        <v>0</v>
      </c>
      <c r="AC14" s="375"/>
      <c r="AD14" s="375"/>
      <c r="AE14" s="202"/>
      <c r="AF14" s="375"/>
      <c r="AG14" s="375"/>
      <c r="AH14" s="202">
        <f>+'[1]2018'!$I$5</f>
        <v>6372</v>
      </c>
      <c r="AI14" s="202"/>
      <c r="AJ14" s="202"/>
      <c r="AK14" s="202"/>
      <c r="AL14" s="375"/>
      <c r="AM14" s="375"/>
      <c r="AN14" s="202"/>
      <c r="AO14" s="375"/>
      <c r="AP14" s="375"/>
      <c r="AQ14" s="202"/>
      <c r="AR14" s="375"/>
      <c r="AS14" s="375"/>
      <c r="AT14" s="202">
        <f>+'[1]2018'!$I$11</f>
        <v>0</v>
      </c>
      <c r="AU14" s="375"/>
      <c r="AV14" s="375"/>
      <c r="AW14" s="202"/>
      <c r="AX14" s="375"/>
      <c r="AY14" s="375"/>
      <c r="AZ14" s="202"/>
      <c r="BA14" s="375"/>
      <c r="BB14" s="375"/>
      <c r="BC14" s="202"/>
      <c r="BD14" s="375"/>
      <c r="BE14" s="375"/>
      <c r="BF14" s="202"/>
      <c r="BG14" s="375"/>
      <c r="BH14" s="375"/>
      <c r="BI14" s="202"/>
      <c r="BJ14" s="202"/>
      <c r="BK14" s="375"/>
      <c r="BL14" s="375"/>
      <c r="BM14" s="202"/>
      <c r="BN14" s="202"/>
      <c r="BO14" s="375"/>
      <c r="BP14" s="375"/>
      <c r="BQ14" s="202"/>
      <c r="BR14" s="375"/>
      <c r="BS14" s="375"/>
      <c r="BT14" s="202"/>
      <c r="BU14" s="202"/>
      <c r="BV14" s="375"/>
      <c r="BW14" s="375"/>
      <c r="BX14" s="202"/>
      <c r="BY14" s="202"/>
      <c r="BZ14" s="202"/>
      <c r="CA14" s="202"/>
      <c r="CB14" s="375"/>
      <c r="CC14" s="375"/>
      <c r="CD14" s="202"/>
      <c r="CE14" s="202"/>
      <c r="CF14" s="375"/>
      <c r="CG14" s="375"/>
      <c r="CH14" s="202"/>
      <c r="CI14" s="375"/>
      <c r="CJ14" s="375"/>
      <c r="CK14" s="202"/>
      <c r="CL14" s="375"/>
      <c r="CM14" s="375"/>
      <c r="CN14" s="202"/>
      <c r="CO14" s="202"/>
      <c r="CP14" s="375"/>
      <c r="CQ14" s="375"/>
      <c r="CR14" s="375"/>
      <c r="CS14" s="202"/>
      <c r="CT14" s="202"/>
      <c r="CU14" s="202"/>
      <c r="CV14" s="202"/>
      <c r="CW14" s="202"/>
      <c r="CX14" s="202"/>
      <c r="CY14" s="190"/>
      <c r="CZ14" s="13">
        <f t="shared" si="3"/>
        <v>2238615.0000000009</v>
      </c>
      <c r="DA14" s="436">
        <f t="shared" si="0"/>
        <v>0</v>
      </c>
      <c r="DB14" s="879">
        <f>I14/C14</f>
        <v>1.1763886846670577</v>
      </c>
      <c r="DC14" s="39">
        <f t="shared" si="4"/>
        <v>0</v>
      </c>
      <c r="DD14" s="9"/>
      <c r="DE14" s="13">
        <f t="shared" si="1"/>
        <v>271729.79999999818</v>
      </c>
      <c r="DI14" s="1693"/>
      <c r="DJ14" s="1693"/>
    </row>
    <row r="15" spans="1:114" ht="17.25" customHeight="1" x14ac:dyDescent="0.25">
      <c r="A15" s="124">
        <v>5038</v>
      </c>
      <c r="B15" s="27" t="s">
        <v>133</v>
      </c>
      <c r="C15" s="39">
        <v>88804.57739999998</v>
      </c>
      <c r="D15" s="39">
        <v>93169</v>
      </c>
      <c r="E15" s="39">
        <v>93169</v>
      </c>
      <c r="F15" s="39">
        <v>93407.308000000005</v>
      </c>
      <c r="G15" s="39">
        <v>99974.28</v>
      </c>
      <c r="H15" s="39">
        <v>99974.28</v>
      </c>
      <c r="I15" s="39">
        <f>SUM(J15:N15)+SUM(Q15:Y15)+AB15+AE15+SUM(AH15:AK15)+AN15+AQ15+AT15+AW15+AZ15+BC15+BF15+BI15+BJ15+BM15+BN15+BQ15+SUM(BT15:BU15)+BZ15+CA15+CD15+CE15+CH15+CK15+CN15+CO15+SUM(CS15:CY15)+BX15+BY15</f>
        <v>104468.7</v>
      </c>
      <c r="J15" s="195"/>
      <c r="K15" s="202"/>
      <c r="L15" s="202"/>
      <c r="M15" s="202">
        <f>'[1]2018'!$J$18</f>
        <v>9857.4</v>
      </c>
      <c r="N15" s="202">
        <f>+'[1]2018'!$J$3+'[1]2018'!$J$12+'[1]2018'!$J$13+'[1]2018'!$J$14+'[1]2018'!$J$15+'[1]2018'!$J$16</f>
        <v>67832.100000000006</v>
      </c>
      <c r="O15" s="375"/>
      <c r="P15" s="375"/>
      <c r="Q15" s="1233">
        <f>+'[1]2018'!$J$17</f>
        <v>0</v>
      </c>
      <c r="R15" s="202">
        <f>+'[1]2018'!$J$6</f>
        <v>5220.5999999999995</v>
      </c>
      <c r="S15" s="202"/>
      <c r="T15" s="202">
        <f>+'[1]2018'!$J$4</f>
        <v>16673.16</v>
      </c>
      <c r="U15" s="202">
        <f>+'[1]2018'!$J$7</f>
        <v>0</v>
      </c>
      <c r="V15" s="202">
        <f>+'[1]2018'!$J$8</f>
        <v>4411.6799999999994</v>
      </c>
      <c r="W15" s="202">
        <f>+'[1]2018'!$J$9</f>
        <v>176.39999999999998</v>
      </c>
      <c r="X15" s="202"/>
      <c r="Y15" s="202"/>
      <c r="Z15" s="375"/>
      <c r="AA15" s="375"/>
      <c r="AB15" s="202">
        <f>+'[1]2018'!$J$10</f>
        <v>0</v>
      </c>
      <c r="AC15" s="375"/>
      <c r="AD15" s="375"/>
      <c r="AE15" s="202"/>
      <c r="AF15" s="375"/>
      <c r="AG15" s="375"/>
      <c r="AH15" s="202">
        <f>+'[1]2018'!$J$5</f>
        <v>297.35999999999996</v>
      </c>
      <c r="AI15" s="202"/>
      <c r="AJ15" s="202"/>
      <c r="AK15" s="202"/>
      <c r="AL15" s="375"/>
      <c r="AM15" s="375"/>
      <c r="AN15" s="202"/>
      <c r="AO15" s="375"/>
      <c r="AP15" s="375"/>
      <c r="AQ15" s="202"/>
      <c r="AR15" s="375"/>
      <c r="AS15" s="375"/>
      <c r="AT15" s="202">
        <f>+'[1]2018'!$J$11</f>
        <v>0</v>
      </c>
      <c r="AU15" s="375"/>
      <c r="AV15" s="375"/>
      <c r="AW15" s="202"/>
      <c r="AX15" s="375"/>
      <c r="AY15" s="375"/>
      <c r="AZ15" s="202"/>
      <c r="BA15" s="375"/>
      <c r="BB15" s="375"/>
      <c r="BC15" s="202"/>
      <c r="BD15" s="375"/>
      <c r="BE15" s="375"/>
      <c r="BF15" s="202"/>
      <c r="BG15" s="375"/>
      <c r="BH15" s="375"/>
      <c r="BI15" s="202"/>
      <c r="BJ15" s="202"/>
      <c r="BK15" s="375"/>
      <c r="BL15" s="375"/>
      <c r="BM15" s="202"/>
      <c r="BN15" s="202"/>
      <c r="BO15" s="375"/>
      <c r="BP15" s="375"/>
      <c r="BQ15" s="202"/>
      <c r="BR15" s="375"/>
      <c r="BS15" s="375"/>
      <c r="BT15" s="202"/>
      <c r="BU15" s="202"/>
      <c r="BV15" s="375"/>
      <c r="BW15" s="375"/>
      <c r="BX15" s="202"/>
      <c r="BY15" s="202"/>
      <c r="BZ15" s="202"/>
      <c r="CA15" s="202"/>
      <c r="CB15" s="375"/>
      <c r="CC15" s="375"/>
      <c r="CD15" s="202"/>
      <c r="CE15" s="202"/>
      <c r="CF15" s="375"/>
      <c r="CG15" s="375"/>
      <c r="CH15" s="202"/>
      <c r="CI15" s="375"/>
      <c r="CJ15" s="375"/>
      <c r="CK15" s="202"/>
      <c r="CL15" s="375"/>
      <c r="CM15" s="375"/>
      <c r="CN15" s="202"/>
      <c r="CO15" s="202"/>
      <c r="CP15" s="375"/>
      <c r="CQ15" s="375"/>
      <c r="CR15" s="375"/>
      <c r="CS15" s="202"/>
      <c r="CT15" s="202"/>
      <c r="CU15" s="202"/>
      <c r="CV15" s="202"/>
      <c r="CW15" s="202"/>
      <c r="CX15" s="202"/>
      <c r="CY15" s="190"/>
      <c r="CZ15" s="13">
        <f t="shared" si="3"/>
        <v>104468.7</v>
      </c>
      <c r="DA15" s="436">
        <f t="shared" si="0"/>
        <v>0</v>
      </c>
      <c r="DB15" s="879">
        <f>I15/C15</f>
        <v>1.1763886846670588</v>
      </c>
      <c r="DC15" s="39">
        <f t="shared" si="4"/>
        <v>0</v>
      </c>
      <c r="DD15" s="9"/>
      <c r="DE15" s="13">
        <f t="shared" si="1"/>
        <v>11299.699999999997</v>
      </c>
      <c r="DI15" s="1693"/>
      <c r="DJ15" s="1693"/>
    </row>
    <row r="16" spans="1:114" s="1709" customFormat="1" ht="15" customHeight="1" thickBot="1" x14ac:dyDescent="0.3">
      <c r="A16" s="151" t="s">
        <v>134</v>
      </c>
      <c r="B16" s="152" t="s">
        <v>192</v>
      </c>
      <c r="C16" s="153">
        <f>SUM(C8:C15)</f>
        <v>28603693.557400003</v>
      </c>
      <c r="D16" s="153">
        <v>29749904.200000003</v>
      </c>
      <c r="E16" s="153">
        <v>29747864.200000003</v>
      </c>
      <c r="F16" s="153">
        <v>29822774.108000003</v>
      </c>
      <c r="G16" s="153">
        <v>32378530.280000001</v>
      </c>
      <c r="H16" s="153">
        <v>32378530.280000001</v>
      </c>
      <c r="I16" s="153">
        <f>SUM(I8:I15)</f>
        <v>34335358.700000003</v>
      </c>
      <c r="J16" s="196">
        <f t="shared" ref="J16:N16" si="5">SUM(J8:J15)</f>
        <v>0</v>
      </c>
      <c r="K16" s="203">
        <f t="shared" si="5"/>
        <v>0</v>
      </c>
      <c r="L16" s="203">
        <f t="shared" si="5"/>
        <v>0</v>
      </c>
      <c r="M16" s="203">
        <f t="shared" si="5"/>
        <v>3811837.4</v>
      </c>
      <c r="N16" s="203">
        <f t="shared" si="5"/>
        <v>21713502.100000001</v>
      </c>
      <c r="O16" s="688"/>
      <c r="P16" s="688"/>
      <c r="Q16" s="361">
        <f t="shared" ref="Q16:Y16" si="6">SUM(Q8:Q15)</f>
        <v>0</v>
      </c>
      <c r="R16" s="203">
        <f t="shared" si="6"/>
        <v>1670840.6</v>
      </c>
      <c r="S16" s="203">
        <f t="shared" si="6"/>
        <v>0</v>
      </c>
      <c r="T16" s="203">
        <f t="shared" si="6"/>
        <v>5456205.1600000001</v>
      </c>
      <c r="U16" s="203">
        <f t="shared" si="6"/>
        <v>0</v>
      </c>
      <c r="V16" s="203">
        <f t="shared" si="6"/>
        <v>1411947.68</v>
      </c>
      <c r="W16" s="203">
        <f t="shared" si="6"/>
        <v>145856.4</v>
      </c>
      <c r="X16" s="203">
        <f t="shared" si="6"/>
        <v>0</v>
      </c>
      <c r="Y16" s="203">
        <f t="shared" si="6"/>
        <v>0</v>
      </c>
      <c r="Z16" s="688"/>
      <c r="AA16" s="688"/>
      <c r="AB16" s="203">
        <f>SUM(AB8:AB15)</f>
        <v>0</v>
      </c>
      <c r="AC16" s="688"/>
      <c r="AD16" s="688"/>
      <c r="AE16" s="203">
        <f>SUM(AE8:AE15)</f>
        <v>0</v>
      </c>
      <c r="AF16" s="688"/>
      <c r="AG16" s="688"/>
      <c r="AH16" s="203">
        <f>SUM(AH8:AH15)</f>
        <v>125169.36</v>
      </c>
      <c r="AI16" s="203">
        <f>SUM(AI8:AI15)</f>
        <v>0</v>
      </c>
      <c r="AJ16" s="203">
        <f>SUM(AJ8:AJ15)</f>
        <v>0</v>
      </c>
      <c r="AK16" s="203">
        <f>SUM(AK8:AK15)</f>
        <v>0</v>
      </c>
      <c r="AL16" s="688"/>
      <c r="AM16" s="688"/>
      <c r="AN16" s="203">
        <f>SUM(AN8:AN15)</f>
        <v>0</v>
      </c>
      <c r="AO16" s="688"/>
      <c r="AP16" s="688"/>
      <c r="AQ16" s="203">
        <f>SUM(AQ8:AQ15)</f>
        <v>0</v>
      </c>
      <c r="AR16" s="688"/>
      <c r="AS16" s="688"/>
      <c r="AT16" s="203">
        <f>SUM(AT8:AT15)</f>
        <v>0</v>
      </c>
      <c r="AU16" s="688"/>
      <c r="AV16" s="688"/>
      <c r="AW16" s="203">
        <f>SUM(AW8:AW15)</f>
        <v>0</v>
      </c>
      <c r="AX16" s="688"/>
      <c r="AY16" s="688"/>
      <c r="AZ16" s="203">
        <f>SUM(AZ8:AZ15)</f>
        <v>0</v>
      </c>
      <c r="BA16" s="688"/>
      <c r="BB16" s="688"/>
      <c r="BC16" s="203">
        <f>SUM(BC8:BC15)</f>
        <v>0</v>
      </c>
      <c r="BD16" s="688"/>
      <c r="BE16" s="688"/>
      <c r="BF16" s="203">
        <f>SUM(BF8:BF15)</f>
        <v>0</v>
      </c>
      <c r="BG16" s="688"/>
      <c r="BH16" s="688"/>
      <c r="BI16" s="203">
        <f>SUM(BI8:BI15)</f>
        <v>0</v>
      </c>
      <c r="BJ16" s="203">
        <f>SUM(BJ8:BJ15)</f>
        <v>0</v>
      </c>
      <c r="BK16" s="688"/>
      <c r="BL16" s="688"/>
      <c r="BM16" s="203">
        <f>SUM(BM8:BM15)</f>
        <v>0</v>
      </c>
      <c r="BN16" s="203">
        <f>SUM(BN8:BN15)</f>
        <v>0</v>
      </c>
      <c r="BO16" s="688"/>
      <c r="BP16" s="688"/>
      <c r="BQ16" s="203">
        <f>SUM(BQ8:BQ15)</f>
        <v>0</v>
      </c>
      <c r="BR16" s="688"/>
      <c r="BS16" s="688"/>
      <c r="BT16" s="203">
        <f>SUM(BT8:BT15)</f>
        <v>0</v>
      </c>
      <c r="BU16" s="203">
        <f>SUM(BU8:BU15)</f>
        <v>0</v>
      </c>
      <c r="BV16" s="688"/>
      <c r="BW16" s="688"/>
      <c r="BX16" s="203">
        <f>SUM(BX8:BX15)</f>
        <v>0</v>
      </c>
      <c r="BY16" s="203">
        <f>SUM(BY8:BY15)</f>
        <v>0</v>
      </c>
      <c r="BZ16" s="203">
        <f>SUM(BZ8:BZ15)</f>
        <v>0</v>
      </c>
      <c r="CA16" s="203">
        <f>SUM(CA8:CA15)</f>
        <v>0</v>
      </c>
      <c r="CB16" s="688"/>
      <c r="CC16" s="688"/>
      <c r="CD16" s="203">
        <f>SUM(CD8:CD15)</f>
        <v>0</v>
      </c>
      <c r="CE16" s="203">
        <f>SUM(CE8:CE15)</f>
        <v>0</v>
      </c>
      <c r="CF16" s="688"/>
      <c r="CG16" s="688"/>
      <c r="CH16" s="203">
        <f>SUM(CH8:CH15)</f>
        <v>0</v>
      </c>
      <c r="CI16" s="688"/>
      <c r="CJ16" s="688"/>
      <c r="CK16" s="203">
        <f>SUM(CK8:CK15)</f>
        <v>0</v>
      </c>
      <c r="CL16" s="688"/>
      <c r="CM16" s="688"/>
      <c r="CN16" s="203">
        <f>SUM(CN8:CN15)</f>
        <v>0</v>
      </c>
      <c r="CO16" s="203">
        <f>SUM(CO8:CO15)</f>
        <v>0</v>
      </c>
      <c r="CP16" s="688"/>
      <c r="CQ16" s="688"/>
      <c r="CR16" s="688"/>
      <c r="CS16" s="203">
        <f t="shared" ref="CS16:CY16" si="7">SUM(CS8:CS15)</f>
        <v>0</v>
      </c>
      <c r="CT16" s="203">
        <f t="shared" si="7"/>
        <v>0</v>
      </c>
      <c r="CU16" s="203">
        <f t="shared" si="7"/>
        <v>0</v>
      </c>
      <c r="CV16" s="203">
        <f t="shared" si="7"/>
        <v>0</v>
      </c>
      <c r="CW16" s="203">
        <f t="shared" si="7"/>
        <v>0</v>
      </c>
      <c r="CX16" s="203">
        <f t="shared" si="7"/>
        <v>0</v>
      </c>
      <c r="CY16" s="154">
        <f t="shared" si="7"/>
        <v>0</v>
      </c>
      <c r="CZ16" s="13">
        <f t="shared" si="3"/>
        <v>34335358.700000003</v>
      </c>
      <c r="DA16" s="436">
        <f t="shared" si="0"/>
        <v>0</v>
      </c>
      <c r="DB16" s="879">
        <f>I16/C16</f>
        <v>1.2003819937134368</v>
      </c>
      <c r="DC16" s="153">
        <f>SUM(DC8:DC15)</f>
        <v>0</v>
      </c>
      <c r="DD16" s="129"/>
      <c r="DE16" s="13">
        <f t="shared" si="1"/>
        <v>4585454.5</v>
      </c>
    </row>
    <row r="17" spans="1:109" ht="13.5" customHeight="1" x14ac:dyDescent="0.25">
      <c r="A17" s="125">
        <v>5178</v>
      </c>
      <c r="B17" s="27" t="s">
        <v>135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f t="shared" ref="I17:I22" si="8">SUM(J17:N17)+SUM(R17:Y17)+AB17+AE17+SUM(AH17:AK17)+AN17+AQ17+AT17+AW17+AZ17+BC17+BF17+BI17+BJ17+BM17+BN17+BQ17+SUM(BT17:BU17)+BZ17+CA17+CD17+CE17+CH17+CK17+CN17+CO17+SUM(CS17:CY17)+BX17+BY17</f>
        <v>0</v>
      </c>
      <c r="J17" s="194"/>
      <c r="K17" s="201"/>
      <c r="L17" s="201"/>
      <c r="M17" s="201"/>
      <c r="N17" s="201"/>
      <c r="O17" s="687"/>
      <c r="P17" s="687"/>
      <c r="Q17" s="359"/>
      <c r="R17" s="201"/>
      <c r="S17" s="201"/>
      <c r="T17" s="201"/>
      <c r="U17" s="201"/>
      <c r="V17" s="201"/>
      <c r="W17" s="201"/>
      <c r="X17" s="201"/>
      <c r="Y17" s="201"/>
      <c r="Z17" s="687"/>
      <c r="AA17" s="687"/>
      <c r="AB17" s="201"/>
      <c r="AC17" s="687"/>
      <c r="AD17" s="687"/>
      <c r="AE17" s="201"/>
      <c r="AF17" s="687"/>
      <c r="AG17" s="687"/>
      <c r="AH17" s="201"/>
      <c r="AI17" s="201"/>
      <c r="AJ17" s="201"/>
      <c r="AK17" s="201"/>
      <c r="AL17" s="687"/>
      <c r="AM17" s="687"/>
      <c r="AN17" s="201"/>
      <c r="AO17" s="687"/>
      <c r="AP17" s="687"/>
      <c r="AQ17" s="201"/>
      <c r="AR17" s="687"/>
      <c r="AS17" s="687"/>
      <c r="AT17" s="201"/>
      <c r="AU17" s="687"/>
      <c r="AV17" s="687"/>
      <c r="AW17" s="201"/>
      <c r="AX17" s="687"/>
      <c r="AY17" s="687"/>
      <c r="AZ17" s="201"/>
      <c r="BA17" s="687"/>
      <c r="BB17" s="687"/>
      <c r="BC17" s="201"/>
      <c r="BD17" s="687"/>
      <c r="BE17" s="687"/>
      <c r="BF17" s="201"/>
      <c r="BG17" s="687"/>
      <c r="BH17" s="687"/>
      <c r="BI17" s="201"/>
      <c r="BJ17" s="201"/>
      <c r="BK17" s="687"/>
      <c r="BL17" s="687"/>
      <c r="BM17" s="201"/>
      <c r="BN17" s="201"/>
      <c r="BO17" s="687"/>
      <c r="BP17" s="687"/>
      <c r="BQ17" s="201"/>
      <c r="BR17" s="687"/>
      <c r="BS17" s="687"/>
      <c r="BT17" s="201"/>
      <c r="BU17" s="201"/>
      <c r="BV17" s="687"/>
      <c r="BW17" s="687"/>
      <c r="BX17" s="201"/>
      <c r="BY17" s="201"/>
      <c r="BZ17" s="201"/>
      <c r="CA17" s="201"/>
      <c r="CB17" s="687"/>
      <c r="CC17" s="687"/>
      <c r="CD17" s="201"/>
      <c r="CE17" s="201"/>
      <c r="CF17" s="687"/>
      <c r="CG17" s="687"/>
      <c r="CH17" s="201"/>
      <c r="CI17" s="687"/>
      <c r="CJ17" s="687"/>
      <c r="CK17" s="201"/>
      <c r="CL17" s="687"/>
      <c r="CM17" s="687"/>
      <c r="CN17" s="201"/>
      <c r="CO17" s="201"/>
      <c r="CP17" s="687"/>
      <c r="CQ17" s="687"/>
      <c r="CR17" s="687"/>
      <c r="CS17" s="201"/>
      <c r="CT17" s="201"/>
      <c r="CU17" s="201"/>
      <c r="CV17" s="201"/>
      <c r="CW17" s="201"/>
      <c r="CX17" s="201"/>
      <c r="CY17" s="189"/>
      <c r="CZ17" s="13">
        <f t="shared" si="3"/>
        <v>0</v>
      </c>
      <c r="DA17" s="436">
        <f t="shared" si="0"/>
        <v>0</v>
      </c>
      <c r="DB17" s="879"/>
      <c r="DC17" s="37">
        <f t="shared" ref="DC17:DC55" si="9">+P17+AA17+AD17++AG17+AM17+AP17+AS17+AV17+AY17+BB17+BE17+BH17+BL17+BP17+BS17+BW17+CC17+CG17+CJ17+CM17+CR17</f>
        <v>0</v>
      </c>
      <c r="DD17" s="9"/>
      <c r="DE17" s="13">
        <f t="shared" si="1"/>
        <v>0</v>
      </c>
    </row>
    <row r="18" spans="1:109" ht="13.5" customHeight="1" x14ac:dyDescent="0.25">
      <c r="A18" s="125">
        <v>5132</v>
      </c>
      <c r="B18" s="27" t="s">
        <v>136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f t="shared" si="8"/>
        <v>0</v>
      </c>
      <c r="J18" s="195"/>
      <c r="K18" s="202"/>
      <c r="L18" s="202"/>
      <c r="M18" s="202"/>
      <c r="N18" s="202"/>
      <c r="O18" s="375"/>
      <c r="P18" s="375"/>
      <c r="Q18" s="360"/>
      <c r="R18" s="202"/>
      <c r="S18" s="202"/>
      <c r="T18" s="202"/>
      <c r="U18" s="202"/>
      <c r="V18" s="202"/>
      <c r="W18" s="202"/>
      <c r="X18" s="202"/>
      <c r="Y18" s="202"/>
      <c r="Z18" s="375"/>
      <c r="AA18" s="375"/>
      <c r="AB18" s="202"/>
      <c r="AC18" s="375"/>
      <c r="AD18" s="375"/>
      <c r="AE18" s="202"/>
      <c r="AF18" s="375"/>
      <c r="AG18" s="375"/>
      <c r="AH18" s="202"/>
      <c r="AI18" s="202"/>
      <c r="AJ18" s="202"/>
      <c r="AK18" s="202"/>
      <c r="AL18" s="375"/>
      <c r="AM18" s="375"/>
      <c r="AN18" s="202"/>
      <c r="AO18" s="375"/>
      <c r="AP18" s="375"/>
      <c r="AQ18" s="202"/>
      <c r="AR18" s="375"/>
      <c r="AS18" s="375"/>
      <c r="AT18" s="202"/>
      <c r="AU18" s="375"/>
      <c r="AV18" s="375"/>
      <c r="AW18" s="202"/>
      <c r="AX18" s="375"/>
      <c r="AY18" s="375"/>
      <c r="AZ18" s="202"/>
      <c r="BA18" s="375"/>
      <c r="BB18" s="375"/>
      <c r="BC18" s="202"/>
      <c r="BD18" s="375"/>
      <c r="BE18" s="375"/>
      <c r="BF18" s="202"/>
      <c r="BG18" s="375"/>
      <c r="BH18" s="375"/>
      <c r="BI18" s="202"/>
      <c r="BJ18" s="202"/>
      <c r="BK18" s="375"/>
      <c r="BL18" s="375"/>
      <c r="BM18" s="202"/>
      <c r="BN18" s="202"/>
      <c r="BO18" s="375"/>
      <c r="BP18" s="375"/>
      <c r="BQ18" s="202"/>
      <c r="BR18" s="375"/>
      <c r="BS18" s="375"/>
      <c r="BT18" s="202"/>
      <c r="BU18" s="202"/>
      <c r="BV18" s="375"/>
      <c r="BW18" s="375"/>
      <c r="BX18" s="202"/>
      <c r="BY18" s="202"/>
      <c r="BZ18" s="202"/>
      <c r="CA18" s="202"/>
      <c r="CB18" s="375"/>
      <c r="CC18" s="375"/>
      <c r="CD18" s="202"/>
      <c r="CE18" s="202">
        <f>'[2]Popelnice 3722-1'!$B$4</f>
        <v>0</v>
      </c>
      <c r="CF18" s="375"/>
      <c r="CG18" s="375"/>
      <c r="CH18" s="202"/>
      <c r="CI18" s="375"/>
      <c r="CJ18" s="375"/>
      <c r="CK18" s="202"/>
      <c r="CL18" s="375"/>
      <c r="CM18" s="375"/>
      <c r="CN18" s="202"/>
      <c r="CO18" s="202"/>
      <c r="CP18" s="375"/>
      <c r="CQ18" s="375"/>
      <c r="CR18" s="375"/>
      <c r="CS18" s="202"/>
      <c r="CT18" s="202"/>
      <c r="CU18" s="202"/>
      <c r="CV18" s="202"/>
      <c r="CW18" s="202"/>
      <c r="CX18" s="202"/>
      <c r="CY18" s="190"/>
      <c r="CZ18" s="13">
        <f t="shared" si="3"/>
        <v>0</v>
      </c>
      <c r="DA18" s="436">
        <f t="shared" si="0"/>
        <v>0</v>
      </c>
      <c r="DB18" s="879"/>
      <c r="DC18" s="39">
        <f t="shared" si="9"/>
        <v>0</v>
      </c>
      <c r="DD18" s="9"/>
      <c r="DE18" s="13">
        <f t="shared" si="1"/>
        <v>0</v>
      </c>
    </row>
    <row r="19" spans="1:109" ht="13.5" customHeight="1" x14ac:dyDescent="0.25">
      <c r="A19" s="125">
        <v>5134</v>
      </c>
      <c r="B19" s="27" t="s">
        <v>137</v>
      </c>
      <c r="C19" s="39">
        <v>300000</v>
      </c>
      <c r="D19" s="39">
        <v>108000</v>
      </c>
      <c r="E19" s="39">
        <v>108000</v>
      </c>
      <c r="F19" s="39">
        <v>108000</v>
      </c>
      <c r="G19" s="39">
        <v>156000</v>
      </c>
      <c r="H19" s="39">
        <v>156000</v>
      </c>
      <c r="I19" s="39">
        <f t="shared" si="8"/>
        <v>156000</v>
      </c>
      <c r="J19" s="195"/>
      <c r="K19" s="202"/>
      <c r="L19" s="202"/>
      <c r="M19" s="202"/>
      <c r="N19" s="202"/>
      <c r="O19" s="375"/>
      <c r="P19" s="375"/>
      <c r="Q19" s="360"/>
      <c r="R19" s="202">
        <f>'[3]Pečovatelská služba'!$B$4</f>
        <v>20000</v>
      </c>
      <c r="S19" s="202"/>
      <c r="T19" s="202">
        <f>'[3]Městská policie'!$B$4</f>
        <v>86000</v>
      </c>
      <c r="U19" s="202"/>
      <c r="V19" s="202"/>
      <c r="W19" s="202"/>
      <c r="X19" s="202"/>
      <c r="Y19" s="202"/>
      <c r="Z19" s="375"/>
      <c r="AA19" s="375"/>
      <c r="AB19" s="202"/>
      <c r="AC19" s="375"/>
      <c r="AD19" s="375"/>
      <c r="AE19" s="202"/>
      <c r="AF19" s="375"/>
      <c r="AG19" s="375"/>
      <c r="AH19" s="202">
        <f>[3]Hasiči!$B$4</f>
        <v>50000</v>
      </c>
      <c r="AI19" s="202"/>
      <c r="AJ19" s="202"/>
      <c r="AK19" s="202"/>
      <c r="AL19" s="375"/>
      <c r="AM19" s="375"/>
      <c r="AN19" s="202"/>
      <c r="AO19" s="375"/>
      <c r="AP19" s="375"/>
      <c r="AQ19" s="202"/>
      <c r="AR19" s="375"/>
      <c r="AS19" s="375"/>
      <c r="AT19" s="202"/>
      <c r="AU19" s="375"/>
      <c r="AV19" s="375"/>
      <c r="AW19" s="202"/>
      <c r="AX19" s="375"/>
      <c r="AY19" s="375"/>
      <c r="AZ19" s="202"/>
      <c r="BA19" s="375"/>
      <c r="BB19" s="375"/>
      <c r="BC19" s="202"/>
      <c r="BD19" s="375"/>
      <c r="BE19" s="375"/>
      <c r="BF19" s="202"/>
      <c r="BG19" s="375"/>
      <c r="BH19" s="375"/>
      <c r="BI19" s="202"/>
      <c r="BJ19" s="202"/>
      <c r="BK19" s="375"/>
      <c r="BL19" s="375"/>
      <c r="BM19" s="202"/>
      <c r="BN19" s="202"/>
      <c r="BO19" s="375"/>
      <c r="BP19" s="375"/>
      <c r="BQ19" s="202"/>
      <c r="BR19" s="375"/>
      <c r="BS19" s="375"/>
      <c r="BT19" s="202"/>
      <c r="BU19" s="202"/>
      <c r="BV19" s="375"/>
      <c r="BW19" s="375"/>
      <c r="BX19" s="202"/>
      <c r="BY19" s="202"/>
      <c r="BZ19" s="202"/>
      <c r="CA19" s="202"/>
      <c r="CB19" s="375"/>
      <c r="CC19" s="375"/>
      <c r="CD19" s="202"/>
      <c r="CE19" s="202"/>
      <c r="CF19" s="375"/>
      <c r="CG19" s="375"/>
      <c r="CH19" s="202"/>
      <c r="CI19" s="375"/>
      <c r="CJ19" s="375"/>
      <c r="CK19" s="202"/>
      <c r="CL19" s="375"/>
      <c r="CM19" s="375"/>
      <c r="CN19" s="202"/>
      <c r="CO19" s="202"/>
      <c r="CP19" s="375"/>
      <c r="CQ19" s="375"/>
      <c r="CR19" s="375"/>
      <c r="CS19" s="202"/>
      <c r="CT19" s="202"/>
      <c r="CU19" s="202"/>
      <c r="CV19" s="202"/>
      <c r="CW19" s="202"/>
      <c r="CX19" s="202"/>
      <c r="CY19" s="190"/>
      <c r="CZ19" s="13">
        <f t="shared" si="3"/>
        <v>156000</v>
      </c>
      <c r="DA19" s="436">
        <f t="shared" si="0"/>
        <v>0</v>
      </c>
      <c r="DB19" s="879">
        <f t="shared" ref="DB19:DB38" si="10">I19/C19</f>
        <v>0.52</v>
      </c>
      <c r="DC19" s="39">
        <f t="shared" si="9"/>
        <v>0</v>
      </c>
      <c r="DD19" s="9"/>
      <c r="DE19" s="13">
        <f t="shared" si="1"/>
        <v>48000</v>
      </c>
    </row>
    <row r="20" spans="1:109" ht="13.5" customHeight="1" x14ac:dyDescent="0.25">
      <c r="A20" s="125">
        <v>5136</v>
      </c>
      <c r="B20" s="27" t="s">
        <v>138</v>
      </c>
      <c r="C20" s="39">
        <v>201000</v>
      </c>
      <c r="D20" s="39">
        <v>261000</v>
      </c>
      <c r="E20" s="39">
        <v>261000</v>
      </c>
      <c r="F20" s="39">
        <v>261000</v>
      </c>
      <c r="G20" s="39">
        <v>261000</v>
      </c>
      <c r="H20" s="39">
        <v>261000</v>
      </c>
      <c r="I20" s="39">
        <f t="shared" si="8"/>
        <v>261000</v>
      </c>
      <c r="J20" s="195"/>
      <c r="K20" s="202"/>
      <c r="L20" s="202"/>
      <c r="M20" s="202">
        <f>[3]Zastupitelé!$B$4</f>
        <v>8000</v>
      </c>
      <c r="N20" s="202">
        <f>[3]Správa!$B$4</f>
        <v>45000</v>
      </c>
      <c r="O20" s="375"/>
      <c r="P20" s="375"/>
      <c r="Q20" s="360"/>
      <c r="R20" s="202"/>
      <c r="S20" s="202"/>
      <c r="T20" s="202">
        <f>'[3]Městská policie'!$B$11</f>
        <v>3000</v>
      </c>
      <c r="U20" s="202">
        <f>[3]Kronika!$B$4</f>
        <v>5000</v>
      </c>
      <c r="V20" s="202">
        <f>[3]Knihovna!$B$4</f>
        <v>200000</v>
      </c>
      <c r="W20" s="202"/>
      <c r="X20" s="202"/>
      <c r="Y20" s="202"/>
      <c r="Z20" s="375"/>
      <c r="AA20" s="375"/>
      <c r="AB20" s="202"/>
      <c r="AC20" s="375"/>
      <c r="AD20" s="375"/>
      <c r="AE20" s="202"/>
      <c r="AF20" s="375"/>
      <c r="AG20" s="375"/>
      <c r="AH20" s="202"/>
      <c r="AI20" s="202"/>
      <c r="AJ20" s="202"/>
      <c r="AK20" s="202"/>
      <c r="AL20" s="375"/>
      <c r="AM20" s="375"/>
      <c r="AN20" s="202"/>
      <c r="AO20" s="375"/>
      <c r="AP20" s="375"/>
      <c r="AQ20" s="202"/>
      <c r="AR20" s="375"/>
      <c r="AS20" s="375"/>
      <c r="AT20" s="202"/>
      <c r="AU20" s="375"/>
      <c r="AV20" s="375"/>
      <c r="AW20" s="202"/>
      <c r="AX20" s="375"/>
      <c r="AY20" s="375"/>
      <c r="AZ20" s="202"/>
      <c r="BA20" s="375"/>
      <c r="BB20" s="375"/>
      <c r="BC20" s="202"/>
      <c r="BD20" s="375"/>
      <c r="BE20" s="375"/>
      <c r="BF20" s="202"/>
      <c r="BG20" s="375"/>
      <c r="BH20" s="375"/>
      <c r="BI20" s="202"/>
      <c r="BJ20" s="202"/>
      <c r="BK20" s="375"/>
      <c r="BL20" s="375"/>
      <c r="BM20" s="202"/>
      <c r="BN20" s="202"/>
      <c r="BO20" s="375"/>
      <c r="BP20" s="375"/>
      <c r="BQ20" s="202"/>
      <c r="BR20" s="375"/>
      <c r="BS20" s="375"/>
      <c r="BT20" s="202"/>
      <c r="BU20" s="202"/>
      <c r="BV20" s="375"/>
      <c r="BW20" s="375"/>
      <c r="BX20" s="202"/>
      <c r="BY20" s="202"/>
      <c r="BZ20" s="202"/>
      <c r="CA20" s="202"/>
      <c r="CB20" s="375"/>
      <c r="CC20" s="375"/>
      <c r="CD20" s="202"/>
      <c r="CE20" s="202"/>
      <c r="CF20" s="375"/>
      <c r="CG20" s="375"/>
      <c r="CH20" s="202"/>
      <c r="CI20" s="375"/>
      <c r="CJ20" s="375"/>
      <c r="CK20" s="202"/>
      <c r="CL20" s="375"/>
      <c r="CM20" s="375"/>
      <c r="CN20" s="202"/>
      <c r="CO20" s="202"/>
      <c r="CP20" s="375"/>
      <c r="CQ20" s="375"/>
      <c r="CR20" s="375"/>
      <c r="CS20" s="202"/>
      <c r="CT20" s="202"/>
      <c r="CU20" s="202"/>
      <c r="CV20" s="202"/>
      <c r="CW20" s="202"/>
      <c r="CX20" s="202"/>
      <c r="CY20" s="190"/>
      <c r="CZ20" s="13">
        <f t="shared" si="3"/>
        <v>261000</v>
      </c>
      <c r="DA20" s="436">
        <f t="shared" si="0"/>
        <v>0</v>
      </c>
      <c r="DB20" s="879">
        <f t="shared" si="10"/>
        <v>1.2985074626865671</v>
      </c>
      <c r="DC20" s="39">
        <f t="shared" si="9"/>
        <v>0</v>
      </c>
      <c r="DD20" s="9"/>
      <c r="DE20" s="13">
        <f t="shared" si="1"/>
        <v>0</v>
      </c>
    </row>
    <row r="21" spans="1:109" ht="13.5" customHeight="1" x14ac:dyDescent="0.25">
      <c r="A21" s="125">
        <v>5137</v>
      </c>
      <c r="B21" s="27" t="s">
        <v>139</v>
      </c>
      <c r="C21" s="39">
        <v>946000</v>
      </c>
      <c r="D21" s="39">
        <v>1525000</v>
      </c>
      <c r="E21" s="39">
        <v>1550000</v>
      </c>
      <c r="F21" s="39">
        <v>1191000</v>
      </c>
      <c r="G21" s="39">
        <v>2030000</v>
      </c>
      <c r="H21" s="39">
        <v>2030000</v>
      </c>
      <c r="I21" s="39">
        <f t="shared" si="8"/>
        <v>2030000</v>
      </c>
      <c r="J21" s="195"/>
      <c r="K21" s="202"/>
      <c r="L21" s="202"/>
      <c r="M21" s="202">
        <f>[3]Zastupitelé!$B$10</f>
        <v>500000</v>
      </c>
      <c r="N21" s="202">
        <f>[3]Správa!$B$11</f>
        <v>1000000</v>
      </c>
      <c r="O21" s="375"/>
      <c r="P21" s="375"/>
      <c r="Q21" s="360"/>
      <c r="R21" s="202">
        <f>'[3]Pečovatelská služba'!$B$11</f>
        <v>60000</v>
      </c>
      <c r="S21" s="202"/>
      <c r="T21" s="202">
        <f>'[3]Městská policie'!$B$18</f>
        <v>50000</v>
      </c>
      <c r="U21" s="202"/>
      <c r="V21" s="202">
        <f>[3]Knihovna!$B$11</f>
        <v>50000</v>
      </c>
      <c r="W21" s="202"/>
      <c r="X21" s="202">
        <f>[3]Kultura!$B$4</f>
        <v>150000</v>
      </c>
      <c r="Y21" s="202">
        <f>+Z21+AA21</f>
        <v>80000</v>
      </c>
      <c r="Z21" s="375">
        <f>[4]Byty!$D$36</f>
        <v>80000</v>
      </c>
      <c r="AA21" s="375">
        <f>[4]Byty!$E$36</f>
        <v>0</v>
      </c>
      <c r="AB21" s="202">
        <f>[4]DPS!$B$49</f>
        <v>20000</v>
      </c>
      <c r="AC21" s="375"/>
      <c r="AD21" s="375"/>
      <c r="AE21" s="202"/>
      <c r="AF21" s="375"/>
      <c r="AG21" s="375"/>
      <c r="AH21" s="202">
        <f>[3]Hasiči!$B$11</f>
        <v>70000</v>
      </c>
      <c r="AI21" s="202"/>
      <c r="AJ21" s="202"/>
      <c r="AK21" s="202"/>
      <c r="AL21" s="375"/>
      <c r="AM21" s="375"/>
      <c r="AN21" s="202"/>
      <c r="AO21" s="375"/>
      <c r="AP21" s="375"/>
      <c r="AQ21" s="202"/>
      <c r="AR21" s="375"/>
      <c r="AS21" s="375"/>
      <c r="AT21" s="202">
        <f>[3]č.p.65!$B$4</f>
        <v>50000</v>
      </c>
      <c r="AU21" s="375"/>
      <c r="AV21" s="375"/>
      <c r="AW21" s="202"/>
      <c r="AX21" s="375"/>
      <c r="AY21" s="375"/>
      <c r="AZ21" s="202"/>
      <c r="BA21" s="375"/>
      <c r="BB21" s="375"/>
      <c r="BC21" s="202"/>
      <c r="BD21" s="375"/>
      <c r="BE21" s="375"/>
      <c r="BF21" s="202"/>
      <c r="BG21" s="375"/>
      <c r="BH21" s="375"/>
      <c r="BI21" s="202"/>
      <c r="BJ21" s="202"/>
      <c r="BK21" s="375"/>
      <c r="BL21" s="375"/>
      <c r="BM21" s="202"/>
      <c r="BN21" s="202"/>
      <c r="BO21" s="375"/>
      <c r="BP21" s="375"/>
      <c r="BQ21" s="202"/>
      <c r="BR21" s="375"/>
      <c r="BS21" s="375"/>
      <c r="BT21" s="202"/>
      <c r="BU21" s="202"/>
      <c r="BV21" s="375"/>
      <c r="BW21" s="375"/>
      <c r="BX21" s="202"/>
      <c r="BY21" s="202"/>
      <c r="BZ21" s="202"/>
      <c r="CA21" s="202"/>
      <c r="CB21" s="375"/>
      <c r="CC21" s="375"/>
      <c r="CD21" s="202"/>
      <c r="CE21" s="202"/>
      <c r="CF21" s="375"/>
      <c r="CG21" s="375"/>
      <c r="CH21" s="202"/>
      <c r="CI21" s="375"/>
      <c r="CJ21" s="375"/>
      <c r="CK21" s="202"/>
      <c r="CL21" s="375"/>
      <c r="CM21" s="375"/>
      <c r="CN21" s="202"/>
      <c r="CO21" s="202"/>
      <c r="CP21" s="375"/>
      <c r="CQ21" s="375"/>
      <c r="CR21" s="375"/>
      <c r="CS21" s="202"/>
      <c r="CT21" s="202"/>
      <c r="CU21" s="202"/>
      <c r="CV21" s="202"/>
      <c r="CW21" s="202"/>
      <c r="CX21" s="202"/>
      <c r="CY21" s="190"/>
      <c r="CZ21" s="13">
        <f t="shared" si="3"/>
        <v>2030000</v>
      </c>
      <c r="DA21" s="436">
        <f t="shared" si="0"/>
        <v>0</v>
      </c>
      <c r="DB21" s="879">
        <f t="shared" si="10"/>
        <v>2.1458773784355181</v>
      </c>
      <c r="DC21" s="39">
        <f t="shared" si="9"/>
        <v>0</v>
      </c>
      <c r="DD21" s="9"/>
      <c r="DE21" s="13">
        <f t="shared" si="1"/>
        <v>505000</v>
      </c>
    </row>
    <row r="22" spans="1:109" ht="13.5" customHeight="1" x14ac:dyDescent="0.25">
      <c r="A22" s="125">
        <v>5139</v>
      </c>
      <c r="B22" s="27" t="s">
        <v>140</v>
      </c>
      <c r="C22" s="39">
        <v>1581300</v>
      </c>
      <c r="D22" s="39">
        <v>2472000</v>
      </c>
      <c r="E22" s="39">
        <v>2522000</v>
      </c>
      <c r="F22" s="39">
        <v>1656000</v>
      </c>
      <c r="G22" s="39">
        <v>3817569</v>
      </c>
      <c r="H22" s="39">
        <v>3317569</v>
      </c>
      <c r="I22" s="39">
        <f t="shared" si="8"/>
        <v>3597569</v>
      </c>
      <c r="J22" s="195"/>
      <c r="K22" s="202"/>
      <c r="L22" s="202"/>
      <c r="M22" s="202">
        <f>[3]Zastupitelé!$B$17</f>
        <v>45000</v>
      </c>
      <c r="N22" s="316">
        <f>+O22+P22</f>
        <v>600000</v>
      </c>
      <c r="O22" s="375">
        <f>[3]Správa!$D$20</f>
        <v>530000</v>
      </c>
      <c r="P22" s="374">
        <f>[3]Správa!$E$20</f>
        <v>70000</v>
      </c>
      <c r="Q22" s="1359">
        <f>+P22+AM22+BS22+BP22+BL22+CR22+AA22+AG22+AP22+AS22+AV22+AY22+BB22+BE22+BH22+BW22+CC22+CG22+CJ22+CM22</f>
        <v>140000</v>
      </c>
      <c r="R22" s="202">
        <f>'[3]Pečovatelská služba'!$B$18</f>
        <v>70000</v>
      </c>
      <c r="S22" s="202"/>
      <c r="T22" s="202">
        <f>'[3]Městská policie'!$B$28</f>
        <v>30000</v>
      </c>
      <c r="U22" s="202">
        <f>[3]Kronika!$B$11</f>
        <v>4000</v>
      </c>
      <c r="V22" s="202">
        <f>[3]Knihovna!$B$18</f>
        <v>25000</v>
      </c>
      <c r="W22" s="202"/>
      <c r="X22" s="202">
        <f>[3]Kultura!$B$13</f>
        <v>180000</v>
      </c>
      <c r="Y22" s="202">
        <f>+Z22+AA22</f>
        <v>20000</v>
      </c>
      <c r="Z22" s="375">
        <f>[4]Byty!$D$22</f>
        <v>20000</v>
      </c>
      <c r="AA22" s="375">
        <f>[4]Byty!$E$22</f>
        <v>0</v>
      </c>
      <c r="AB22" s="202">
        <f>[4]DPS!$B$4</f>
        <v>15000</v>
      </c>
      <c r="AC22" s="375"/>
      <c r="AD22" s="375"/>
      <c r="AE22" s="202"/>
      <c r="AF22" s="375"/>
      <c r="AG22" s="375"/>
      <c r="AH22" s="202">
        <f>[4]Hasiči!$B$18+[3]Hasiči!$B$18</f>
        <v>70000</v>
      </c>
      <c r="AI22" s="202"/>
      <c r="AJ22" s="202"/>
      <c r="AK22" s="316">
        <f>+AL22+AM22</f>
        <v>20000</v>
      </c>
      <c r="AL22" s="694">
        <f>[4]Hřbitov!$D$12</f>
        <v>0</v>
      </c>
      <c r="AM22" s="374">
        <f>[4]Hřbitov!$E$12</f>
        <v>20000</v>
      </c>
      <c r="AN22" s="202"/>
      <c r="AO22" s="375"/>
      <c r="AP22" s="375"/>
      <c r="AQ22" s="202"/>
      <c r="AR22" s="375"/>
      <c r="AS22" s="375"/>
      <c r="AT22" s="202">
        <f>[3]č.p.65!$B$11</f>
        <v>30000</v>
      </c>
      <c r="AU22" s="375"/>
      <c r="AV22" s="375"/>
      <c r="AW22" s="202"/>
      <c r="AX22" s="375"/>
      <c r="AY22" s="375"/>
      <c r="AZ22" s="202"/>
      <c r="BA22" s="375"/>
      <c r="BB22" s="375"/>
      <c r="BC22" s="202"/>
      <c r="BD22" s="375"/>
      <c r="BE22" s="375"/>
      <c r="BF22" s="202"/>
      <c r="BG22" s="375"/>
      <c r="BH22" s="375"/>
      <c r="BI22" s="202"/>
      <c r="BJ22" s="202"/>
      <c r="BK22" s="375"/>
      <c r="BL22" s="375"/>
      <c r="BM22" s="202"/>
      <c r="BN22" s="202"/>
      <c r="BO22" s="375"/>
      <c r="BP22" s="375"/>
      <c r="BQ22" s="316">
        <f>BR22+BS22</f>
        <v>2138569</v>
      </c>
      <c r="BR22" s="375">
        <f>'[5]Silnice nákup materiálu'!$B$4</f>
        <v>2138569</v>
      </c>
      <c r="BS22" s="374">
        <f>'[5]Silnice stavba'!$E$4</f>
        <v>0</v>
      </c>
      <c r="BT22" s="202"/>
      <c r="BU22" s="202"/>
      <c r="BV22" s="375"/>
      <c r="BW22" s="375"/>
      <c r="BX22" s="202"/>
      <c r="BY22" s="202"/>
      <c r="BZ22" s="202"/>
      <c r="CA22" s="202"/>
      <c r="CB22" s="375"/>
      <c r="CC22" s="375"/>
      <c r="CD22" s="202"/>
      <c r="CE22" s="202"/>
      <c r="CF22" s="375"/>
      <c r="CG22" s="375"/>
      <c r="CH22" s="202"/>
      <c r="CI22" s="375"/>
      <c r="CJ22" s="375"/>
      <c r="CK22" s="202"/>
      <c r="CL22" s="375"/>
      <c r="CM22" s="375"/>
      <c r="CN22" s="202"/>
      <c r="CO22" s="316">
        <f>+CP22+CQ22+CR22</f>
        <v>350000</v>
      </c>
      <c r="CP22" s="375">
        <f>'[2]Příroda 3749'!$D$4</f>
        <v>300000</v>
      </c>
      <c r="CQ22" s="375"/>
      <c r="CR22" s="374">
        <f>'[2]Příroda 3749'!$E$4</f>
        <v>50000</v>
      </c>
      <c r="CS22" s="202">
        <f>'[2]Rybníky 3749-2'!$B$4</f>
        <v>0</v>
      </c>
      <c r="CT22" s="202">
        <f>'[2]Park Úvaly 3749-1'!$B$4</f>
        <v>0</v>
      </c>
      <c r="CU22" s="202">
        <f>'[2]Městská stezka 374-3'!$B$4</f>
        <v>0</v>
      </c>
      <c r="CV22" s="202"/>
      <c r="CW22" s="202"/>
      <c r="CX22" s="202"/>
      <c r="CY22" s="190"/>
      <c r="CZ22" s="13">
        <f>+SUM(J22:N22)+SUM(R22:Y22)+AB22+AE22+SUM(AH22:AK22)+AN22+AQ22+AT22+AW22+AZ22+BC22+BF22+BI22+BJ22+BM22+BN22+BQ22+BT22+BU22+SUM(BX22:CA22)+CD22+CE22+CH22+CK22+CN22+CO22+SUM(CS22:CY22)</f>
        <v>3597569</v>
      </c>
      <c r="DA22" s="436">
        <f t="shared" si="0"/>
        <v>0</v>
      </c>
      <c r="DB22" s="880">
        <f t="shared" si="10"/>
        <v>2.2750705116043761</v>
      </c>
      <c r="DC22" s="39">
        <f t="shared" si="9"/>
        <v>140000</v>
      </c>
      <c r="DD22" s="9"/>
      <c r="DE22" s="13">
        <f t="shared" si="1"/>
        <v>1125569</v>
      </c>
    </row>
    <row r="23" spans="1:109" ht="13.5" customHeight="1" x14ac:dyDescent="0.25">
      <c r="A23" s="125">
        <v>5151</v>
      </c>
      <c r="B23" s="27" t="s">
        <v>141</v>
      </c>
      <c r="C23" s="39">
        <v>638000</v>
      </c>
      <c r="D23" s="39">
        <v>618000</v>
      </c>
      <c r="E23" s="39">
        <v>618000</v>
      </c>
      <c r="F23" s="39">
        <v>619000</v>
      </c>
      <c r="G23" s="39">
        <v>673000</v>
      </c>
      <c r="H23" s="39">
        <v>673000</v>
      </c>
      <c r="I23" s="39">
        <f>SUM(J23:N23)+SUM(Q23:Y23)+AB23+AE23+SUM(AH23:AK23)+AN23+AQ23+AT23+AW23+AZ23+BC23+BF23+BI23+BJ23+BM23+BN23+BQ23+SUM(BT23:BU23)+BZ23+CA23+CD23+CE23+CH23+CK23+CN23+CO23+SUM(CS23:CY23)+BX23+BY23</f>
        <v>673000</v>
      </c>
      <c r="J23" s="195"/>
      <c r="K23" s="202"/>
      <c r="L23" s="202"/>
      <c r="M23" s="202"/>
      <c r="N23" s="202">
        <f>[6]Správa!$B$4+[3]Správa!$B$27</f>
        <v>35000</v>
      </c>
      <c r="O23" s="375"/>
      <c r="P23" s="375"/>
      <c r="Q23" s="360"/>
      <c r="R23" s="202"/>
      <c r="S23" s="202"/>
      <c r="T23" s="202">
        <f>'[3]Městská policie'!$B$35</f>
        <v>0</v>
      </c>
      <c r="U23" s="202"/>
      <c r="V23" s="202">
        <f>[6]Knihovna!$B$4</f>
        <v>5000</v>
      </c>
      <c r="W23" s="202"/>
      <c r="X23" s="202"/>
      <c r="Y23" s="202">
        <f>[6]Byty!$B$4</f>
        <v>30000</v>
      </c>
      <c r="Z23" s="375"/>
      <c r="AA23" s="375"/>
      <c r="AB23" s="202">
        <f>[6]DPS!$B$4</f>
        <v>500000</v>
      </c>
      <c r="AC23" s="375"/>
      <c r="AD23" s="375"/>
      <c r="AE23" s="202">
        <f>[6]Nebyty!$B$4</f>
        <v>30000</v>
      </c>
      <c r="AF23" s="375"/>
      <c r="AG23" s="375"/>
      <c r="AH23" s="202">
        <f>[6]Hasiči!$B$4</f>
        <v>3000</v>
      </c>
      <c r="AI23" s="202"/>
      <c r="AJ23" s="202"/>
      <c r="AK23" s="202">
        <f>[6]Hřbitov!$B$4+[4]Hřbitov!$B$19</f>
        <v>20000</v>
      </c>
      <c r="AL23" s="375"/>
      <c r="AM23" s="375"/>
      <c r="AN23" s="202"/>
      <c r="AO23" s="375"/>
      <c r="AP23" s="375"/>
      <c r="AQ23" s="202">
        <f>[6]ZŠ!$B$4</f>
        <v>30000</v>
      </c>
      <c r="AR23" s="375"/>
      <c r="AS23" s="375"/>
      <c r="AT23" s="202">
        <f>[6]č.p.65!$B$4+[3]č.p.65!$B$18</f>
        <v>20000</v>
      </c>
      <c r="AU23" s="375"/>
      <c r="AV23" s="375"/>
      <c r="AW23" s="202"/>
      <c r="AX23" s="375"/>
      <c r="AY23" s="375"/>
      <c r="AZ23" s="202"/>
      <c r="BA23" s="375"/>
      <c r="BB23" s="375"/>
      <c r="BC23" s="202"/>
      <c r="BD23" s="375"/>
      <c r="BE23" s="375"/>
      <c r="BF23" s="202"/>
      <c r="BG23" s="375"/>
      <c r="BH23" s="375"/>
      <c r="BI23" s="202"/>
      <c r="BJ23" s="202">
        <f>'[6] MŠ Cuk'!$B$10</f>
        <v>0</v>
      </c>
      <c r="BK23" s="375"/>
      <c r="BL23" s="375"/>
      <c r="BM23" s="202"/>
      <c r="BN23" s="202"/>
      <c r="BO23" s="375"/>
      <c r="BP23" s="375"/>
      <c r="BQ23" s="202"/>
      <c r="BR23" s="375"/>
      <c r="BS23" s="375"/>
      <c r="BT23" s="202"/>
      <c r="BU23" s="202"/>
      <c r="BV23" s="375"/>
      <c r="BW23" s="375"/>
      <c r="BX23" s="202"/>
      <c r="BY23" s="202"/>
      <c r="BZ23" s="202"/>
      <c r="CA23" s="202"/>
      <c r="CB23" s="375"/>
      <c r="CC23" s="375"/>
      <c r="CD23" s="202"/>
      <c r="CE23" s="202"/>
      <c r="CF23" s="375"/>
      <c r="CG23" s="375"/>
      <c r="CH23" s="202"/>
      <c r="CI23" s="375"/>
      <c r="CJ23" s="375"/>
      <c r="CK23" s="202"/>
      <c r="CL23" s="375"/>
      <c r="CM23" s="375"/>
      <c r="CN23" s="202"/>
      <c r="CO23" s="202"/>
      <c r="CP23" s="375"/>
      <c r="CQ23" s="375"/>
      <c r="CR23" s="375"/>
      <c r="CS23" s="202"/>
      <c r="CT23" s="202"/>
      <c r="CU23" s="202"/>
      <c r="CV23" s="202"/>
      <c r="CW23" s="202"/>
      <c r="CX23" s="202"/>
      <c r="CY23" s="190"/>
      <c r="CZ23" s="13">
        <f t="shared" si="3"/>
        <v>673000</v>
      </c>
      <c r="DA23" s="436">
        <f t="shared" si="0"/>
        <v>0</v>
      </c>
      <c r="DB23" s="879">
        <f t="shared" si="10"/>
        <v>1.0548589341692789</v>
      </c>
      <c r="DC23" s="39">
        <f t="shared" si="9"/>
        <v>0</v>
      </c>
      <c r="DD23" s="9"/>
      <c r="DE23" s="13">
        <f t="shared" si="1"/>
        <v>55000</v>
      </c>
    </row>
    <row r="24" spans="1:109" s="1689" customFormat="1" ht="13.5" customHeight="1" x14ac:dyDescent="0.25">
      <c r="A24" s="125">
        <v>5153</v>
      </c>
      <c r="B24" s="27" t="s">
        <v>142</v>
      </c>
      <c r="C24" s="39">
        <v>3081000</v>
      </c>
      <c r="D24" s="39">
        <v>1935000</v>
      </c>
      <c r="E24" s="39">
        <v>1935000</v>
      </c>
      <c r="F24" s="39">
        <v>2340000</v>
      </c>
      <c r="G24" s="39">
        <v>2955000</v>
      </c>
      <c r="H24" s="39">
        <v>2955000</v>
      </c>
      <c r="I24" s="39">
        <f t="shared" ref="I24:I43" si="11">SUM(J24:N24)+SUM(R24:Y24)+AB24+AE24+SUM(AH24:AK24)+AN24+AQ24+AT24+AW24+AZ24+BC24+BF24+BI24+BJ24+BM24+BN24+BQ24+SUM(BT24:BU24)+BZ24+CA24+CD24+CE24+CH24+CK24+CN24+CO24+SUM(CS24:CY24)+BX24+BY24</f>
        <v>2955000</v>
      </c>
      <c r="J24" s="195"/>
      <c r="K24" s="202"/>
      <c r="L24" s="202"/>
      <c r="M24" s="202"/>
      <c r="N24" s="202">
        <f>[6]Správa!$B$12+[3]Správa!$B$34</f>
        <v>350000</v>
      </c>
      <c r="O24" s="375"/>
      <c r="P24" s="375"/>
      <c r="Q24" s="360"/>
      <c r="R24" s="202"/>
      <c r="S24" s="202"/>
      <c r="T24" s="202">
        <f>'[3]Městská policie'!$B$42</f>
        <v>0</v>
      </c>
      <c r="U24" s="202"/>
      <c r="V24" s="202">
        <f>[6]Knihovna!$B$12</f>
        <v>5000</v>
      </c>
      <c r="W24" s="202"/>
      <c r="X24" s="202"/>
      <c r="Y24" s="202">
        <f>[6]Byty!$B$12</f>
        <v>120000</v>
      </c>
      <c r="Z24" s="375"/>
      <c r="AA24" s="375"/>
      <c r="AB24" s="202">
        <f>[6]DPS!$B$12</f>
        <v>930000</v>
      </c>
      <c r="AC24" s="375"/>
      <c r="AD24" s="375"/>
      <c r="AE24" s="202">
        <f>[6]Nebyty!$B$12</f>
        <v>500000</v>
      </c>
      <c r="AF24" s="375"/>
      <c r="AG24" s="375"/>
      <c r="AH24" s="202">
        <f>[6]Hasiči!$B$12</f>
        <v>50000</v>
      </c>
      <c r="AI24" s="202"/>
      <c r="AJ24" s="202"/>
      <c r="AK24" s="202"/>
      <c r="AL24" s="375"/>
      <c r="AM24" s="375"/>
      <c r="AN24" s="202"/>
      <c r="AO24" s="375"/>
      <c r="AP24" s="375"/>
      <c r="AQ24" s="202">
        <f>[6]ZŠ!$B$12</f>
        <v>900000</v>
      </c>
      <c r="AR24" s="375"/>
      <c r="AS24" s="375"/>
      <c r="AT24" s="202">
        <f>[6]č.p.65!$B$12+[3]č.p.65!$B$25</f>
        <v>100000</v>
      </c>
      <c r="AU24" s="375"/>
      <c r="AV24" s="375"/>
      <c r="AW24" s="202"/>
      <c r="AX24" s="375"/>
      <c r="AY24" s="375"/>
      <c r="AZ24" s="202"/>
      <c r="BA24" s="375"/>
      <c r="BB24" s="375"/>
      <c r="BC24" s="202"/>
      <c r="BD24" s="375"/>
      <c r="BE24" s="375"/>
      <c r="BF24" s="202"/>
      <c r="BG24" s="375"/>
      <c r="BH24" s="375"/>
      <c r="BI24" s="202"/>
      <c r="BJ24" s="202">
        <f>'[6] MŠ Cuk'!$B$18</f>
        <v>0</v>
      </c>
      <c r="BK24" s="375"/>
      <c r="BL24" s="375"/>
      <c r="BM24" s="202"/>
      <c r="BN24" s="202"/>
      <c r="BO24" s="375"/>
      <c r="BP24" s="375"/>
      <c r="BQ24" s="202"/>
      <c r="BR24" s="375"/>
      <c r="BS24" s="375"/>
      <c r="BT24" s="202"/>
      <c r="BU24" s="202"/>
      <c r="BV24" s="375"/>
      <c r="BW24" s="375"/>
      <c r="BX24" s="202"/>
      <c r="BY24" s="202"/>
      <c r="BZ24" s="202"/>
      <c r="CA24" s="202"/>
      <c r="CB24" s="375"/>
      <c r="CC24" s="375"/>
      <c r="CD24" s="202"/>
      <c r="CE24" s="202"/>
      <c r="CF24" s="375"/>
      <c r="CG24" s="375"/>
      <c r="CH24" s="202"/>
      <c r="CI24" s="375"/>
      <c r="CJ24" s="375"/>
      <c r="CK24" s="202"/>
      <c r="CL24" s="375"/>
      <c r="CM24" s="375"/>
      <c r="CN24" s="202"/>
      <c r="CO24" s="202"/>
      <c r="CP24" s="375"/>
      <c r="CQ24" s="375"/>
      <c r="CR24" s="375"/>
      <c r="CS24" s="202"/>
      <c r="CT24" s="202"/>
      <c r="CU24" s="202"/>
      <c r="CV24" s="202"/>
      <c r="CW24" s="202"/>
      <c r="CX24" s="202"/>
      <c r="CY24" s="190"/>
      <c r="CZ24" s="13">
        <f t="shared" si="3"/>
        <v>2955000</v>
      </c>
      <c r="DA24" s="436">
        <f t="shared" si="0"/>
        <v>0</v>
      </c>
      <c r="DB24" s="879">
        <f t="shared" si="10"/>
        <v>0.95910418695228827</v>
      </c>
      <c r="DC24" s="39">
        <f t="shared" si="9"/>
        <v>0</v>
      </c>
      <c r="DD24" s="33"/>
      <c r="DE24" s="13">
        <f t="shared" si="1"/>
        <v>1020000</v>
      </c>
    </row>
    <row r="25" spans="1:109" ht="13.5" customHeight="1" x14ac:dyDescent="0.25">
      <c r="A25" s="125">
        <v>5154</v>
      </c>
      <c r="B25" s="27" t="s">
        <v>143</v>
      </c>
      <c r="C25" s="39">
        <v>1983000</v>
      </c>
      <c r="D25" s="39">
        <v>1948000</v>
      </c>
      <c r="E25" s="39">
        <v>2307500</v>
      </c>
      <c r="F25" s="39">
        <v>2395500</v>
      </c>
      <c r="G25" s="39">
        <v>2387000</v>
      </c>
      <c r="H25" s="39">
        <v>2462600</v>
      </c>
      <c r="I25" s="39">
        <f t="shared" si="11"/>
        <v>2462600</v>
      </c>
      <c r="J25" s="195"/>
      <c r="K25" s="202"/>
      <c r="L25" s="202"/>
      <c r="M25" s="202"/>
      <c r="N25" s="202">
        <f>[6]Správa!$B$19+[3]Správa!$B$41</f>
        <v>350000</v>
      </c>
      <c r="O25" s="375"/>
      <c r="P25" s="375"/>
      <c r="Q25" s="360"/>
      <c r="R25" s="202"/>
      <c r="S25" s="202"/>
      <c r="T25" s="202">
        <f>'[3]Městská policie'!$B$49</f>
        <v>0</v>
      </c>
      <c r="U25" s="202"/>
      <c r="V25" s="202">
        <f>[6]Knihovna!$B$19+[3]Knihovna!$B$25</f>
        <v>136000</v>
      </c>
      <c r="W25" s="202"/>
      <c r="X25" s="202"/>
      <c r="Y25" s="202">
        <f>[6]Byty!$B$19</f>
        <v>100000</v>
      </c>
      <c r="Z25" s="375"/>
      <c r="AA25" s="375"/>
      <c r="AB25" s="202">
        <f>[6]DPS!$B$19</f>
        <v>300000</v>
      </c>
      <c r="AC25" s="375"/>
      <c r="AD25" s="375"/>
      <c r="AE25" s="202">
        <f>[6]Nebyty!$B$19</f>
        <v>359000</v>
      </c>
      <c r="AF25" s="375"/>
      <c r="AG25" s="375"/>
      <c r="AH25" s="202">
        <f>[6]Hasiči!$B$19</f>
        <v>43000</v>
      </c>
      <c r="AI25" s="202"/>
      <c r="AJ25" s="202">
        <f>[6]TESKO!$B$4</f>
        <v>31000</v>
      </c>
      <c r="AK25" s="202"/>
      <c r="AL25" s="375"/>
      <c r="AM25" s="375"/>
      <c r="AN25" s="202">
        <f>[6]Koupaliště!$B$4</f>
        <v>30000</v>
      </c>
      <c r="AO25" s="375"/>
      <c r="AP25" s="375"/>
      <c r="AQ25" s="202">
        <f>[6]ZŠ!$B$19</f>
        <v>250000</v>
      </c>
      <c r="AR25" s="375"/>
      <c r="AS25" s="375"/>
      <c r="AT25" s="202">
        <f>[6]č.p.65!$B$19+[3]č.p.65!$B$32</f>
        <v>100000</v>
      </c>
      <c r="AU25" s="375"/>
      <c r="AV25" s="375"/>
      <c r="AW25" s="202"/>
      <c r="AX25" s="375"/>
      <c r="AY25" s="375"/>
      <c r="AZ25" s="202"/>
      <c r="BA25" s="375"/>
      <c r="BB25" s="375"/>
      <c r="BC25" s="202"/>
      <c r="BD25" s="375"/>
      <c r="BE25" s="375"/>
      <c r="BF25" s="202"/>
      <c r="BG25" s="375"/>
      <c r="BH25" s="375"/>
      <c r="BI25" s="202"/>
      <c r="BJ25" s="202">
        <f>'[6] MŠ Cuk'!$B$25</f>
        <v>0</v>
      </c>
      <c r="BK25" s="375"/>
      <c r="BL25" s="375"/>
      <c r="BM25" s="202"/>
      <c r="BN25" s="202">
        <f>[4]VO!$B$47</f>
        <v>536000</v>
      </c>
      <c r="BO25" s="375"/>
      <c r="BP25" s="375"/>
      <c r="BQ25" s="202">
        <f>[4]Silnice!$B$30</f>
        <v>62000</v>
      </c>
      <c r="BR25" s="375"/>
      <c r="BS25" s="375"/>
      <c r="BT25" s="202"/>
      <c r="BU25" s="202">
        <f>[4]Vodovod!$B$34</f>
        <v>90000</v>
      </c>
      <c r="BV25" s="375"/>
      <c r="BW25" s="375"/>
      <c r="BX25" s="202"/>
      <c r="BY25" s="202">
        <f>[4]Kanalizace!$B$4</f>
        <v>72000</v>
      </c>
      <c r="BZ25" s="202"/>
      <c r="CA25" s="202"/>
      <c r="CB25" s="375"/>
      <c r="CC25" s="375"/>
      <c r="CD25" s="202"/>
      <c r="CE25" s="202"/>
      <c r="CF25" s="375"/>
      <c r="CG25" s="375"/>
      <c r="CH25" s="202"/>
      <c r="CI25" s="375"/>
      <c r="CJ25" s="375"/>
      <c r="CK25" s="202"/>
      <c r="CL25" s="375"/>
      <c r="CM25" s="375"/>
      <c r="CN25" s="202"/>
      <c r="CO25" s="202"/>
      <c r="CP25" s="375"/>
      <c r="CQ25" s="375"/>
      <c r="CR25" s="375"/>
      <c r="CS25" s="202"/>
      <c r="CT25" s="202"/>
      <c r="CU25" s="202"/>
      <c r="CV25" s="202">
        <f>[6]Sběr.dvůr!$B$19</f>
        <v>3600</v>
      </c>
      <c r="CW25" s="202"/>
      <c r="CX25" s="202"/>
      <c r="CY25" s="190"/>
      <c r="CZ25" s="13">
        <f t="shared" si="3"/>
        <v>2462600</v>
      </c>
      <c r="DA25" s="436">
        <f t="shared" si="0"/>
        <v>0</v>
      </c>
      <c r="DB25" s="879">
        <f t="shared" si="10"/>
        <v>1.2418557740796772</v>
      </c>
      <c r="DC25" s="39">
        <f t="shared" si="9"/>
        <v>0</v>
      </c>
      <c r="DD25" s="9"/>
      <c r="DE25" s="13">
        <f t="shared" si="1"/>
        <v>514600</v>
      </c>
    </row>
    <row r="26" spans="1:109" ht="13.5" customHeight="1" x14ac:dyDescent="0.25">
      <c r="A26" s="125">
        <v>5156</v>
      </c>
      <c r="B26" s="27" t="s">
        <v>144</v>
      </c>
      <c r="C26" s="39">
        <v>270000</v>
      </c>
      <c r="D26" s="39">
        <v>382000</v>
      </c>
      <c r="E26" s="39">
        <v>382000</v>
      </c>
      <c r="F26" s="39">
        <v>382000</v>
      </c>
      <c r="G26" s="39">
        <v>400000</v>
      </c>
      <c r="H26" s="39">
        <v>400000</v>
      </c>
      <c r="I26" s="39">
        <f t="shared" si="11"/>
        <v>400000</v>
      </c>
      <c r="J26" s="195"/>
      <c r="K26" s="202"/>
      <c r="L26" s="202"/>
      <c r="M26" s="202">
        <f>[3]Zastupitelé!$B$24</f>
        <v>50000</v>
      </c>
      <c r="N26" s="202">
        <f>[3]Správa!$B$48</f>
        <v>50000</v>
      </c>
      <c r="O26" s="375"/>
      <c r="P26" s="375"/>
      <c r="Q26" s="360"/>
      <c r="R26" s="202">
        <f>'[3]Pečovatelská služba'!$B$25</f>
        <v>100000</v>
      </c>
      <c r="S26" s="202"/>
      <c r="T26" s="202">
        <f>'[3]Městská policie'!$B$56</f>
        <v>150000</v>
      </c>
      <c r="U26" s="202"/>
      <c r="V26" s="202"/>
      <c r="W26" s="202"/>
      <c r="X26" s="202"/>
      <c r="Y26" s="202"/>
      <c r="Z26" s="375"/>
      <c r="AA26" s="375"/>
      <c r="AB26" s="202"/>
      <c r="AC26" s="375"/>
      <c r="AD26" s="375"/>
      <c r="AE26" s="202"/>
      <c r="AF26" s="375"/>
      <c r="AG26" s="375"/>
      <c r="AH26" s="202">
        <f>[4]Hasiči!$B$25</f>
        <v>50000</v>
      </c>
      <c r="AI26" s="202"/>
      <c r="AJ26" s="202"/>
      <c r="AK26" s="202"/>
      <c r="AL26" s="375"/>
      <c r="AM26" s="375"/>
      <c r="AN26" s="202"/>
      <c r="AO26" s="375"/>
      <c r="AP26" s="375"/>
      <c r="AQ26" s="202"/>
      <c r="AR26" s="375"/>
      <c r="AS26" s="375"/>
      <c r="AT26" s="202"/>
      <c r="AU26" s="375"/>
      <c r="AV26" s="375"/>
      <c r="AW26" s="202"/>
      <c r="AX26" s="375"/>
      <c r="AY26" s="375"/>
      <c r="AZ26" s="202"/>
      <c r="BA26" s="375"/>
      <c r="BB26" s="375"/>
      <c r="BC26" s="202"/>
      <c r="BD26" s="375"/>
      <c r="BE26" s="375"/>
      <c r="BF26" s="202"/>
      <c r="BG26" s="375"/>
      <c r="BH26" s="375"/>
      <c r="BI26" s="202"/>
      <c r="BJ26" s="202"/>
      <c r="BK26" s="375"/>
      <c r="BL26" s="375"/>
      <c r="BM26" s="202"/>
      <c r="BN26" s="202"/>
      <c r="BO26" s="375"/>
      <c r="BP26" s="375"/>
      <c r="BQ26" s="202"/>
      <c r="BR26" s="375"/>
      <c r="BS26" s="375"/>
      <c r="BT26" s="202"/>
      <c r="BU26" s="202"/>
      <c r="BV26" s="375"/>
      <c r="BW26" s="375"/>
      <c r="BX26" s="202"/>
      <c r="BY26" s="202"/>
      <c r="BZ26" s="202"/>
      <c r="CA26" s="202"/>
      <c r="CB26" s="375"/>
      <c r="CC26" s="375"/>
      <c r="CD26" s="202"/>
      <c r="CE26" s="202">
        <f>'[2]Popelnice 3722-1'!$B$12</f>
        <v>0</v>
      </c>
      <c r="CF26" s="375"/>
      <c r="CG26" s="375"/>
      <c r="CH26" s="202"/>
      <c r="CI26" s="375"/>
      <c r="CJ26" s="375"/>
      <c r="CK26" s="202"/>
      <c r="CL26" s="375"/>
      <c r="CM26" s="375"/>
      <c r="CN26" s="202"/>
      <c r="CO26" s="202"/>
      <c r="CP26" s="375"/>
      <c r="CQ26" s="375"/>
      <c r="CR26" s="375"/>
      <c r="CS26" s="202"/>
      <c r="CT26" s="202"/>
      <c r="CU26" s="202"/>
      <c r="CV26" s="202"/>
      <c r="CW26" s="202"/>
      <c r="CX26" s="202"/>
      <c r="CY26" s="190"/>
      <c r="CZ26" s="13">
        <f t="shared" si="3"/>
        <v>400000</v>
      </c>
      <c r="DA26" s="436">
        <f t="shared" si="0"/>
        <v>0</v>
      </c>
      <c r="DB26" s="879">
        <f t="shared" si="10"/>
        <v>1.4814814814814814</v>
      </c>
      <c r="DC26" s="39">
        <f t="shared" si="9"/>
        <v>0</v>
      </c>
      <c r="DD26" s="9"/>
      <c r="DE26" s="13">
        <f t="shared" si="1"/>
        <v>18000</v>
      </c>
    </row>
    <row r="27" spans="1:109" ht="13.5" customHeight="1" x14ac:dyDescent="0.25">
      <c r="A27" s="125">
        <v>5161</v>
      </c>
      <c r="B27" s="27" t="s">
        <v>145</v>
      </c>
      <c r="C27" s="39">
        <v>544000</v>
      </c>
      <c r="D27" s="39">
        <v>650000</v>
      </c>
      <c r="E27" s="39">
        <v>650000</v>
      </c>
      <c r="F27" s="39">
        <v>650000</v>
      </c>
      <c r="G27" s="39">
        <v>648000</v>
      </c>
      <c r="H27" s="39">
        <v>648000</v>
      </c>
      <c r="I27" s="39">
        <f t="shared" si="11"/>
        <v>648000</v>
      </c>
      <c r="J27" s="195"/>
      <c r="K27" s="202"/>
      <c r="L27" s="202"/>
      <c r="M27" s="202"/>
      <c r="N27" s="202">
        <f>[3]Správa!$B$55</f>
        <v>600000</v>
      </c>
      <c r="O27" s="375"/>
      <c r="P27" s="375"/>
      <c r="Q27" s="360"/>
      <c r="R27" s="202"/>
      <c r="S27" s="202"/>
      <c r="T27" s="202">
        <f>'[3]Městská policie'!$B$63</f>
        <v>0</v>
      </c>
      <c r="U27" s="202"/>
      <c r="V27" s="202">
        <f>[3]Knihovna!$B$32</f>
        <v>8000</v>
      </c>
      <c r="W27" s="202">
        <f>'[3]Život Úval'!$B$4</f>
        <v>40000</v>
      </c>
      <c r="X27" s="202"/>
      <c r="Y27" s="202"/>
      <c r="Z27" s="375"/>
      <c r="AA27" s="375"/>
      <c r="AB27" s="202"/>
      <c r="AC27" s="375"/>
      <c r="AD27" s="375"/>
      <c r="AE27" s="202"/>
      <c r="AF27" s="375"/>
      <c r="AG27" s="375"/>
      <c r="AH27" s="202"/>
      <c r="AI27" s="202"/>
      <c r="AJ27" s="202"/>
      <c r="AK27" s="202"/>
      <c r="AL27" s="375"/>
      <c r="AM27" s="375"/>
      <c r="AN27" s="202"/>
      <c r="AO27" s="375"/>
      <c r="AP27" s="375"/>
      <c r="AQ27" s="202"/>
      <c r="AR27" s="375"/>
      <c r="AS27" s="375"/>
      <c r="AT27" s="202"/>
      <c r="AU27" s="375"/>
      <c r="AV27" s="375"/>
      <c r="AW27" s="202"/>
      <c r="AX27" s="375"/>
      <c r="AY27" s="375"/>
      <c r="AZ27" s="202"/>
      <c r="BA27" s="375"/>
      <c r="BB27" s="375"/>
      <c r="BC27" s="202"/>
      <c r="BD27" s="375"/>
      <c r="BE27" s="375"/>
      <c r="BF27" s="202"/>
      <c r="BG27" s="375"/>
      <c r="BH27" s="375"/>
      <c r="BI27" s="202"/>
      <c r="BJ27" s="202"/>
      <c r="BK27" s="375"/>
      <c r="BL27" s="375"/>
      <c r="BM27" s="202"/>
      <c r="BN27" s="202"/>
      <c r="BO27" s="375"/>
      <c r="BP27" s="375"/>
      <c r="BQ27" s="202"/>
      <c r="BR27" s="375"/>
      <c r="BS27" s="375"/>
      <c r="BT27" s="202"/>
      <c r="BU27" s="202"/>
      <c r="BV27" s="375"/>
      <c r="BW27" s="375"/>
      <c r="BX27" s="202"/>
      <c r="BY27" s="202"/>
      <c r="BZ27" s="202"/>
      <c r="CA27" s="202"/>
      <c r="CB27" s="375"/>
      <c r="CC27" s="375"/>
      <c r="CD27" s="202"/>
      <c r="CE27" s="202"/>
      <c r="CF27" s="375"/>
      <c r="CG27" s="375"/>
      <c r="CH27" s="202"/>
      <c r="CI27" s="375"/>
      <c r="CJ27" s="375"/>
      <c r="CK27" s="202"/>
      <c r="CL27" s="375"/>
      <c r="CM27" s="375"/>
      <c r="CN27" s="202"/>
      <c r="CO27" s="202"/>
      <c r="CP27" s="375"/>
      <c r="CQ27" s="375"/>
      <c r="CR27" s="375"/>
      <c r="CS27" s="202"/>
      <c r="CT27" s="202"/>
      <c r="CU27" s="202"/>
      <c r="CV27" s="202"/>
      <c r="CW27" s="202"/>
      <c r="CX27" s="202"/>
      <c r="CY27" s="190"/>
      <c r="CZ27" s="13">
        <f t="shared" si="3"/>
        <v>648000</v>
      </c>
      <c r="DA27" s="436">
        <f t="shared" si="0"/>
        <v>0</v>
      </c>
      <c r="DB27" s="879">
        <f t="shared" si="10"/>
        <v>1.1911764705882353</v>
      </c>
      <c r="DC27" s="39">
        <f t="shared" si="9"/>
        <v>0</v>
      </c>
      <c r="DD27" s="9"/>
      <c r="DE27" s="13">
        <f t="shared" si="1"/>
        <v>-2000</v>
      </c>
    </row>
    <row r="28" spans="1:109" ht="13.5" customHeight="1" x14ac:dyDescent="0.25">
      <c r="A28" s="125">
        <v>5162</v>
      </c>
      <c r="B28" s="27" t="s">
        <v>146</v>
      </c>
      <c r="C28" s="39">
        <v>484000</v>
      </c>
      <c r="D28" s="39">
        <v>533000</v>
      </c>
      <c r="E28" s="39">
        <v>533000</v>
      </c>
      <c r="F28" s="39">
        <v>533000</v>
      </c>
      <c r="G28" s="39">
        <v>515000</v>
      </c>
      <c r="H28" s="39">
        <v>515000</v>
      </c>
      <c r="I28" s="39">
        <f t="shared" si="11"/>
        <v>515000</v>
      </c>
      <c r="J28" s="195"/>
      <c r="K28" s="202"/>
      <c r="L28" s="202"/>
      <c r="M28" s="202">
        <f>[3]Zastupitelé!$B$31</f>
        <v>50000</v>
      </c>
      <c r="N28" s="202">
        <f>[3]Správa!$B$62</f>
        <v>300000</v>
      </c>
      <c r="O28" s="375"/>
      <c r="P28" s="375"/>
      <c r="Q28" s="360"/>
      <c r="R28" s="202">
        <f>'[3]Pečovatelská služba'!$B$32</f>
        <v>12000</v>
      </c>
      <c r="S28" s="202"/>
      <c r="T28" s="202">
        <f>'[3]Městská policie'!$B$70</f>
        <v>45000</v>
      </c>
      <c r="U28" s="202"/>
      <c r="V28" s="202">
        <f>[3]Knihovna!$B$39</f>
        <v>12000</v>
      </c>
      <c r="W28" s="202"/>
      <c r="X28" s="202"/>
      <c r="Y28" s="202"/>
      <c r="Z28" s="375"/>
      <c r="AA28" s="375"/>
      <c r="AB28" s="202">
        <f>[4]DPS!$B$11</f>
        <v>60000</v>
      </c>
      <c r="AC28" s="375"/>
      <c r="AD28" s="375"/>
      <c r="AE28" s="202"/>
      <c r="AF28" s="375"/>
      <c r="AG28" s="375"/>
      <c r="AH28" s="202">
        <f>[3]Hasiči!$B$61</f>
        <v>26000</v>
      </c>
      <c r="AI28" s="202"/>
      <c r="AJ28" s="202"/>
      <c r="AK28" s="202"/>
      <c r="AL28" s="375"/>
      <c r="AM28" s="375"/>
      <c r="AN28" s="202"/>
      <c r="AO28" s="375"/>
      <c r="AP28" s="375"/>
      <c r="AQ28" s="202"/>
      <c r="AR28" s="375"/>
      <c r="AS28" s="375"/>
      <c r="AT28" s="202">
        <f>[3]č.p.65!$B$39</f>
        <v>10000</v>
      </c>
      <c r="AU28" s="375"/>
      <c r="AV28" s="375"/>
      <c r="AW28" s="202"/>
      <c r="AX28" s="375"/>
      <c r="AY28" s="375"/>
      <c r="AZ28" s="202"/>
      <c r="BA28" s="375"/>
      <c r="BB28" s="375"/>
      <c r="BC28" s="202"/>
      <c r="BD28" s="375"/>
      <c r="BE28" s="375"/>
      <c r="BF28" s="202"/>
      <c r="BG28" s="375"/>
      <c r="BH28" s="375"/>
      <c r="BI28" s="202"/>
      <c r="BJ28" s="202"/>
      <c r="BK28" s="375"/>
      <c r="BL28" s="375"/>
      <c r="BM28" s="202"/>
      <c r="BN28" s="202"/>
      <c r="BO28" s="375"/>
      <c r="BP28" s="375"/>
      <c r="BQ28" s="202"/>
      <c r="BR28" s="375"/>
      <c r="BS28" s="375"/>
      <c r="BT28" s="202"/>
      <c r="BU28" s="202"/>
      <c r="BV28" s="375"/>
      <c r="BW28" s="375"/>
      <c r="BX28" s="202"/>
      <c r="BY28" s="202"/>
      <c r="BZ28" s="202"/>
      <c r="CA28" s="202"/>
      <c r="CB28" s="375"/>
      <c r="CC28" s="375"/>
      <c r="CD28" s="202"/>
      <c r="CE28" s="202"/>
      <c r="CF28" s="375"/>
      <c r="CG28" s="375"/>
      <c r="CH28" s="202"/>
      <c r="CI28" s="375"/>
      <c r="CJ28" s="375"/>
      <c r="CK28" s="202"/>
      <c r="CL28" s="375"/>
      <c r="CM28" s="375"/>
      <c r="CN28" s="202"/>
      <c r="CO28" s="202"/>
      <c r="CP28" s="375"/>
      <c r="CQ28" s="375"/>
      <c r="CR28" s="375"/>
      <c r="CS28" s="202"/>
      <c r="CT28" s="202"/>
      <c r="CU28" s="202"/>
      <c r="CV28" s="202"/>
      <c r="CW28" s="202"/>
      <c r="CX28" s="202"/>
      <c r="CY28" s="190"/>
      <c r="CZ28" s="13">
        <f t="shared" si="3"/>
        <v>515000</v>
      </c>
      <c r="DA28" s="436">
        <f t="shared" si="0"/>
        <v>0</v>
      </c>
      <c r="DB28" s="879">
        <f t="shared" si="10"/>
        <v>1.0640495867768596</v>
      </c>
      <c r="DC28" s="39">
        <f t="shared" si="9"/>
        <v>0</v>
      </c>
      <c r="DD28" s="9"/>
      <c r="DE28" s="13">
        <f t="shared" si="1"/>
        <v>-18000</v>
      </c>
    </row>
    <row r="29" spans="1:109" ht="13.5" customHeight="1" x14ac:dyDescent="0.25">
      <c r="A29" s="125">
        <v>5163</v>
      </c>
      <c r="B29" s="27" t="s">
        <v>147</v>
      </c>
      <c r="C29" s="39">
        <v>756000</v>
      </c>
      <c r="D29" s="39">
        <v>726000</v>
      </c>
      <c r="E29" s="39">
        <v>726000</v>
      </c>
      <c r="F29" s="39">
        <v>751000</v>
      </c>
      <c r="G29" s="39">
        <v>752000</v>
      </c>
      <c r="H29" s="39">
        <v>752000</v>
      </c>
      <c r="I29" s="39">
        <f t="shared" si="11"/>
        <v>752000</v>
      </c>
      <c r="J29" s="195">
        <f>[6]Úroky!$B$12</f>
        <v>80000</v>
      </c>
      <c r="K29" s="202"/>
      <c r="L29" s="202">
        <f>'[4]Všeob. pokladna'!$B$18</f>
        <v>660000</v>
      </c>
      <c r="M29" s="202"/>
      <c r="N29" s="202"/>
      <c r="O29" s="375"/>
      <c r="P29" s="375"/>
      <c r="Q29" s="360"/>
      <c r="R29" s="202">
        <f>'[3]Pečovatelská služba'!$B$39</f>
        <v>0</v>
      </c>
      <c r="S29" s="202"/>
      <c r="T29" s="202"/>
      <c r="U29" s="202"/>
      <c r="V29" s="202"/>
      <c r="W29" s="202"/>
      <c r="X29" s="202"/>
      <c r="Y29" s="202"/>
      <c r="Z29" s="375"/>
      <c r="AA29" s="375"/>
      <c r="AB29" s="202"/>
      <c r="AC29" s="375"/>
      <c r="AD29" s="375"/>
      <c r="AE29" s="202"/>
      <c r="AF29" s="375"/>
      <c r="AG29" s="375"/>
      <c r="AH29" s="202">
        <f>[3]Hasiči!$B$26+[3]Hasiči!$B$26</f>
        <v>12000</v>
      </c>
      <c r="AI29" s="202"/>
      <c r="AJ29" s="202"/>
      <c r="AK29" s="202"/>
      <c r="AL29" s="375"/>
      <c r="AM29" s="375"/>
      <c r="AN29" s="202"/>
      <c r="AO29" s="375"/>
      <c r="AP29" s="375"/>
      <c r="AQ29" s="202"/>
      <c r="AR29" s="375"/>
      <c r="AS29" s="375"/>
      <c r="AT29" s="202"/>
      <c r="AU29" s="375"/>
      <c r="AV29" s="375"/>
      <c r="AW29" s="202"/>
      <c r="AX29" s="375"/>
      <c r="AY29" s="375"/>
      <c r="AZ29" s="202"/>
      <c r="BA29" s="375"/>
      <c r="BB29" s="375"/>
      <c r="BC29" s="202"/>
      <c r="BD29" s="375"/>
      <c r="BE29" s="375"/>
      <c r="BF29" s="202"/>
      <c r="BG29" s="375"/>
      <c r="BH29" s="375"/>
      <c r="BI29" s="202"/>
      <c r="BJ29" s="202"/>
      <c r="BK29" s="375"/>
      <c r="BL29" s="375"/>
      <c r="BM29" s="202"/>
      <c r="BN29" s="202"/>
      <c r="BO29" s="375"/>
      <c r="BP29" s="375"/>
      <c r="BQ29" s="202"/>
      <c r="BR29" s="375"/>
      <c r="BS29" s="375"/>
      <c r="BT29" s="202"/>
      <c r="BU29" s="202"/>
      <c r="BV29" s="375"/>
      <c r="BW29" s="375"/>
      <c r="BX29" s="202"/>
      <c r="BY29" s="202"/>
      <c r="BZ29" s="202"/>
      <c r="CA29" s="202"/>
      <c r="CB29" s="375"/>
      <c r="CC29" s="375"/>
      <c r="CD29" s="202"/>
      <c r="CE29" s="202"/>
      <c r="CF29" s="375"/>
      <c r="CG29" s="375"/>
      <c r="CH29" s="202"/>
      <c r="CI29" s="375"/>
      <c r="CJ29" s="375"/>
      <c r="CK29" s="202"/>
      <c r="CL29" s="375"/>
      <c r="CM29" s="375"/>
      <c r="CN29" s="202"/>
      <c r="CO29" s="202"/>
      <c r="CP29" s="375"/>
      <c r="CQ29" s="375"/>
      <c r="CR29" s="375"/>
      <c r="CS29" s="202"/>
      <c r="CT29" s="202"/>
      <c r="CU29" s="202"/>
      <c r="CV29" s="202"/>
      <c r="CW29" s="202"/>
      <c r="CX29" s="202"/>
      <c r="CY29" s="190"/>
      <c r="CZ29" s="13">
        <f t="shared" si="3"/>
        <v>752000</v>
      </c>
      <c r="DA29" s="436">
        <f t="shared" si="0"/>
        <v>0</v>
      </c>
      <c r="DB29" s="879">
        <f t="shared" si="10"/>
        <v>0.99470899470899465</v>
      </c>
      <c r="DC29" s="39">
        <f t="shared" si="9"/>
        <v>0</v>
      </c>
      <c r="DD29" s="9"/>
      <c r="DE29" s="13">
        <f t="shared" si="1"/>
        <v>26000</v>
      </c>
    </row>
    <row r="30" spans="1:109" ht="13.5" customHeight="1" x14ac:dyDescent="0.25">
      <c r="A30" s="125">
        <v>5164</v>
      </c>
      <c r="B30" s="27" t="s">
        <v>148</v>
      </c>
      <c r="C30" s="39">
        <v>1803149</v>
      </c>
      <c r="D30" s="39">
        <v>1997219</v>
      </c>
      <c r="E30" s="39">
        <v>2018935</v>
      </c>
      <c r="F30" s="39">
        <v>6139080</v>
      </c>
      <c r="G30" s="39">
        <v>2096225</v>
      </c>
      <c r="H30" s="39">
        <v>3854806</v>
      </c>
      <c r="I30" s="39">
        <f t="shared" si="11"/>
        <v>3730406</v>
      </c>
      <c r="J30" s="195"/>
      <c r="K30" s="202"/>
      <c r="L30" s="202">
        <f>'[4]Všeob. pokladna'!$B$32</f>
        <v>0</v>
      </c>
      <c r="M30" s="202">
        <f>[3]Zastupitelé!$B$37</f>
        <v>17000</v>
      </c>
      <c r="N30" s="202"/>
      <c r="O30" s="375"/>
      <c r="P30" s="375"/>
      <c r="Q30" s="360"/>
      <c r="R30" s="202"/>
      <c r="S30" s="202"/>
      <c r="T30" s="202">
        <f>'[3]Městská policie'!$B$77</f>
        <v>0</v>
      </c>
      <c r="U30" s="202"/>
      <c r="V30" s="202">
        <f>[3]Knihovna!$B$46</f>
        <v>160000</v>
      </c>
      <c r="W30" s="202"/>
      <c r="X30" s="202">
        <f>[3]Kultura!$B$21</f>
        <v>50000</v>
      </c>
      <c r="Y30" s="202">
        <f>+Z30+AA30</f>
        <v>34862</v>
      </c>
      <c r="Z30" s="375">
        <f>[4]Byty!$D$29</f>
        <v>34862</v>
      </c>
      <c r="AA30" s="375">
        <f>[4]Byty!$E$29</f>
        <v>0</v>
      </c>
      <c r="AB30" s="202"/>
      <c r="AC30" s="375"/>
      <c r="AD30" s="375"/>
      <c r="AE30" s="202"/>
      <c r="AF30" s="375"/>
      <c r="AG30" s="375"/>
      <c r="AH30" s="202"/>
      <c r="AI30" s="202"/>
      <c r="AJ30" s="202"/>
      <c r="AK30" s="202"/>
      <c r="AL30" s="375"/>
      <c r="AM30" s="375"/>
      <c r="AN30" s="202"/>
      <c r="AO30" s="375"/>
      <c r="AP30" s="375"/>
      <c r="AQ30" s="202">
        <f>[6]ZŠ!$B$32</f>
        <v>808000</v>
      </c>
      <c r="AR30" s="375"/>
      <c r="AS30" s="375"/>
      <c r="AT30" s="202"/>
      <c r="AU30" s="375"/>
      <c r="AV30" s="375"/>
      <c r="AW30" s="202"/>
      <c r="AX30" s="375"/>
      <c r="AY30" s="375"/>
      <c r="AZ30" s="202">
        <f>'[4]MŠ Pražská'!$B$18</f>
        <v>673300</v>
      </c>
      <c r="BA30" s="375"/>
      <c r="BB30" s="375"/>
      <c r="BC30" s="202">
        <f>'[4]MŠ Kollárova'!$B$4</f>
        <v>1568138</v>
      </c>
      <c r="BD30" s="375"/>
      <c r="BE30" s="375"/>
      <c r="BF30" s="202"/>
      <c r="BG30" s="375"/>
      <c r="BH30" s="375"/>
      <c r="BI30" s="202"/>
      <c r="BJ30" s="202"/>
      <c r="BK30" s="375"/>
      <c r="BL30" s="375"/>
      <c r="BM30" s="202"/>
      <c r="BN30" s="202"/>
      <c r="BO30" s="375"/>
      <c r="BP30" s="375"/>
      <c r="BQ30" s="202">
        <f>[4]Silnice!$B$19+'[5]Silnice-nájem'!$B$4</f>
        <v>68105</v>
      </c>
      <c r="BR30" s="375"/>
      <c r="BS30" s="375"/>
      <c r="BT30" s="202"/>
      <c r="BU30" s="202"/>
      <c r="BV30" s="375"/>
      <c r="BW30" s="375"/>
      <c r="BX30" s="202"/>
      <c r="BY30" s="202"/>
      <c r="BZ30" s="202"/>
      <c r="CA30" s="202"/>
      <c r="CB30" s="375"/>
      <c r="CC30" s="375"/>
      <c r="CD30" s="202"/>
      <c r="CE30" s="202"/>
      <c r="CF30" s="375"/>
      <c r="CG30" s="375"/>
      <c r="CH30" s="202"/>
      <c r="CI30" s="375"/>
      <c r="CJ30" s="375"/>
      <c r="CK30" s="202"/>
      <c r="CL30" s="375"/>
      <c r="CM30" s="375"/>
      <c r="CN30" s="202"/>
      <c r="CO30" s="202"/>
      <c r="CP30" s="375"/>
      <c r="CQ30" s="375"/>
      <c r="CR30" s="375"/>
      <c r="CS30" s="202">
        <f>'[2]Rybníky 3749-2'!$B$13</f>
        <v>351001</v>
      </c>
      <c r="CT30" s="202">
        <f>'[2]Park Úvaly 3749-1'!$B$13</f>
        <v>0</v>
      </c>
      <c r="CU30" s="202">
        <f>'[2]Městská stezka 374-3'!$B$13</f>
        <v>0</v>
      </c>
      <c r="CV30" s="202"/>
      <c r="CW30" s="202"/>
      <c r="CX30" s="202"/>
      <c r="CY30" s="190"/>
      <c r="CZ30" s="13">
        <f t="shared" si="3"/>
        <v>3730406</v>
      </c>
      <c r="DA30" s="436">
        <f t="shared" si="0"/>
        <v>0</v>
      </c>
      <c r="DB30" s="879">
        <f t="shared" si="10"/>
        <v>2.0688284772916714</v>
      </c>
      <c r="DC30" s="39">
        <f t="shared" si="9"/>
        <v>0</v>
      </c>
      <c r="DD30" s="9"/>
      <c r="DE30" s="13">
        <f t="shared" si="1"/>
        <v>1733187</v>
      </c>
    </row>
    <row r="31" spans="1:109" ht="13.5" customHeight="1" x14ac:dyDescent="0.25">
      <c r="A31" s="125">
        <v>5166</v>
      </c>
      <c r="B31" s="27" t="s">
        <v>149</v>
      </c>
      <c r="C31" s="39">
        <v>935000</v>
      </c>
      <c r="D31" s="39">
        <v>960000</v>
      </c>
      <c r="E31" s="39">
        <v>960000</v>
      </c>
      <c r="F31" s="39">
        <v>960000</v>
      </c>
      <c r="G31" s="39">
        <v>1000000</v>
      </c>
      <c r="H31" s="39">
        <v>650000</v>
      </c>
      <c r="I31" s="39">
        <f t="shared" si="11"/>
        <v>650000</v>
      </c>
      <c r="J31" s="195"/>
      <c r="K31" s="202"/>
      <c r="L31" s="202"/>
      <c r="M31" s="202"/>
      <c r="N31" s="202">
        <f>[3]Správa!$B$69</f>
        <v>650000</v>
      </c>
      <c r="O31" s="375"/>
      <c r="P31" s="375"/>
      <c r="Q31" s="360"/>
      <c r="R31" s="202"/>
      <c r="S31" s="202"/>
      <c r="T31" s="202">
        <f>'[3]Městská policie'!$B$84</f>
        <v>0</v>
      </c>
      <c r="U31" s="202"/>
      <c r="V31" s="202"/>
      <c r="W31" s="202"/>
      <c r="X31" s="202"/>
      <c r="Y31" s="202"/>
      <c r="Z31" s="375"/>
      <c r="AA31" s="375"/>
      <c r="AB31" s="202"/>
      <c r="AC31" s="375"/>
      <c r="AD31" s="375"/>
      <c r="AE31" s="202"/>
      <c r="AF31" s="375"/>
      <c r="AG31" s="375"/>
      <c r="AH31" s="202"/>
      <c r="AI31" s="202"/>
      <c r="AJ31" s="202"/>
      <c r="AK31" s="202"/>
      <c r="AL31" s="375"/>
      <c r="AM31" s="375"/>
      <c r="AN31" s="202"/>
      <c r="AO31" s="375"/>
      <c r="AP31" s="375"/>
      <c r="AQ31" s="202"/>
      <c r="AR31" s="375"/>
      <c r="AS31" s="375"/>
      <c r="AT31" s="202"/>
      <c r="AU31" s="375"/>
      <c r="AV31" s="375"/>
      <c r="AW31" s="202"/>
      <c r="AX31" s="375"/>
      <c r="AY31" s="375"/>
      <c r="AZ31" s="202"/>
      <c r="BA31" s="375"/>
      <c r="BB31" s="375"/>
      <c r="BC31" s="202"/>
      <c r="BD31" s="375"/>
      <c r="BE31" s="375"/>
      <c r="BF31" s="202"/>
      <c r="BG31" s="375"/>
      <c r="BH31" s="375"/>
      <c r="BI31" s="202"/>
      <c r="BJ31" s="202"/>
      <c r="BK31" s="375"/>
      <c r="BL31" s="375"/>
      <c r="BM31" s="202">
        <f>'[2]Územní plán 3635'!$B$4</f>
        <v>0</v>
      </c>
      <c r="BN31" s="202"/>
      <c r="BO31" s="375"/>
      <c r="BP31" s="375"/>
      <c r="BQ31" s="202"/>
      <c r="BR31" s="375"/>
      <c r="BS31" s="375"/>
      <c r="BT31" s="202"/>
      <c r="BU31" s="202"/>
      <c r="BV31" s="375"/>
      <c r="BW31" s="375"/>
      <c r="BX31" s="202"/>
      <c r="BY31" s="202"/>
      <c r="BZ31" s="202"/>
      <c r="CA31" s="202"/>
      <c r="CB31" s="375"/>
      <c r="CC31" s="375"/>
      <c r="CD31" s="202"/>
      <c r="CE31" s="202"/>
      <c r="CF31" s="375"/>
      <c r="CG31" s="375"/>
      <c r="CH31" s="202"/>
      <c r="CI31" s="375"/>
      <c r="CJ31" s="375"/>
      <c r="CK31" s="202"/>
      <c r="CL31" s="375"/>
      <c r="CM31" s="375"/>
      <c r="CN31" s="202"/>
      <c r="CO31" s="202"/>
      <c r="CP31" s="375"/>
      <c r="CQ31" s="375"/>
      <c r="CR31" s="375"/>
      <c r="CS31" s="202"/>
      <c r="CT31" s="202"/>
      <c r="CU31" s="202"/>
      <c r="CV31" s="202"/>
      <c r="CW31" s="202"/>
      <c r="CX31" s="202"/>
      <c r="CY31" s="190"/>
      <c r="CZ31" s="13">
        <f t="shared" si="3"/>
        <v>650000</v>
      </c>
      <c r="DA31" s="436">
        <f t="shared" si="0"/>
        <v>0</v>
      </c>
      <c r="DB31" s="879">
        <f t="shared" si="10"/>
        <v>0.69518716577540107</v>
      </c>
      <c r="DC31" s="39">
        <f t="shared" si="9"/>
        <v>0</v>
      </c>
      <c r="DD31" s="9"/>
      <c r="DE31" s="13">
        <f t="shared" si="1"/>
        <v>-310000</v>
      </c>
    </row>
    <row r="32" spans="1:109" ht="13.5" customHeight="1" x14ac:dyDescent="0.25">
      <c r="A32" s="125">
        <v>5167</v>
      </c>
      <c r="B32" s="27" t="s">
        <v>150</v>
      </c>
      <c r="C32" s="39">
        <v>197000</v>
      </c>
      <c r="D32" s="39">
        <v>282000</v>
      </c>
      <c r="E32" s="39">
        <v>304000</v>
      </c>
      <c r="F32" s="39">
        <v>349000</v>
      </c>
      <c r="G32" s="39">
        <v>353000</v>
      </c>
      <c r="H32" s="39">
        <v>353000</v>
      </c>
      <c r="I32" s="39">
        <f t="shared" si="11"/>
        <v>353000</v>
      </c>
      <c r="J32" s="195"/>
      <c r="K32" s="202"/>
      <c r="L32" s="202"/>
      <c r="M32" s="202">
        <f>[3]Zastupitelé!$B$44</f>
        <v>40000</v>
      </c>
      <c r="N32" s="202">
        <f>[3]Správa!$B$75</f>
        <v>200000</v>
      </c>
      <c r="O32" s="375"/>
      <c r="P32" s="375"/>
      <c r="Q32" s="360"/>
      <c r="R32" s="202">
        <f>'[3]Pečovatelská služba'!$B$45</f>
        <v>8000</v>
      </c>
      <c r="S32" s="202"/>
      <c r="T32" s="202">
        <f>'[3]Městská policie'!$B$91</f>
        <v>75000</v>
      </c>
      <c r="U32" s="202"/>
      <c r="V32" s="202">
        <f>[3]Knihovna!$B$53</f>
        <v>5000</v>
      </c>
      <c r="W32" s="202"/>
      <c r="X32" s="202"/>
      <c r="Y32" s="202"/>
      <c r="Z32" s="375"/>
      <c r="AA32" s="375"/>
      <c r="AB32" s="202"/>
      <c r="AC32" s="375"/>
      <c r="AD32" s="375"/>
      <c r="AE32" s="202"/>
      <c r="AF32" s="375"/>
      <c r="AG32" s="375"/>
      <c r="AH32" s="202">
        <f>[3]Hasiči!$B$68</f>
        <v>25000</v>
      </c>
      <c r="AI32" s="202"/>
      <c r="AJ32" s="202"/>
      <c r="AK32" s="202"/>
      <c r="AL32" s="375"/>
      <c r="AM32" s="375"/>
      <c r="AN32" s="202"/>
      <c r="AO32" s="375"/>
      <c r="AP32" s="375"/>
      <c r="AQ32" s="202"/>
      <c r="AR32" s="375"/>
      <c r="AS32" s="375"/>
      <c r="AT32" s="202"/>
      <c r="AU32" s="375"/>
      <c r="AV32" s="375"/>
      <c r="AW32" s="202"/>
      <c r="AX32" s="375"/>
      <c r="AY32" s="375"/>
      <c r="AZ32" s="202"/>
      <c r="BA32" s="375"/>
      <c r="BB32" s="375"/>
      <c r="BC32" s="202"/>
      <c r="BD32" s="375"/>
      <c r="BE32" s="375"/>
      <c r="BF32" s="202"/>
      <c r="BG32" s="375"/>
      <c r="BH32" s="375"/>
      <c r="BI32" s="202"/>
      <c r="BJ32" s="202"/>
      <c r="BK32" s="375"/>
      <c r="BL32" s="375"/>
      <c r="BM32" s="202"/>
      <c r="BN32" s="202"/>
      <c r="BO32" s="375"/>
      <c r="BP32" s="375"/>
      <c r="BQ32" s="202"/>
      <c r="BR32" s="375"/>
      <c r="BS32" s="375"/>
      <c r="BT32" s="202"/>
      <c r="BU32" s="202"/>
      <c r="BV32" s="375"/>
      <c r="BW32" s="375"/>
      <c r="BX32" s="202"/>
      <c r="BY32" s="202"/>
      <c r="BZ32" s="202"/>
      <c r="CA32" s="202"/>
      <c r="CB32" s="375"/>
      <c r="CC32" s="375"/>
      <c r="CD32" s="202"/>
      <c r="CE32" s="202"/>
      <c r="CF32" s="375"/>
      <c r="CG32" s="375"/>
      <c r="CH32" s="202"/>
      <c r="CI32" s="375"/>
      <c r="CJ32" s="375"/>
      <c r="CK32" s="202"/>
      <c r="CL32" s="375"/>
      <c r="CM32" s="375"/>
      <c r="CN32" s="202"/>
      <c r="CO32" s="202"/>
      <c r="CP32" s="375"/>
      <c r="CQ32" s="375"/>
      <c r="CR32" s="375"/>
      <c r="CS32" s="202"/>
      <c r="CT32" s="202"/>
      <c r="CU32" s="202"/>
      <c r="CV32" s="202"/>
      <c r="CW32" s="202"/>
      <c r="CX32" s="202"/>
      <c r="CY32" s="190"/>
      <c r="CZ32" s="13">
        <f t="shared" si="3"/>
        <v>353000</v>
      </c>
      <c r="DA32" s="436">
        <f t="shared" si="0"/>
        <v>0</v>
      </c>
      <c r="DB32" s="879">
        <f t="shared" si="10"/>
        <v>1.7918781725888324</v>
      </c>
      <c r="DC32" s="39">
        <f t="shared" si="9"/>
        <v>0</v>
      </c>
      <c r="DD32" s="9"/>
      <c r="DE32" s="13">
        <f t="shared" si="1"/>
        <v>71000</v>
      </c>
    </row>
    <row r="33" spans="1:109" ht="13.5" customHeight="1" x14ac:dyDescent="0.25">
      <c r="A33" s="125">
        <v>5168</v>
      </c>
      <c r="B33" s="27" t="s">
        <v>151</v>
      </c>
      <c r="C33" s="39">
        <v>405000</v>
      </c>
      <c r="D33" s="39">
        <v>275000</v>
      </c>
      <c r="E33" s="39">
        <v>490000</v>
      </c>
      <c r="F33" s="39">
        <v>389000</v>
      </c>
      <c r="G33" s="39">
        <v>165000</v>
      </c>
      <c r="H33" s="39">
        <v>515000</v>
      </c>
      <c r="I33" s="39">
        <f>SUM(J33:N33)+SUM(R33:Y33)+AB33+AE33+SUM(AH33:AK33)+AN33+AQ33+AT33+AW33+AZ33+BC33+BF33+BI33+BJ33+BM33+BN33+BQ33+SUM(BT33:BU33)+BZ33+CA33+CD33+CE33+CH33+CK33+CN33+CO33+SUM(CS33:CY33)+BX33+BY33</f>
        <v>515000</v>
      </c>
      <c r="J33" s="195"/>
      <c r="K33" s="202"/>
      <c r="L33" s="202">
        <f>'[6]Všebecná pokladna'!$B$21+'[2]Všeobecná pokladna 6409'!$B$4</f>
        <v>165000</v>
      </c>
      <c r="M33" s="202"/>
      <c r="N33" s="202"/>
      <c r="O33" s="375"/>
      <c r="P33" s="375"/>
      <c r="Q33" s="360"/>
      <c r="R33" s="202"/>
      <c r="S33" s="202"/>
      <c r="T33" s="202"/>
      <c r="U33" s="202"/>
      <c r="V33" s="202"/>
      <c r="W33" s="202"/>
      <c r="X33" s="202"/>
      <c r="Y33" s="202"/>
      <c r="Z33" s="375"/>
      <c r="AA33" s="375"/>
      <c r="AB33" s="202"/>
      <c r="AC33" s="375"/>
      <c r="AD33" s="375"/>
      <c r="AE33" s="202"/>
      <c r="AF33" s="375"/>
      <c r="AG33" s="375"/>
      <c r="AH33" s="202"/>
      <c r="AI33" s="202"/>
      <c r="AJ33" s="202"/>
      <c r="AK33" s="202"/>
      <c r="AL33" s="375"/>
      <c r="AM33" s="375"/>
      <c r="AN33" s="202"/>
      <c r="AO33" s="375"/>
      <c r="AP33" s="375"/>
      <c r="AQ33" s="202"/>
      <c r="AR33" s="375"/>
      <c r="AS33" s="375"/>
      <c r="AT33" s="202"/>
      <c r="AU33" s="375"/>
      <c r="AV33" s="375"/>
      <c r="AW33" s="202"/>
      <c r="AX33" s="375"/>
      <c r="AY33" s="375"/>
      <c r="AZ33" s="202"/>
      <c r="BA33" s="375"/>
      <c r="BB33" s="375"/>
      <c r="BC33" s="202"/>
      <c r="BD33" s="375"/>
      <c r="BE33" s="375"/>
      <c r="BF33" s="202"/>
      <c r="BG33" s="375"/>
      <c r="BH33" s="375"/>
      <c r="BI33" s="202"/>
      <c r="BJ33" s="202"/>
      <c r="BK33" s="375"/>
      <c r="BL33" s="375"/>
      <c r="BM33" s="202">
        <f>'[2]Územní plán 3635'!$B$12</f>
        <v>350000</v>
      </c>
      <c r="BN33" s="202"/>
      <c r="BO33" s="375"/>
      <c r="BP33" s="375"/>
      <c r="BQ33" s="202"/>
      <c r="BR33" s="375"/>
      <c r="BS33" s="375"/>
      <c r="BT33" s="202"/>
      <c r="BU33" s="202"/>
      <c r="BV33" s="375"/>
      <c r="BW33" s="375"/>
      <c r="BX33" s="202"/>
      <c r="BY33" s="202"/>
      <c r="BZ33" s="202"/>
      <c r="CA33" s="202"/>
      <c r="CB33" s="375"/>
      <c r="CC33" s="375"/>
      <c r="CD33" s="202"/>
      <c r="CE33" s="202"/>
      <c r="CF33" s="375"/>
      <c r="CG33" s="375"/>
      <c r="CH33" s="202"/>
      <c r="CI33" s="375"/>
      <c r="CJ33" s="375"/>
      <c r="CK33" s="202"/>
      <c r="CL33" s="375"/>
      <c r="CM33" s="375"/>
      <c r="CN33" s="202">
        <f>'[2]Povodeň 3744'!$B$4</f>
        <v>0</v>
      </c>
      <c r="CO33" s="202"/>
      <c r="CP33" s="375"/>
      <c r="CQ33" s="375"/>
      <c r="CR33" s="375"/>
      <c r="CS33" s="202"/>
      <c r="CT33" s="202">
        <f>'[2]Park Úvaly 3749-1'!$B$87</f>
        <v>0</v>
      </c>
      <c r="CU33" s="202">
        <f>'[2]Městská stezka 374-3'!$B$21</f>
        <v>0</v>
      </c>
      <c r="CV33" s="202"/>
      <c r="CW33" s="202"/>
      <c r="CX33" s="202"/>
      <c r="CY33" s="190"/>
      <c r="CZ33" s="13">
        <f t="shared" si="3"/>
        <v>515000</v>
      </c>
      <c r="DA33" s="436">
        <f t="shared" si="0"/>
        <v>0</v>
      </c>
      <c r="DB33" s="879">
        <f t="shared" si="10"/>
        <v>1.271604938271605</v>
      </c>
      <c r="DC33" s="39">
        <f t="shared" si="9"/>
        <v>0</v>
      </c>
      <c r="DD33" s="9"/>
      <c r="DE33" s="13">
        <f t="shared" si="1"/>
        <v>240000</v>
      </c>
    </row>
    <row r="34" spans="1:109" ht="13.5" customHeight="1" x14ac:dyDescent="0.25">
      <c r="A34" s="125">
        <v>5169</v>
      </c>
      <c r="B34" s="27" t="s">
        <v>152</v>
      </c>
      <c r="C34" s="39">
        <v>15482813</v>
      </c>
      <c r="D34" s="39">
        <v>13901500</v>
      </c>
      <c r="E34" s="39">
        <v>14838500</v>
      </c>
      <c r="F34" s="39">
        <v>16463455</v>
      </c>
      <c r="G34" s="39">
        <v>16355600</v>
      </c>
      <c r="H34" s="39">
        <v>16827600</v>
      </c>
      <c r="I34" s="39">
        <f>SUM(J34:N34)+SUM(R34:Y34)+AB34+AE34+SUM(AH34:AK34)+AN34+AQ34+AT34+AW34+AZ34+BC34+BF34+BI34+BJ34+BM34+BN34+BQ34+SUM(BT34:BU34)+BZ34+CA34+CD34+CE34+CH34+CK34+CN34+CO34+SUM(CS34:CY34)+BX34+BY34</f>
        <v>17147600</v>
      </c>
      <c r="J34" s="195"/>
      <c r="K34" s="202"/>
      <c r="L34" s="202">
        <f>'[4]Všeob. pokladna'!$B$4</f>
        <v>50000</v>
      </c>
      <c r="M34" s="202">
        <f>[3]Zastupitelé!$B$51</f>
        <v>30000</v>
      </c>
      <c r="N34" s="202">
        <f>[3]Správa!$B$82</f>
        <v>910000</v>
      </c>
      <c r="O34" s="375"/>
      <c r="P34" s="375"/>
      <c r="Q34" s="1359">
        <f>+AA34+AD34+AG34+AM34+AP34+AS34+AV34+AY34+BB34+BE34+BH34+BL34+BP34+BS34+BW34+CC34+CE34+CJ34+CM34+CR34</f>
        <v>5820000</v>
      </c>
      <c r="R34" s="202">
        <f>'[3]Pečovatelská služba'!$B$52</f>
        <v>20000</v>
      </c>
      <c r="S34" s="202">
        <f>'[3]Agentura SCSA'!$B$4</f>
        <v>200000</v>
      </c>
      <c r="T34" s="202">
        <f>'[3]Městská policie'!$B$98</f>
        <v>35000</v>
      </c>
      <c r="U34" s="202">
        <f>[3]Kronika!$B$18</f>
        <v>100000</v>
      </c>
      <c r="V34" s="202">
        <f>[3]Knihovna!$B$60</f>
        <v>15000</v>
      </c>
      <c r="W34" s="202">
        <f>'[3]Život Úval'!$B$11</f>
        <v>450000</v>
      </c>
      <c r="X34" s="202">
        <f>[3]Kultura!$B$28</f>
        <v>730000</v>
      </c>
      <c r="Y34" s="373">
        <f>[4]Byty!$B$4</f>
        <v>460000</v>
      </c>
      <c r="Z34" s="691"/>
      <c r="AA34" s="691"/>
      <c r="AB34" s="373">
        <f>[4]DPS!$B$18</f>
        <v>150000</v>
      </c>
      <c r="AC34" s="691"/>
      <c r="AD34" s="691"/>
      <c r="AE34" s="373">
        <f>+AF34+AG34</f>
        <v>240000</v>
      </c>
      <c r="AF34" s="691">
        <f>+[4]Nebyty!$D$4</f>
        <v>240000</v>
      </c>
      <c r="AG34" s="691">
        <f>+[4]Nebyty!$E$4</f>
        <v>0</v>
      </c>
      <c r="AH34" s="202">
        <f>[4]Hasiči!$B$4+[3]Hasiči!$B$75</f>
        <v>70000</v>
      </c>
      <c r="AI34" s="202"/>
      <c r="AJ34" s="202">
        <f>[4]Tesko!$B$4</f>
        <v>10000</v>
      </c>
      <c r="AK34" s="202">
        <f>[4]Hřbitov!$B$26</f>
        <v>0</v>
      </c>
      <c r="AL34" s="375"/>
      <c r="AM34" s="375"/>
      <c r="AN34" s="202">
        <f>'[4]Koupaliště-Hřišť'!$B$4</f>
        <v>160000</v>
      </c>
      <c r="AO34" s="375"/>
      <c r="AP34" s="375"/>
      <c r="AQ34" s="202">
        <f>[4]ZŠ!$B$4</f>
        <v>180000</v>
      </c>
      <c r="AR34" s="375"/>
      <c r="AS34" s="375"/>
      <c r="AT34" s="202">
        <f>'[4]Č.p. 65'!$B$4+[3]č.p.65!$B$46</f>
        <v>76000</v>
      </c>
      <c r="AU34" s="375"/>
      <c r="AV34" s="375"/>
      <c r="AW34" s="202">
        <f>[4]MDDM!$B$4</f>
        <v>30000</v>
      </c>
      <c r="AX34" s="375"/>
      <c r="AY34" s="375"/>
      <c r="AZ34" s="202">
        <f>'[4]MŠ Pražská'!$B$4</f>
        <v>20000</v>
      </c>
      <c r="BA34" s="375"/>
      <c r="BB34" s="375"/>
      <c r="BC34" s="202">
        <f>'[4]MŠ Kollárova'!$B$11</f>
        <v>85000</v>
      </c>
      <c r="BD34" s="375"/>
      <c r="BE34" s="375"/>
      <c r="BF34" s="202"/>
      <c r="BG34" s="375"/>
      <c r="BH34" s="375"/>
      <c r="BI34" s="202">
        <f>'[4]Jídelna MŠ'!$B$4</f>
        <v>15000</v>
      </c>
      <c r="BJ34" s="202">
        <f>'[4]MŠ Cukrovar'!$B$4</f>
        <v>80000</v>
      </c>
      <c r="BK34" s="375"/>
      <c r="BL34" s="375"/>
      <c r="BM34" s="202">
        <f>'[2]Územní plán 3635'!$B$20</f>
        <v>50000</v>
      </c>
      <c r="BN34" s="373">
        <f>[4]VO!$B$4</f>
        <v>242100</v>
      </c>
      <c r="BO34" s="691"/>
      <c r="BP34" s="691"/>
      <c r="BQ34" s="316">
        <f>'[5]Silnice světelná křižovatka'!$B$4</f>
        <v>410000</v>
      </c>
      <c r="BR34" s="691"/>
      <c r="BS34" s="691"/>
      <c r="BT34" s="202"/>
      <c r="BU34" s="316">
        <f>+BV34+BW34</f>
        <v>250000</v>
      </c>
      <c r="BV34" s="691">
        <f>[4]Vodovod!$D$18</f>
        <v>100000</v>
      </c>
      <c r="BW34" s="374">
        <f>[4]Vodovod!$E$18</f>
        <v>150000</v>
      </c>
      <c r="BX34" s="677"/>
      <c r="BY34" s="678">
        <f>[4]Kanalizace!$B$4</f>
        <v>72000</v>
      </c>
      <c r="BZ34" s="677"/>
      <c r="CA34" s="202">
        <f>'[4]Inženýrské sítě'!$B$11</f>
        <v>240000</v>
      </c>
      <c r="CB34" s="375"/>
      <c r="CC34" s="375"/>
      <c r="CD34" s="202">
        <f>'[2]Lesy 1036'!$B$4</f>
        <v>200000</v>
      </c>
      <c r="CE34" s="316">
        <f>+CF34+CG34</f>
        <v>4950000</v>
      </c>
      <c r="CF34" s="375">
        <f>'[2]Popelnice 3722-1'!$D$20</f>
        <v>0</v>
      </c>
      <c r="CG34" s="375">
        <f>'[2]Popelnice 3722-1'!$E$20</f>
        <v>4950000</v>
      </c>
      <c r="CH34" s="316">
        <f>+CI34+CJ34</f>
        <v>710000</v>
      </c>
      <c r="CI34" s="375">
        <f>'[2]Odpady 3722-34'!$D$4</f>
        <v>60000</v>
      </c>
      <c r="CJ34" s="374">
        <f>'[2]Odpady 3722-34'!$E$4</f>
        <v>650000</v>
      </c>
      <c r="CK34" s="316">
        <f>+CL34+CM34</f>
        <v>70000</v>
      </c>
      <c r="CL34" s="375">
        <f>+'[2]Černé skládky 3729'!$D$4</f>
        <v>0</v>
      </c>
      <c r="CM34" s="374">
        <f>+'[2]Černé skládky 3729'!$E$4</f>
        <v>70000</v>
      </c>
      <c r="CN34" s="202">
        <f>'[2]Povodeň 3744'!$B$12</f>
        <v>66500</v>
      </c>
      <c r="CO34" s="316">
        <f>+CP34+CQ34+CR34</f>
        <v>3350000</v>
      </c>
      <c r="CP34" s="375">
        <f>'[2]Příroda 3749'!$B$13</f>
        <v>3330000</v>
      </c>
      <c r="CQ34" s="375">
        <f>[4]Příroda!$D$13</f>
        <v>20000</v>
      </c>
      <c r="CR34" s="374">
        <f>[4]Příroda!$E$13</f>
        <v>0</v>
      </c>
      <c r="CS34" s="202">
        <f>[4]Rybníky!$B$13+'[2]Rybníky 3749-2'!$B$21</f>
        <v>421000</v>
      </c>
      <c r="CT34" s="202"/>
      <c r="CU34" s="202"/>
      <c r="CV34" s="316">
        <f>'[2]TSÚ-Sběrný dvůr 3722-36'!$B$4</f>
        <v>2000000</v>
      </c>
      <c r="CW34" s="202">
        <f>[2]Pošembeří!$B$4</f>
        <v>0</v>
      </c>
      <c r="CX34" s="202"/>
      <c r="CY34" s="190"/>
      <c r="CZ34" s="13">
        <f>+SUM(J34:N34)+SUM(R34:Y34)+AB34+AE34+SUM(AH34:AK34)+AN34+AQ34+AT34+AW34+AZ34+BC34+BF34+BI34+BJ34+BM34+BN34+BQ34+BT34+BU34+SUM(BX34:CA34)+CD34+CE34+CH34+CK34+CN34+CO34+SUM(CS34:CY34)</f>
        <v>17147600</v>
      </c>
      <c r="DA34" s="436">
        <f>CZ34-I34</f>
        <v>0</v>
      </c>
      <c r="DB34" s="879">
        <f t="shared" si="10"/>
        <v>1.1075248406087448</v>
      </c>
      <c r="DC34" s="39">
        <f t="shared" si="9"/>
        <v>5820000</v>
      </c>
      <c r="DD34" s="9"/>
      <c r="DE34" s="13">
        <f t="shared" si="1"/>
        <v>3246100</v>
      </c>
    </row>
    <row r="35" spans="1:109" ht="13.5" customHeight="1" x14ac:dyDescent="0.25">
      <c r="A35" s="125">
        <v>5171</v>
      </c>
      <c r="B35" s="27" t="s">
        <v>153</v>
      </c>
      <c r="C35" s="39">
        <v>8684188.4600000009</v>
      </c>
      <c r="D35" s="39">
        <v>17695000</v>
      </c>
      <c r="E35" s="39">
        <v>18331821</v>
      </c>
      <c r="F35" s="39">
        <v>24454221</v>
      </c>
      <c r="G35" s="39">
        <v>12860000</v>
      </c>
      <c r="H35" s="39">
        <v>13460000</v>
      </c>
      <c r="I35" s="39">
        <f>SUM(J35:N35)+SUM(R35:Y35)+AB35+AE35+SUM(AH35:AK35)+AN35+AQ35+AT35+AW35+AZ35+BC35+BF35+BI35+BJ35+BM35+BN35+BQ35+SUM(BT35:BU35)+BZ35+CA35+CD35+CE35+CH35+CK35+CN35+CO35+SUM(CS35:CY35)+BX35+BY35</f>
        <v>13486000</v>
      </c>
      <c r="J35" s="195"/>
      <c r="K35" s="202"/>
      <c r="L35" s="202">
        <f>'[6]Všebecná pokladna'!$B$38+'[4]Všeob. pokladna'!$B$11</f>
        <v>0</v>
      </c>
      <c r="M35" s="202"/>
      <c r="N35" s="202">
        <f>[4]Správa!$B$5+[3]Správa!$B$90</f>
        <v>366000</v>
      </c>
      <c r="O35" s="375"/>
      <c r="P35" s="375"/>
      <c r="Q35" s="1359">
        <f>+AA35+AD35+AG35+AM35+AP35+AS35+AV35+AY35+BB35+BE35+BH35+BL35+BP35+BS35+BW35+CC35+CG35+CJ35+CM35+CR35</f>
        <v>1610000</v>
      </c>
      <c r="R35" s="202">
        <f>'[3]Pečovatelská služba'!$B$59</f>
        <v>40000</v>
      </c>
      <c r="S35" s="202"/>
      <c r="T35" s="202">
        <f>'[3]Městská policie'!$B$105</f>
        <v>55000</v>
      </c>
      <c r="U35" s="202"/>
      <c r="V35" s="202">
        <f>[3]Knihovna!$B$67</f>
        <v>15000</v>
      </c>
      <c r="W35" s="202"/>
      <c r="X35" s="202"/>
      <c r="Y35" s="316">
        <f>+Z35+AA35</f>
        <v>580000</v>
      </c>
      <c r="Z35" s="691">
        <f>[4]Byty!$D$11</f>
        <v>500000</v>
      </c>
      <c r="AA35" s="374">
        <f>[4]Byty!$E$11</f>
        <v>80000</v>
      </c>
      <c r="AB35" s="316">
        <f>+AC35+AD35</f>
        <v>540000</v>
      </c>
      <c r="AC35" s="691">
        <f>[4]DPS!$D$25</f>
        <v>480000</v>
      </c>
      <c r="AD35" s="374">
        <f>[4]DPS!$E$25</f>
        <v>60000</v>
      </c>
      <c r="AE35" s="316">
        <f>+AF35+AG35</f>
        <v>200000</v>
      </c>
      <c r="AF35" s="691">
        <f>+[4]Nebyty!$D$11</f>
        <v>150000</v>
      </c>
      <c r="AG35" s="374">
        <f>+[4]Nebyty!$E$11</f>
        <v>50000</v>
      </c>
      <c r="AH35" s="202">
        <f>[4]Hasiči!$B$11+[3]Hasiči!$B$82</f>
        <v>150000</v>
      </c>
      <c r="AI35" s="202">
        <f>'[4]Zdrav. středisko'!$B$5</f>
        <v>150000</v>
      </c>
      <c r="AJ35" s="202"/>
      <c r="AK35" s="316">
        <f>+AL35+AM35</f>
        <v>50000</v>
      </c>
      <c r="AL35" s="375">
        <f>[4]Hřbitov!$D$5</f>
        <v>0</v>
      </c>
      <c r="AM35" s="374">
        <f>[4]Hřbitov!$E$5</f>
        <v>50000</v>
      </c>
      <c r="AN35" s="316">
        <f>+AO35+AP35</f>
        <v>410000</v>
      </c>
      <c r="AO35" s="375">
        <f>'[4]Koupaliště-Hřišť'!$D$11</f>
        <v>160000</v>
      </c>
      <c r="AP35" s="374">
        <f>'[4]Koupaliště-Hřišť'!$E$11</f>
        <v>250000</v>
      </c>
      <c r="AQ35" s="316">
        <f>+AR35+AS35</f>
        <v>900000</v>
      </c>
      <c r="AR35" s="375">
        <f>[4]ZŠ!$D$13</f>
        <v>850000</v>
      </c>
      <c r="AS35" s="374">
        <f>[4]ZŠ!$E$13</f>
        <v>50000</v>
      </c>
      <c r="AT35" s="316">
        <f>+AU35+AV35</f>
        <v>100000</v>
      </c>
      <c r="AU35" s="375">
        <f>'[4]Č.p. 65'!$B$12+[3]č.p.65!$D$53</f>
        <v>100000</v>
      </c>
      <c r="AV35" s="374">
        <f>'[4]Č.p. 65'!$E$11</f>
        <v>0</v>
      </c>
      <c r="AW35" s="316">
        <f>+AX35+AY35</f>
        <v>220000</v>
      </c>
      <c r="AX35" s="375">
        <f>[4]MDDM!$D$11</f>
        <v>200000</v>
      </c>
      <c r="AY35" s="374">
        <f>[4]MDDM!$E$11</f>
        <v>20000</v>
      </c>
      <c r="AZ35" s="316">
        <f>+BA35+BB35</f>
        <v>70000</v>
      </c>
      <c r="BA35" s="375">
        <f>'[4]MŠ Pražská'!$D$11</f>
        <v>50000</v>
      </c>
      <c r="BB35" s="374">
        <f>'[4]MŠ Pražská'!$E$11</f>
        <v>20000</v>
      </c>
      <c r="BC35" s="316">
        <f>+BD35+BE35</f>
        <v>370000</v>
      </c>
      <c r="BD35" s="375">
        <f>'[4]MŠ Kollárova'!$D$18</f>
        <v>350000</v>
      </c>
      <c r="BE35" s="374">
        <f>'[4]MŠ Kollárova'!$E$18</f>
        <v>20000</v>
      </c>
      <c r="BF35" s="316">
        <f>+BG35+BH35</f>
        <v>120000</v>
      </c>
      <c r="BG35" s="375">
        <f>'[4]Jídelna ZŠ'!$D$5</f>
        <v>100000</v>
      </c>
      <c r="BH35" s="374">
        <f>'[4]Jídelna ZŠ'!$E$5</f>
        <v>20000</v>
      </c>
      <c r="BI35" s="202">
        <f>'[4]Jídelna MŠ'!$B$11</f>
        <v>20000</v>
      </c>
      <c r="BJ35" s="316">
        <f>+BK35+BL35</f>
        <v>120000</v>
      </c>
      <c r="BK35" s="375">
        <f>'[4]MŠ Cukrovar'!$D$12</f>
        <v>100000</v>
      </c>
      <c r="BL35" s="374">
        <f>'[4]MŠ Cukrovar'!$E$12</f>
        <v>20000</v>
      </c>
      <c r="BM35" s="202"/>
      <c r="BN35" s="316">
        <f>+BO35+BP35</f>
        <v>500000</v>
      </c>
      <c r="BO35" s="375">
        <f>[4]VO!$D$13</f>
        <v>150000</v>
      </c>
      <c r="BP35" s="374">
        <f>[4]VO!$E$13</f>
        <v>350000</v>
      </c>
      <c r="BQ35" s="316">
        <f>+BR35+BS35</f>
        <v>2250000</v>
      </c>
      <c r="BR35" s="691">
        <f>[4]Silnice!$D$4</f>
        <v>1800000</v>
      </c>
      <c r="BS35" s="374">
        <f>[4]Silnice!$E$4</f>
        <v>450000</v>
      </c>
      <c r="BT35" s="202"/>
      <c r="BU35" s="316">
        <f>+BV35+BW35</f>
        <v>220000</v>
      </c>
      <c r="BV35" s="691">
        <f>[4]Vodovod!$D$26</f>
        <v>100000</v>
      </c>
      <c r="BW35" s="374">
        <f>[4]Vodovod!$E$26</f>
        <v>120000</v>
      </c>
      <c r="BX35" s="677">
        <f>'[5]Vodovod obnova'!$B$4</f>
        <v>3880000</v>
      </c>
      <c r="BY35" s="678">
        <f>[4]Kanalizace!$B$23</f>
        <v>860000</v>
      </c>
      <c r="BZ35" s="677">
        <f>'[5]Kanalizace obnova'!$B$4</f>
        <v>0</v>
      </c>
      <c r="CA35" s="316">
        <f>+CB35+CC35</f>
        <v>1300000</v>
      </c>
      <c r="CB35" s="375">
        <f>'[4]Inženýrské sítě'!$D$18</f>
        <v>1250000</v>
      </c>
      <c r="CC35" s="374">
        <f>'[4]Inženýrské sítě'!$E$18</f>
        <v>50000</v>
      </c>
      <c r="CD35" s="202"/>
      <c r="CE35" s="202"/>
      <c r="CF35" s="375"/>
      <c r="CG35" s="375"/>
      <c r="CH35" s="202"/>
      <c r="CI35" s="375"/>
      <c r="CJ35" s="375"/>
      <c r="CK35" s="202"/>
      <c r="CL35" s="375"/>
      <c r="CM35" s="375"/>
      <c r="CN35" s="202"/>
      <c r="CO35" s="202"/>
      <c r="CP35" s="375"/>
      <c r="CQ35" s="375"/>
      <c r="CR35" s="375"/>
      <c r="CS35" s="202"/>
      <c r="CT35" s="202"/>
      <c r="CU35" s="202"/>
      <c r="CV35" s="202"/>
      <c r="CW35" s="202"/>
      <c r="CX35" s="202"/>
      <c r="CY35" s="190"/>
      <c r="CZ35" s="13">
        <f>+SUM(J35:N35)+SUM(R35:Y35)+AB35+AE35+SUM(AH35:AK35)+AN35+AQ35+AT35+AW35+AZ35+BC35+BF35+BI35+BJ35+BM35+BN35+BQ35+BT35+BU35+SUM(BX35:CA35)+CD35+CE35+CH35+CK35+CN35+CO35+SUM(CS35:CY35)</f>
        <v>13486000</v>
      </c>
      <c r="DA35" s="436">
        <f t="shared" si="0"/>
        <v>0</v>
      </c>
      <c r="DB35" s="880">
        <f t="shared" si="10"/>
        <v>1.5529372792999012</v>
      </c>
      <c r="DC35" s="39">
        <f t="shared" si="9"/>
        <v>1610000</v>
      </c>
      <c r="DD35" s="9"/>
      <c r="DE35" s="13">
        <f t="shared" si="1"/>
        <v>-4209000</v>
      </c>
    </row>
    <row r="36" spans="1:109" ht="13.5" customHeight="1" x14ac:dyDescent="0.25">
      <c r="A36" s="125">
        <v>5172</v>
      </c>
      <c r="B36" s="27" t="s">
        <v>154</v>
      </c>
      <c r="C36" s="39">
        <v>1135000</v>
      </c>
      <c r="D36" s="39">
        <v>1440000</v>
      </c>
      <c r="E36" s="39">
        <v>1444800</v>
      </c>
      <c r="F36" s="39">
        <v>1134800</v>
      </c>
      <c r="G36" s="39">
        <v>1591000</v>
      </c>
      <c r="H36" s="39">
        <v>1591000</v>
      </c>
      <c r="I36" s="39">
        <f t="shared" si="11"/>
        <v>1591000</v>
      </c>
      <c r="J36" s="195"/>
      <c r="K36" s="202"/>
      <c r="L36" s="202"/>
      <c r="M36" s="202"/>
      <c r="N36" s="202">
        <f>[3]Správa!$B$97</f>
        <v>1300000</v>
      </c>
      <c r="O36" s="375"/>
      <c r="P36" s="375"/>
      <c r="Q36" s="360"/>
      <c r="R36" s="202">
        <f>'[3]Pečovatelská služba'!$B$66</f>
        <v>10000</v>
      </c>
      <c r="S36" s="202"/>
      <c r="T36" s="202">
        <f>'[3]Městská policie'!$B$112</f>
        <v>180000</v>
      </c>
      <c r="U36" s="202">
        <f>[3]Kronika!$B$25</f>
        <v>6000</v>
      </c>
      <c r="V36" s="202">
        <f>[3]Knihovna!$B$74</f>
        <v>65000</v>
      </c>
      <c r="W36" s="202"/>
      <c r="X36" s="202"/>
      <c r="Y36" s="202"/>
      <c r="Z36" s="375"/>
      <c r="AA36" s="375"/>
      <c r="AB36" s="202">
        <f>[4]DPS!$B$34</f>
        <v>0</v>
      </c>
      <c r="AC36" s="375"/>
      <c r="AD36" s="375"/>
      <c r="AE36" s="202"/>
      <c r="AF36" s="375"/>
      <c r="AG36" s="375"/>
      <c r="AH36" s="202">
        <f>[3]Hasiči!$B$89</f>
        <v>30000</v>
      </c>
      <c r="AI36" s="202"/>
      <c r="AJ36" s="202"/>
      <c r="AK36" s="202"/>
      <c r="AL36" s="375"/>
      <c r="AM36" s="375"/>
      <c r="AN36" s="202"/>
      <c r="AO36" s="375"/>
      <c r="AP36" s="375"/>
      <c r="AQ36" s="202"/>
      <c r="AR36" s="375"/>
      <c r="AS36" s="375"/>
      <c r="AT36" s="202"/>
      <c r="AU36" s="375"/>
      <c r="AV36" s="375"/>
      <c r="AW36" s="202"/>
      <c r="AX36" s="375"/>
      <c r="AY36" s="375"/>
      <c r="AZ36" s="202"/>
      <c r="BA36" s="375"/>
      <c r="BB36" s="375"/>
      <c r="BC36" s="202"/>
      <c r="BD36" s="375"/>
      <c r="BE36" s="375"/>
      <c r="BF36" s="202"/>
      <c r="BG36" s="375"/>
      <c r="BH36" s="375"/>
      <c r="BI36" s="202"/>
      <c r="BJ36" s="202"/>
      <c r="BK36" s="375"/>
      <c r="BL36" s="375"/>
      <c r="BM36" s="202"/>
      <c r="BN36" s="202"/>
      <c r="BO36" s="375"/>
      <c r="BP36" s="375"/>
      <c r="BQ36" s="202"/>
      <c r="BR36" s="375"/>
      <c r="BS36" s="375"/>
      <c r="BT36" s="202"/>
      <c r="BU36" s="202"/>
      <c r="BV36" s="375"/>
      <c r="BW36" s="375"/>
      <c r="BX36" s="202"/>
      <c r="BY36" s="202"/>
      <c r="BZ36" s="202"/>
      <c r="CA36" s="202"/>
      <c r="CB36" s="375"/>
      <c r="CC36" s="375"/>
      <c r="CD36" s="202"/>
      <c r="CE36" s="202"/>
      <c r="CF36" s="375"/>
      <c r="CG36" s="375"/>
      <c r="CH36" s="202"/>
      <c r="CI36" s="375"/>
      <c r="CJ36" s="375"/>
      <c r="CK36" s="202"/>
      <c r="CL36" s="375"/>
      <c r="CM36" s="375"/>
      <c r="CN36" s="202"/>
      <c r="CO36" s="202"/>
      <c r="CP36" s="375"/>
      <c r="CQ36" s="375"/>
      <c r="CR36" s="375"/>
      <c r="CS36" s="202"/>
      <c r="CT36" s="202"/>
      <c r="CU36" s="202"/>
      <c r="CV36" s="202"/>
      <c r="CW36" s="202"/>
      <c r="CX36" s="202"/>
      <c r="CY36" s="190"/>
      <c r="CZ36" s="13">
        <f t="shared" si="3"/>
        <v>1591000</v>
      </c>
      <c r="DA36" s="436">
        <f t="shared" si="0"/>
        <v>0</v>
      </c>
      <c r="DB36" s="879">
        <f t="shared" si="10"/>
        <v>1.401762114537445</v>
      </c>
      <c r="DC36" s="39">
        <f t="shared" si="9"/>
        <v>0</v>
      </c>
      <c r="DD36" s="9"/>
      <c r="DE36" s="13">
        <f t="shared" si="1"/>
        <v>151000</v>
      </c>
    </row>
    <row r="37" spans="1:109" ht="13.5" customHeight="1" x14ac:dyDescent="0.25">
      <c r="A37" s="125">
        <v>5173</v>
      </c>
      <c r="B37" s="27" t="s">
        <v>155</v>
      </c>
      <c r="C37" s="39">
        <v>67000</v>
      </c>
      <c r="D37" s="39">
        <v>68000</v>
      </c>
      <c r="E37" s="39">
        <v>68000</v>
      </c>
      <c r="F37" s="39">
        <v>68000</v>
      </c>
      <c r="G37" s="39">
        <v>77000</v>
      </c>
      <c r="H37" s="39">
        <v>77000</v>
      </c>
      <c r="I37" s="39">
        <f t="shared" si="11"/>
        <v>77000</v>
      </c>
      <c r="J37" s="195"/>
      <c r="K37" s="202"/>
      <c r="L37" s="202"/>
      <c r="M37" s="202">
        <f>[3]Zastupitelé!$B$58</f>
        <v>30000</v>
      </c>
      <c r="N37" s="202">
        <f>[3]Správa!$B$104</f>
        <v>30000</v>
      </c>
      <c r="O37" s="375"/>
      <c r="P37" s="375"/>
      <c r="Q37" s="360"/>
      <c r="R37" s="202">
        <f>'[3]Pečovatelská služba'!$B$73</f>
        <v>1000</v>
      </c>
      <c r="S37" s="202"/>
      <c r="T37" s="202">
        <f>'[3]Městská policie'!$B$119</f>
        <v>15000</v>
      </c>
      <c r="U37" s="202"/>
      <c r="V37" s="202">
        <f>[3]Knihovna!$B$81</f>
        <v>1000</v>
      </c>
      <c r="W37" s="202"/>
      <c r="X37" s="202"/>
      <c r="Y37" s="202"/>
      <c r="Z37" s="375"/>
      <c r="AA37" s="375"/>
      <c r="AB37" s="202"/>
      <c r="AC37" s="375"/>
      <c r="AD37" s="375"/>
      <c r="AE37" s="202"/>
      <c r="AF37" s="375"/>
      <c r="AG37" s="375"/>
      <c r="AH37" s="202"/>
      <c r="AI37" s="202"/>
      <c r="AJ37" s="202"/>
      <c r="AK37" s="202"/>
      <c r="AL37" s="375"/>
      <c r="AM37" s="375"/>
      <c r="AN37" s="202"/>
      <c r="AO37" s="375"/>
      <c r="AP37" s="375"/>
      <c r="AQ37" s="202"/>
      <c r="AR37" s="375"/>
      <c r="AS37" s="375"/>
      <c r="AT37" s="202"/>
      <c r="AU37" s="375"/>
      <c r="AV37" s="375"/>
      <c r="AW37" s="202"/>
      <c r="AX37" s="375"/>
      <c r="AY37" s="375"/>
      <c r="AZ37" s="202"/>
      <c r="BA37" s="375"/>
      <c r="BB37" s="375"/>
      <c r="BC37" s="202"/>
      <c r="BD37" s="375"/>
      <c r="BE37" s="375"/>
      <c r="BF37" s="202"/>
      <c r="BG37" s="375"/>
      <c r="BH37" s="375"/>
      <c r="BI37" s="202"/>
      <c r="BJ37" s="202"/>
      <c r="BK37" s="375"/>
      <c r="BL37" s="375"/>
      <c r="BM37" s="202"/>
      <c r="BN37" s="202"/>
      <c r="BO37" s="375"/>
      <c r="BP37" s="375"/>
      <c r="BQ37" s="202"/>
      <c r="BR37" s="375"/>
      <c r="BS37" s="375"/>
      <c r="BT37" s="202"/>
      <c r="BU37" s="202"/>
      <c r="BV37" s="375"/>
      <c r="BW37" s="375"/>
      <c r="BX37" s="202"/>
      <c r="BY37" s="202"/>
      <c r="BZ37" s="202"/>
      <c r="CA37" s="202"/>
      <c r="CB37" s="375"/>
      <c r="CC37" s="375"/>
      <c r="CD37" s="202"/>
      <c r="CE37" s="202"/>
      <c r="CF37" s="375"/>
      <c r="CG37" s="375"/>
      <c r="CH37" s="202"/>
      <c r="CI37" s="375"/>
      <c r="CJ37" s="375"/>
      <c r="CK37" s="202"/>
      <c r="CL37" s="375"/>
      <c r="CM37" s="375"/>
      <c r="CN37" s="202"/>
      <c r="CO37" s="202"/>
      <c r="CP37" s="375"/>
      <c r="CQ37" s="375"/>
      <c r="CR37" s="375"/>
      <c r="CS37" s="202"/>
      <c r="CT37" s="202"/>
      <c r="CU37" s="202"/>
      <c r="CV37" s="202"/>
      <c r="CW37" s="202"/>
      <c r="CX37" s="202"/>
      <c r="CY37" s="190"/>
      <c r="CZ37" s="13">
        <f t="shared" si="3"/>
        <v>77000</v>
      </c>
      <c r="DA37" s="436">
        <f t="shared" si="0"/>
        <v>0</v>
      </c>
      <c r="DB37" s="879">
        <f t="shared" si="10"/>
        <v>1.1492537313432836</v>
      </c>
      <c r="DC37" s="39">
        <f t="shared" si="9"/>
        <v>0</v>
      </c>
      <c r="DD37" s="9"/>
      <c r="DE37" s="13">
        <f t="shared" si="1"/>
        <v>9000</v>
      </c>
    </row>
    <row r="38" spans="1:109" ht="13.5" customHeight="1" x14ac:dyDescent="0.25">
      <c r="A38" s="125">
        <v>5175</v>
      </c>
      <c r="B38" s="27" t="s">
        <v>156</v>
      </c>
      <c r="C38" s="39">
        <v>218000</v>
      </c>
      <c r="D38" s="39">
        <v>318000</v>
      </c>
      <c r="E38" s="39">
        <v>318000</v>
      </c>
      <c r="F38" s="39">
        <v>318000</v>
      </c>
      <c r="G38" s="39">
        <v>353000</v>
      </c>
      <c r="H38" s="39">
        <v>353000</v>
      </c>
      <c r="I38" s="39">
        <f t="shared" si="11"/>
        <v>353000</v>
      </c>
      <c r="J38" s="195"/>
      <c r="K38" s="202"/>
      <c r="L38" s="202"/>
      <c r="M38" s="202">
        <f>[3]Zastupitelé!$B$65</f>
        <v>140000</v>
      </c>
      <c r="N38" s="202">
        <f>[3]Správa!$B$111</f>
        <v>120000</v>
      </c>
      <c r="O38" s="375"/>
      <c r="P38" s="375"/>
      <c r="Q38" s="360"/>
      <c r="R38" s="202">
        <f>'[3]Pečovatelská služba'!$B$80</f>
        <v>12000</v>
      </c>
      <c r="S38" s="202"/>
      <c r="T38" s="202">
        <f>'[3]Městská policie'!$B$126</f>
        <v>20000</v>
      </c>
      <c r="U38" s="202"/>
      <c r="V38" s="202">
        <f>[3]Knihovna!$B$88</f>
        <v>1000</v>
      </c>
      <c r="W38" s="202"/>
      <c r="X38" s="202">
        <f>[3]Kultura!$B$38</f>
        <v>55000</v>
      </c>
      <c r="Y38" s="202"/>
      <c r="Z38" s="375"/>
      <c r="AA38" s="375"/>
      <c r="AB38" s="202"/>
      <c r="AC38" s="375"/>
      <c r="AD38" s="375"/>
      <c r="AE38" s="202"/>
      <c r="AF38" s="375"/>
      <c r="AG38" s="375"/>
      <c r="AH38" s="202">
        <f>[3]Hasiči!$B$96</f>
        <v>5000</v>
      </c>
      <c r="AI38" s="202"/>
      <c r="AJ38" s="202"/>
      <c r="AK38" s="202"/>
      <c r="AL38" s="375"/>
      <c r="AM38" s="375"/>
      <c r="AN38" s="202"/>
      <c r="AO38" s="375"/>
      <c r="AP38" s="375"/>
      <c r="AQ38" s="202"/>
      <c r="AR38" s="375"/>
      <c r="AS38" s="375"/>
      <c r="AT38" s="202">
        <f>[3]č.p.65!$B$60</f>
        <v>0</v>
      </c>
      <c r="AU38" s="375"/>
      <c r="AV38" s="375"/>
      <c r="AW38" s="202"/>
      <c r="AX38" s="375"/>
      <c r="AY38" s="375"/>
      <c r="AZ38" s="202"/>
      <c r="BA38" s="375"/>
      <c r="BB38" s="375"/>
      <c r="BC38" s="202"/>
      <c r="BD38" s="375"/>
      <c r="BE38" s="375"/>
      <c r="BF38" s="202"/>
      <c r="BG38" s="375"/>
      <c r="BH38" s="375"/>
      <c r="BI38" s="202"/>
      <c r="BJ38" s="202"/>
      <c r="BK38" s="375"/>
      <c r="BL38" s="375"/>
      <c r="BM38" s="202"/>
      <c r="BN38" s="202"/>
      <c r="BO38" s="375"/>
      <c r="BP38" s="375"/>
      <c r="BQ38" s="202"/>
      <c r="BR38" s="375"/>
      <c r="BS38" s="375"/>
      <c r="BT38" s="202"/>
      <c r="BU38" s="202"/>
      <c r="BV38" s="375"/>
      <c r="BW38" s="375"/>
      <c r="BX38" s="202"/>
      <c r="BY38" s="202"/>
      <c r="BZ38" s="202"/>
      <c r="CA38" s="202"/>
      <c r="CB38" s="375"/>
      <c r="CC38" s="375"/>
      <c r="CD38" s="202"/>
      <c r="CE38" s="202"/>
      <c r="CF38" s="375"/>
      <c r="CG38" s="375"/>
      <c r="CH38" s="202"/>
      <c r="CI38" s="375"/>
      <c r="CJ38" s="375"/>
      <c r="CK38" s="202"/>
      <c r="CL38" s="375"/>
      <c r="CM38" s="375"/>
      <c r="CN38" s="202"/>
      <c r="CO38" s="202"/>
      <c r="CP38" s="375"/>
      <c r="CQ38" s="375"/>
      <c r="CR38" s="375"/>
      <c r="CS38" s="202"/>
      <c r="CT38" s="202"/>
      <c r="CU38" s="202"/>
      <c r="CV38" s="202"/>
      <c r="CW38" s="202"/>
      <c r="CX38" s="202"/>
      <c r="CY38" s="190"/>
      <c r="CZ38" s="13">
        <f t="shared" si="3"/>
        <v>353000</v>
      </c>
      <c r="DA38" s="436">
        <f t="shared" si="0"/>
        <v>0</v>
      </c>
      <c r="DB38" s="879">
        <f t="shared" si="10"/>
        <v>1.6192660550458715</v>
      </c>
      <c r="DC38" s="39">
        <f t="shared" si="9"/>
        <v>0</v>
      </c>
      <c r="DD38" s="9"/>
      <c r="DE38" s="13">
        <f t="shared" si="1"/>
        <v>35000</v>
      </c>
    </row>
    <row r="39" spans="1:109" ht="13.5" customHeight="1" x14ac:dyDescent="0.25">
      <c r="A39" s="125">
        <v>5179</v>
      </c>
      <c r="B39" s="27" t="s">
        <v>157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f t="shared" si="11"/>
        <v>0</v>
      </c>
      <c r="J39" s="195"/>
      <c r="K39" s="202"/>
      <c r="L39" s="202"/>
      <c r="M39" s="202"/>
      <c r="N39" s="202">
        <f>[3]Správa!$B$118</f>
        <v>0</v>
      </c>
      <c r="O39" s="375"/>
      <c r="P39" s="375"/>
      <c r="Q39" s="360"/>
      <c r="R39" s="202"/>
      <c r="S39" s="202"/>
      <c r="T39" s="202">
        <f>'[3]Městská policie'!$B$133</f>
        <v>0</v>
      </c>
      <c r="U39" s="202"/>
      <c r="V39" s="202"/>
      <c r="W39" s="202"/>
      <c r="X39" s="202"/>
      <c r="Y39" s="202"/>
      <c r="Z39" s="375"/>
      <c r="AA39" s="375"/>
      <c r="AB39" s="202"/>
      <c r="AC39" s="375"/>
      <c r="AD39" s="375"/>
      <c r="AE39" s="202"/>
      <c r="AF39" s="375"/>
      <c r="AG39" s="375"/>
      <c r="AH39" s="202"/>
      <c r="AI39" s="202"/>
      <c r="AJ39" s="202"/>
      <c r="AK39" s="202"/>
      <c r="AL39" s="375"/>
      <c r="AM39" s="375"/>
      <c r="AN39" s="202"/>
      <c r="AO39" s="375"/>
      <c r="AP39" s="375"/>
      <c r="AQ39" s="202"/>
      <c r="AR39" s="375"/>
      <c r="AS39" s="375"/>
      <c r="AT39" s="202"/>
      <c r="AU39" s="375"/>
      <c r="AV39" s="375"/>
      <c r="AW39" s="202"/>
      <c r="AX39" s="375"/>
      <c r="AY39" s="375"/>
      <c r="AZ39" s="202"/>
      <c r="BA39" s="375"/>
      <c r="BB39" s="375"/>
      <c r="BC39" s="202"/>
      <c r="BD39" s="375"/>
      <c r="BE39" s="375"/>
      <c r="BF39" s="202"/>
      <c r="BG39" s="375"/>
      <c r="BH39" s="375"/>
      <c r="BI39" s="202"/>
      <c r="BJ39" s="202"/>
      <c r="BK39" s="375"/>
      <c r="BL39" s="375"/>
      <c r="BM39" s="202"/>
      <c r="BN39" s="202"/>
      <c r="BO39" s="375"/>
      <c r="BP39" s="375"/>
      <c r="BQ39" s="202"/>
      <c r="BR39" s="375"/>
      <c r="BS39" s="375"/>
      <c r="BT39" s="202"/>
      <c r="BU39" s="202"/>
      <c r="BV39" s="375"/>
      <c r="BW39" s="375"/>
      <c r="BX39" s="202"/>
      <c r="BY39" s="202"/>
      <c r="BZ39" s="202"/>
      <c r="CA39" s="202"/>
      <c r="CB39" s="375"/>
      <c r="CC39" s="375"/>
      <c r="CD39" s="202"/>
      <c r="CE39" s="202"/>
      <c r="CF39" s="375"/>
      <c r="CG39" s="375"/>
      <c r="CH39" s="202"/>
      <c r="CI39" s="375"/>
      <c r="CJ39" s="375"/>
      <c r="CK39" s="202"/>
      <c r="CL39" s="375"/>
      <c r="CM39" s="375"/>
      <c r="CN39" s="202"/>
      <c r="CO39" s="202"/>
      <c r="CP39" s="375"/>
      <c r="CQ39" s="375"/>
      <c r="CR39" s="375"/>
      <c r="CS39" s="202"/>
      <c r="CT39" s="202"/>
      <c r="CU39" s="202"/>
      <c r="CV39" s="202"/>
      <c r="CW39" s="202"/>
      <c r="CX39" s="202"/>
      <c r="CY39" s="190"/>
      <c r="CZ39" s="13">
        <f t="shared" si="3"/>
        <v>0</v>
      </c>
      <c r="DA39" s="436">
        <f t="shared" si="0"/>
        <v>0</v>
      </c>
      <c r="DB39" s="879"/>
      <c r="DC39" s="39">
        <f t="shared" si="9"/>
        <v>0</v>
      </c>
      <c r="DD39" s="9"/>
      <c r="DE39" s="13">
        <f t="shared" si="1"/>
        <v>0</v>
      </c>
    </row>
    <row r="40" spans="1:109" ht="13.5" customHeight="1" x14ac:dyDescent="0.25">
      <c r="A40" s="125">
        <v>5192</v>
      </c>
      <c r="B40" s="27" t="s">
        <v>624</v>
      </c>
      <c r="C40" s="39">
        <v>130000</v>
      </c>
      <c r="D40" s="39">
        <v>135000</v>
      </c>
      <c r="E40" s="39">
        <v>135000</v>
      </c>
      <c r="F40" s="39">
        <v>135000</v>
      </c>
      <c r="G40" s="39">
        <v>135000</v>
      </c>
      <c r="H40" s="39">
        <v>135000</v>
      </c>
      <c r="I40" s="39">
        <f t="shared" si="11"/>
        <v>135000</v>
      </c>
      <c r="J40" s="195"/>
      <c r="K40" s="202"/>
      <c r="L40" s="202"/>
      <c r="M40" s="202">
        <f>[3]Zastupitelé!$B$73</f>
        <v>135000</v>
      </c>
      <c r="N40" s="202"/>
      <c r="O40" s="375"/>
      <c r="P40" s="375"/>
      <c r="Q40" s="360"/>
      <c r="R40" s="202"/>
      <c r="S40" s="202"/>
      <c r="T40" s="202"/>
      <c r="U40" s="202"/>
      <c r="V40" s="202"/>
      <c r="W40" s="202"/>
      <c r="X40" s="202"/>
      <c r="Y40" s="202"/>
      <c r="Z40" s="375"/>
      <c r="AA40" s="375"/>
      <c r="AB40" s="202"/>
      <c r="AC40" s="375"/>
      <c r="AD40" s="375"/>
      <c r="AE40" s="202"/>
      <c r="AF40" s="375"/>
      <c r="AG40" s="375"/>
      <c r="AH40" s="202"/>
      <c r="AI40" s="202"/>
      <c r="AJ40" s="202"/>
      <c r="AK40" s="202"/>
      <c r="AL40" s="375"/>
      <c r="AM40" s="375"/>
      <c r="AN40" s="202"/>
      <c r="AO40" s="375"/>
      <c r="AP40" s="375"/>
      <c r="AQ40" s="202"/>
      <c r="AR40" s="375"/>
      <c r="AS40" s="375"/>
      <c r="AT40" s="202"/>
      <c r="AU40" s="375"/>
      <c r="AV40" s="375"/>
      <c r="AW40" s="202"/>
      <c r="AX40" s="375"/>
      <c r="AY40" s="375"/>
      <c r="AZ40" s="202"/>
      <c r="BA40" s="375"/>
      <c r="BB40" s="375"/>
      <c r="BC40" s="202"/>
      <c r="BD40" s="375"/>
      <c r="BE40" s="375"/>
      <c r="BF40" s="202"/>
      <c r="BG40" s="375"/>
      <c r="BH40" s="375"/>
      <c r="BI40" s="202"/>
      <c r="BJ40" s="202"/>
      <c r="BK40" s="375"/>
      <c r="BL40" s="375"/>
      <c r="BM40" s="202"/>
      <c r="BN40" s="202"/>
      <c r="BO40" s="375"/>
      <c r="BP40" s="375"/>
      <c r="BQ40" s="202"/>
      <c r="BR40" s="375"/>
      <c r="BS40" s="375"/>
      <c r="BT40" s="202"/>
      <c r="BU40" s="202"/>
      <c r="BV40" s="375"/>
      <c r="BW40" s="375"/>
      <c r="BX40" s="202"/>
      <c r="BY40" s="202"/>
      <c r="BZ40" s="202"/>
      <c r="CA40" s="202"/>
      <c r="CB40" s="375"/>
      <c r="CC40" s="375"/>
      <c r="CD40" s="202"/>
      <c r="CE40" s="202"/>
      <c r="CF40" s="375"/>
      <c r="CG40" s="375"/>
      <c r="CH40" s="202"/>
      <c r="CI40" s="375"/>
      <c r="CJ40" s="375"/>
      <c r="CK40" s="202"/>
      <c r="CL40" s="375"/>
      <c r="CM40" s="375"/>
      <c r="CN40" s="202"/>
      <c r="CO40" s="202"/>
      <c r="CP40" s="375"/>
      <c r="CQ40" s="375"/>
      <c r="CR40" s="375"/>
      <c r="CS40" s="202"/>
      <c r="CT40" s="202"/>
      <c r="CU40" s="202"/>
      <c r="CV40" s="202"/>
      <c r="CW40" s="202"/>
      <c r="CX40" s="202"/>
      <c r="CY40" s="190"/>
      <c r="CZ40" s="13">
        <f t="shared" si="3"/>
        <v>135000</v>
      </c>
      <c r="DA40" s="436">
        <f t="shared" ref="DA40:DA78" si="12">CZ40-I40</f>
        <v>0</v>
      </c>
      <c r="DB40" s="879">
        <f>I40/C40</f>
        <v>1.0384615384615385</v>
      </c>
      <c r="DC40" s="39">
        <f t="shared" si="9"/>
        <v>0</v>
      </c>
      <c r="DD40" s="9"/>
      <c r="DE40" s="13">
        <f t="shared" si="1"/>
        <v>0</v>
      </c>
    </row>
    <row r="41" spans="1:109" ht="13.5" customHeight="1" x14ac:dyDescent="0.25">
      <c r="A41" s="125">
        <v>5193</v>
      </c>
      <c r="B41" s="27" t="s">
        <v>158</v>
      </c>
      <c r="C41" s="39">
        <v>1350000</v>
      </c>
      <c r="D41" s="39">
        <v>1000000</v>
      </c>
      <c r="E41" s="39">
        <v>1250000</v>
      </c>
      <c r="F41" s="39">
        <v>1250000</v>
      </c>
      <c r="G41" s="39">
        <v>1250000</v>
      </c>
      <c r="H41" s="39">
        <v>1250000</v>
      </c>
      <c r="I41" s="39">
        <f t="shared" si="11"/>
        <v>1250000</v>
      </c>
      <c r="J41" s="195"/>
      <c r="K41" s="202"/>
      <c r="L41" s="202"/>
      <c r="M41" s="202"/>
      <c r="N41" s="202"/>
      <c r="O41" s="375"/>
      <c r="P41" s="375"/>
      <c r="Q41" s="360"/>
      <c r="R41" s="202"/>
      <c r="S41" s="202"/>
      <c r="T41" s="202"/>
      <c r="U41" s="202"/>
      <c r="V41" s="202"/>
      <c r="W41" s="202"/>
      <c r="X41" s="202"/>
      <c r="Y41" s="202"/>
      <c r="Z41" s="375"/>
      <c r="AA41" s="375"/>
      <c r="AB41" s="202"/>
      <c r="AC41" s="375"/>
      <c r="AD41" s="375"/>
      <c r="AE41" s="202"/>
      <c r="AF41" s="375"/>
      <c r="AG41" s="375"/>
      <c r="AH41" s="202"/>
      <c r="AI41" s="202"/>
      <c r="AJ41" s="202"/>
      <c r="AK41" s="202"/>
      <c r="AL41" s="375"/>
      <c r="AM41" s="375"/>
      <c r="AN41" s="202"/>
      <c r="AO41" s="375"/>
      <c r="AP41" s="375"/>
      <c r="AQ41" s="202"/>
      <c r="AR41" s="375"/>
      <c r="AS41" s="375"/>
      <c r="AT41" s="202"/>
      <c r="AU41" s="375"/>
      <c r="AV41" s="375"/>
      <c r="AW41" s="202"/>
      <c r="AX41" s="375"/>
      <c r="AY41" s="375"/>
      <c r="AZ41" s="202"/>
      <c r="BA41" s="375"/>
      <c r="BB41" s="375"/>
      <c r="BC41" s="202"/>
      <c r="BD41" s="375"/>
      <c r="BE41" s="375"/>
      <c r="BF41" s="202"/>
      <c r="BG41" s="375"/>
      <c r="BH41" s="375"/>
      <c r="BI41" s="202"/>
      <c r="BJ41" s="202"/>
      <c r="BK41" s="375"/>
      <c r="BL41" s="375"/>
      <c r="BM41" s="202"/>
      <c r="BN41" s="202"/>
      <c r="BO41" s="375"/>
      <c r="BP41" s="375"/>
      <c r="BQ41" s="202"/>
      <c r="BR41" s="375"/>
      <c r="BS41" s="375"/>
      <c r="BT41" s="202">
        <f>[5]Doprava!$B$4</f>
        <v>1250000</v>
      </c>
      <c r="BU41" s="202"/>
      <c r="BV41" s="375"/>
      <c r="BW41" s="375"/>
      <c r="BX41" s="202"/>
      <c r="BY41" s="202"/>
      <c r="BZ41" s="202"/>
      <c r="CA41" s="202"/>
      <c r="CB41" s="375"/>
      <c r="CC41" s="375"/>
      <c r="CD41" s="202"/>
      <c r="CE41" s="202"/>
      <c r="CF41" s="375"/>
      <c r="CG41" s="375"/>
      <c r="CH41" s="202"/>
      <c r="CI41" s="375"/>
      <c r="CJ41" s="375"/>
      <c r="CK41" s="202"/>
      <c r="CL41" s="375"/>
      <c r="CM41" s="375"/>
      <c r="CN41" s="202"/>
      <c r="CO41" s="202"/>
      <c r="CP41" s="375"/>
      <c r="CQ41" s="375"/>
      <c r="CR41" s="375"/>
      <c r="CS41" s="202"/>
      <c r="CT41" s="202"/>
      <c r="CU41" s="202"/>
      <c r="CV41" s="202"/>
      <c r="CW41" s="202"/>
      <c r="CX41" s="202"/>
      <c r="CY41" s="190"/>
      <c r="CZ41" s="13">
        <f t="shared" si="3"/>
        <v>1250000</v>
      </c>
      <c r="DA41" s="436">
        <f t="shared" si="12"/>
        <v>0</v>
      </c>
      <c r="DB41" s="879">
        <f>I41/C41</f>
        <v>0.92592592592592593</v>
      </c>
      <c r="DC41" s="39">
        <f t="shared" si="9"/>
        <v>0</v>
      </c>
      <c r="DD41" s="9"/>
      <c r="DE41" s="13">
        <f t="shared" si="1"/>
        <v>250000</v>
      </c>
    </row>
    <row r="42" spans="1:109" ht="13.5" customHeight="1" x14ac:dyDescent="0.25">
      <c r="A42" s="125">
        <v>5194</v>
      </c>
      <c r="B42" s="27" t="s">
        <v>159</v>
      </c>
      <c r="C42" s="39">
        <v>150000</v>
      </c>
      <c r="D42" s="39">
        <v>195000</v>
      </c>
      <c r="E42" s="39">
        <v>195000</v>
      </c>
      <c r="F42" s="39">
        <v>245000</v>
      </c>
      <c r="G42" s="39">
        <v>250000</v>
      </c>
      <c r="H42" s="39">
        <v>250000</v>
      </c>
      <c r="I42" s="39">
        <f t="shared" si="11"/>
        <v>270000</v>
      </c>
      <c r="J42" s="195"/>
      <c r="K42" s="202"/>
      <c r="L42" s="202"/>
      <c r="M42" s="202">
        <f>[3]Zastupitelé!$B$80</f>
        <v>75000</v>
      </c>
      <c r="N42" s="202">
        <f>[3]Správa!$B$125</f>
        <v>80000</v>
      </c>
      <c r="O42" s="375"/>
      <c r="P42" s="375"/>
      <c r="Q42" s="360"/>
      <c r="R42" s="202">
        <f>'[3]Pečovatelská služba'!$B$86</f>
        <v>10000</v>
      </c>
      <c r="S42" s="202"/>
      <c r="T42" s="202">
        <f>'[3]Městská policie'!$B$140</f>
        <v>30000</v>
      </c>
      <c r="U42" s="202"/>
      <c r="V42" s="202"/>
      <c r="W42" s="202"/>
      <c r="X42" s="202">
        <f>[3]Kultura!$B$45</f>
        <v>75000</v>
      </c>
      <c r="Y42" s="202"/>
      <c r="Z42" s="375"/>
      <c r="AA42" s="375"/>
      <c r="AB42" s="202"/>
      <c r="AC42" s="375"/>
      <c r="AD42" s="375"/>
      <c r="AE42" s="202"/>
      <c r="AF42" s="375"/>
      <c r="AG42" s="375"/>
      <c r="AH42" s="202"/>
      <c r="AI42" s="202"/>
      <c r="AJ42" s="202"/>
      <c r="AK42" s="202"/>
      <c r="AL42" s="375"/>
      <c r="AM42" s="375"/>
      <c r="AN42" s="202"/>
      <c r="AO42" s="375"/>
      <c r="AP42" s="375"/>
      <c r="AQ42" s="202"/>
      <c r="AR42" s="375"/>
      <c r="AS42" s="375"/>
      <c r="AT42" s="202"/>
      <c r="AU42" s="375"/>
      <c r="AV42" s="375"/>
      <c r="AW42" s="202"/>
      <c r="AX42" s="375"/>
      <c r="AY42" s="375"/>
      <c r="AZ42" s="202"/>
      <c r="BA42" s="375"/>
      <c r="BB42" s="375"/>
      <c r="BC42" s="202"/>
      <c r="BD42" s="375"/>
      <c r="BE42" s="375"/>
      <c r="BF42" s="202"/>
      <c r="BG42" s="375"/>
      <c r="BH42" s="375"/>
      <c r="BI42" s="202"/>
      <c r="BJ42" s="202"/>
      <c r="BK42" s="375"/>
      <c r="BL42" s="375"/>
      <c r="BM42" s="202"/>
      <c r="BN42" s="202"/>
      <c r="BO42" s="375"/>
      <c r="BP42" s="375"/>
      <c r="BQ42" s="202"/>
      <c r="BR42" s="375"/>
      <c r="BS42" s="375"/>
      <c r="BT42" s="202"/>
      <c r="BU42" s="202"/>
      <c r="BV42" s="375"/>
      <c r="BW42" s="375"/>
      <c r="BX42" s="202"/>
      <c r="BY42" s="202"/>
      <c r="BZ42" s="202"/>
      <c r="CA42" s="202"/>
      <c r="CB42" s="375"/>
      <c r="CC42" s="375"/>
      <c r="CD42" s="202"/>
      <c r="CE42" s="202"/>
      <c r="CF42" s="375"/>
      <c r="CG42" s="375"/>
      <c r="CH42" s="202"/>
      <c r="CI42" s="375"/>
      <c r="CJ42" s="375"/>
      <c r="CK42" s="202"/>
      <c r="CL42" s="375"/>
      <c r="CM42" s="375"/>
      <c r="CN42" s="202"/>
      <c r="CO42" s="202"/>
      <c r="CP42" s="375"/>
      <c r="CQ42" s="375"/>
      <c r="CR42" s="375"/>
      <c r="CS42" s="202"/>
      <c r="CT42" s="202"/>
      <c r="CU42" s="202"/>
      <c r="CV42" s="202"/>
      <c r="CW42" s="202"/>
      <c r="CX42" s="202"/>
      <c r="CY42" s="190"/>
      <c r="CZ42" s="13">
        <f t="shared" si="3"/>
        <v>270000</v>
      </c>
      <c r="DA42" s="436">
        <f t="shared" si="12"/>
        <v>0</v>
      </c>
      <c r="DB42" s="879">
        <f>I42/C42</f>
        <v>1.8</v>
      </c>
      <c r="DC42" s="39">
        <f t="shared" si="9"/>
        <v>0</v>
      </c>
      <c r="DD42" s="9"/>
      <c r="DE42" s="13">
        <f t="shared" si="1"/>
        <v>75000</v>
      </c>
    </row>
    <row r="43" spans="1:109" ht="13.5" customHeight="1" x14ac:dyDescent="0.25">
      <c r="A43" s="125">
        <v>5329</v>
      </c>
      <c r="B43" s="27" t="s">
        <v>160</v>
      </c>
      <c r="C43" s="39">
        <v>535500</v>
      </c>
      <c r="D43" s="39">
        <v>537000</v>
      </c>
      <c r="E43" s="39">
        <v>537000</v>
      </c>
      <c r="F43" s="39">
        <v>555000</v>
      </c>
      <c r="G43" s="39">
        <v>869500</v>
      </c>
      <c r="H43" s="39">
        <v>869500</v>
      </c>
      <c r="I43" s="39">
        <f t="shared" si="11"/>
        <v>869500</v>
      </c>
      <c r="J43" s="195"/>
      <c r="K43" s="202"/>
      <c r="L43" s="202">
        <f>'[6]Všebecná pokladna'!$B$45+'[2]Všeobecná pokladna 6409'!$B$14</f>
        <v>869500</v>
      </c>
      <c r="M43" s="202"/>
      <c r="N43" s="202"/>
      <c r="O43" s="1169"/>
      <c r="P43" s="1169"/>
      <c r="Q43" s="360"/>
      <c r="R43" s="202"/>
      <c r="S43" s="202"/>
      <c r="T43" s="202"/>
      <c r="U43" s="202"/>
      <c r="V43" s="202"/>
      <c r="W43" s="202"/>
      <c r="X43" s="202"/>
      <c r="Y43" s="202"/>
      <c r="Z43" s="375"/>
      <c r="AA43" s="375"/>
      <c r="AB43" s="202"/>
      <c r="AC43" s="375"/>
      <c r="AD43" s="375"/>
      <c r="AE43" s="202"/>
      <c r="AF43" s="375"/>
      <c r="AG43" s="375"/>
      <c r="AH43" s="202"/>
      <c r="AI43" s="202"/>
      <c r="AJ43" s="202"/>
      <c r="AK43" s="202"/>
      <c r="AL43" s="375"/>
      <c r="AM43" s="375"/>
      <c r="AN43" s="202"/>
      <c r="AO43" s="375"/>
      <c r="AP43" s="375"/>
      <c r="AQ43" s="202"/>
      <c r="AR43" s="375"/>
      <c r="AS43" s="375"/>
      <c r="AT43" s="202"/>
      <c r="AU43" s="375"/>
      <c r="AV43" s="375"/>
      <c r="AW43" s="202"/>
      <c r="AX43" s="375"/>
      <c r="AY43" s="375"/>
      <c r="AZ43" s="202"/>
      <c r="BA43" s="375"/>
      <c r="BB43" s="375"/>
      <c r="BC43" s="202"/>
      <c r="BD43" s="375"/>
      <c r="BE43" s="375"/>
      <c r="BF43" s="202"/>
      <c r="BG43" s="375"/>
      <c r="BH43" s="375"/>
      <c r="BI43" s="202"/>
      <c r="BJ43" s="202"/>
      <c r="BK43" s="375"/>
      <c r="BL43" s="375"/>
      <c r="BM43" s="202"/>
      <c r="BN43" s="202"/>
      <c r="BO43" s="375"/>
      <c r="BP43" s="375"/>
      <c r="BQ43" s="202"/>
      <c r="BR43" s="375"/>
      <c r="BS43" s="375"/>
      <c r="BT43" s="202"/>
      <c r="BU43" s="202"/>
      <c r="BV43" s="375"/>
      <c r="BW43" s="375"/>
      <c r="BX43" s="202"/>
      <c r="BY43" s="202"/>
      <c r="BZ43" s="202"/>
      <c r="CA43" s="202"/>
      <c r="CB43" s="375"/>
      <c r="CC43" s="375"/>
      <c r="CD43" s="202"/>
      <c r="CE43" s="202"/>
      <c r="CF43" s="375"/>
      <c r="CG43" s="375"/>
      <c r="CH43" s="202"/>
      <c r="CI43" s="375"/>
      <c r="CJ43" s="375"/>
      <c r="CK43" s="202"/>
      <c r="CL43" s="375"/>
      <c r="CM43" s="375"/>
      <c r="CN43" s="202"/>
      <c r="CO43" s="202"/>
      <c r="CP43" s="375"/>
      <c r="CQ43" s="375"/>
      <c r="CR43" s="375"/>
      <c r="CS43" s="202"/>
      <c r="CT43" s="202"/>
      <c r="CU43" s="202"/>
      <c r="CV43" s="202"/>
      <c r="CW43" s="202"/>
      <c r="CX43" s="202"/>
      <c r="CY43" s="190"/>
      <c r="CZ43" s="13">
        <f t="shared" si="3"/>
        <v>869500</v>
      </c>
      <c r="DA43" s="436">
        <f t="shared" si="12"/>
        <v>0</v>
      </c>
      <c r="DB43" s="879">
        <f>I43/C43</f>
        <v>1.6237161531279178</v>
      </c>
      <c r="DC43" s="39">
        <f t="shared" si="9"/>
        <v>0</v>
      </c>
      <c r="DD43" s="9"/>
      <c r="DE43" s="13">
        <f t="shared" si="1"/>
        <v>332500</v>
      </c>
    </row>
    <row r="44" spans="1:109" ht="13.5" customHeight="1" x14ac:dyDescent="0.25">
      <c r="A44" s="125">
        <v>5331</v>
      </c>
      <c r="B44" s="27" t="s">
        <v>161</v>
      </c>
      <c r="C44" s="39">
        <v>15099725</v>
      </c>
      <c r="D44" s="39">
        <v>17450000</v>
      </c>
      <c r="E44" s="39">
        <v>17450000</v>
      </c>
      <c r="F44" s="39">
        <v>17773055</v>
      </c>
      <c r="G44" s="39">
        <v>20950000</v>
      </c>
      <c r="H44" s="39">
        <v>21050000</v>
      </c>
      <c r="I44" s="39">
        <f>SUM(J44:N44)+SUM(Q44:Y44)+AB44+AE44+SUM(AH44:AK44)+AN44+AQ44+AT44+AW44+AZ44+BC44+BF44+BI44+BJ44+BM44+BN44+BQ44+SUM(BT44:BU44)+BZ44+CA44+CD44+CE44+CH44+CK44+CN44+CO44+SUM(CS44:CY44)+BX44+BY44</f>
        <v>21193000</v>
      </c>
      <c r="J44" s="195"/>
      <c r="K44" s="202"/>
      <c r="L44" s="202"/>
      <c r="M44" s="202"/>
      <c r="N44" s="202"/>
      <c r="O44" s="375"/>
      <c r="P44" s="375"/>
      <c r="Q44" s="316">
        <f>TSÚ!E7</f>
        <v>13600000</v>
      </c>
      <c r="R44" s="202"/>
      <c r="S44" s="202"/>
      <c r="T44" s="202"/>
      <c r="U44" s="202"/>
      <c r="V44" s="202"/>
      <c r="W44" s="202"/>
      <c r="X44" s="202"/>
      <c r="Y44" s="202"/>
      <c r="Z44" s="375"/>
      <c r="AA44" s="375"/>
      <c r="AB44" s="202"/>
      <c r="AC44" s="375"/>
      <c r="AD44" s="375"/>
      <c r="AE44" s="202"/>
      <c r="AF44" s="375"/>
      <c r="AG44" s="375"/>
      <c r="AH44" s="202"/>
      <c r="AI44" s="202"/>
      <c r="AJ44" s="202"/>
      <c r="AK44" s="202"/>
      <c r="AL44" s="375"/>
      <c r="AM44" s="375"/>
      <c r="AN44" s="202"/>
      <c r="AO44" s="375"/>
      <c r="AP44" s="375"/>
      <c r="AQ44" s="202">
        <f>[6]ZŠ!$B$26</f>
        <v>3343000</v>
      </c>
      <c r="AR44" s="375"/>
      <c r="AS44" s="375"/>
      <c r="AT44" s="202"/>
      <c r="AU44" s="375"/>
      <c r="AV44" s="375"/>
      <c r="AW44" s="202">
        <f>[6]MDDM!$B$4</f>
        <v>550000</v>
      </c>
      <c r="AX44" s="375"/>
      <c r="AY44" s="375"/>
      <c r="AZ44" s="202"/>
      <c r="BA44" s="375"/>
      <c r="BB44" s="375"/>
      <c r="BC44" s="202">
        <f>'[6]MŠ III.'!$B$4</f>
        <v>2200000</v>
      </c>
      <c r="BD44" s="375"/>
      <c r="BE44" s="375"/>
      <c r="BF44" s="202">
        <f>'[6]Jídelna ZŠ'!$B$4</f>
        <v>1300000</v>
      </c>
      <c r="BG44" s="375"/>
      <c r="BH44" s="375"/>
      <c r="BI44" s="202">
        <f>'[6]Jídelna MŠ III.'!$B$4</f>
        <v>200000</v>
      </c>
      <c r="BJ44" s="202">
        <f>'[6] MŠ Cuk'!$B$4</f>
        <v>0</v>
      </c>
      <c r="BK44" s="375"/>
      <c r="BL44" s="375"/>
      <c r="BM44" s="202"/>
      <c r="BN44" s="202"/>
      <c r="BO44" s="375"/>
      <c r="BP44" s="375"/>
      <c r="BQ44" s="202"/>
      <c r="BR44" s="375"/>
      <c r="BS44" s="375"/>
      <c r="BT44" s="202"/>
      <c r="BU44" s="202"/>
      <c r="BV44" s="375"/>
      <c r="BW44" s="375"/>
      <c r="BX44" s="202"/>
      <c r="BY44" s="202"/>
      <c r="BZ44" s="202"/>
      <c r="CA44" s="202"/>
      <c r="CB44" s="375"/>
      <c r="CC44" s="375"/>
      <c r="CD44" s="202"/>
      <c r="CE44" s="202"/>
      <c r="CF44" s="375"/>
      <c r="CG44" s="375"/>
      <c r="CH44" s="202"/>
      <c r="CI44" s="375"/>
      <c r="CJ44" s="375"/>
      <c r="CK44" s="202"/>
      <c r="CL44" s="375"/>
      <c r="CM44" s="375"/>
      <c r="CN44" s="202"/>
      <c r="CO44" s="202"/>
      <c r="CP44" s="375"/>
      <c r="CQ44" s="375"/>
      <c r="CR44" s="375"/>
      <c r="CS44" s="202"/>
      <c r="CT44" s="202"/>
      <c r="CU44" s="202"/>
      <c r="CV44" s="202"/>
      <c r="CW44" s="202"/>
      <c r="CX44" s="202"/>
      <c r="CY44" s="190"/>
      <c r="CZ44" s="13">
        <f t="shared" si="3"/>
        <v>21193000</v>
      </c>
      <c r="DA44" s="436">
        <f t="shared" si="12"/>
        <v>0</v>
      </c>
      <c r="DB44" s="879">
        <f>I44/C44</f>
        <v>1.4035354948517273</v>
      </c>
      <c r="DC44" s="39">
        <f t="shared" si="9"/>
        <v>0</v>
      </c>
      <c r="DD44" s="9"/>
      <c r="DE44" s="13">
        <f t="shared" si="1"/>
        <v>3743000</v>
      </c>
    </row>
    <row r="45" spans="1:109" ht="13.5" customHeight="1" x14ac:dyDescent="0.25">
      <c r="A45" s="125">
        <v>5342</v>
      </c>
      <c r="B45" s="27" t="s">
        <v>797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f t="shared" ref="I45:I55" si="13">SUM(J45:N45)+SUM(R45:Y45)+AB45+AE45+SUM(AH45:AK45)+AN45+AQ45+AT45+AW45+AZ45+BC45+BF45+BI45+BJ45+BM45+BN45+BQ45+SUM(BT45:BU45)+BZ45+CA45+CD45+CE45+CH45+CK45+CN45+CO45+SUM(CS45:CY45)+BX45+BY45</f>
        <v>0</v>
      </c>
      <c r="J45" s="195"/>
      <c r="K45" s="202"/>
      <c r="L45" s="202"/>
      <c r="M45" s="202"/>
      <c r="N45" s="202"/>
      <c r="O45" s="375"/>
      <c r="P45" s="375"/>
      <c r="Q45" s="360"/>
      <c r="R45" s="202"/>
      <c r="S45" s="202"/>
      <c r="T45" s="202"/>
      <c r="U45" s="202"/>
      <c r="V45" s="202"/>
      <c r="W45" s="202"/>
      <c r="X45" s="202"/>
      <c r="Y45" s="202"/>
      <c r="Z45" s="375"/>
      <c r="AA45" s="375"/>
      <c r="AB45" s="202"/>
      <c r="AC45" s="375"/>
      <c r="AD45" s="375"/>
      <c r="AE45" s="202"/>
      <c r="AF45" s="375"/>
      <c r="AG45" s="375"/>
      <c r="AH45" s="202"/>
      <c r="AI45" s="202"/>
      <c r="AJ45" s="202"/>
      <c r="AK45" s="202"/>
      <c r="AL45" s="375"/>
      <c r="AM45" s="375"/>
      <c r="AN45" s="202"/>
      <c r="AO45" s="375"/>
      <c r="AP45" s="375"/>
      <c r="AQ45" s="202"/>
      <c r="AR45" s="375"/>
      <c r="AS45" s="375"/>
      <c r="AT45" s="202"/>
      <c r="AU45" s="375"/>
      <c r="AV45" s="375"/>
      <c r="AW45" s="202"/>
      <c r="AX45" s="375"/>
      <c r="AY45" s="375"/>
      <c r="AZ45" s="202"/>
      <c r="BA45" s="375"/>
      <c r="BB45" s="375"/>
      <c r="BC45" s="202"/>
      <c r="BD45" s="375"/>
      <c r="BE45" s="375"/>
      <c r="BF45" s="202"/>
      <c r="BG45" s="375"/>
      <c r="BH45" s="375"/>
      <c r="BI45" s="202"/>
      <c r="BJ45" s="202"/>
      <c r="BK45" s="375"/>
      <c r="BL45" s="375"/>
      <c r="BM45" s="202"/>
      <c r="BN45" s="202"/>
      <c r="BO45" s="375"/>
      <c r="BP45" s="375"/>
      <c r="BQ45" s="202"/>
      <c r="BR45" s="375"/>
      <c r="BS45" s="375"/>
      <c r="BT45" s="202"/>
      <c r="BU45" s="202"/>
      <c r="BV45" s="375"/>
      <c r="BW45" s="375"/>
      <c r="BX45" s="202"/>
      <c r="BY45" s="202"/>
      <c r="BZ45" s="202"/>
      <c r="CA45" s="202"/>
      <c r="CB45" s="375"/>
      <c r="CC45" s="375"/>
      <c r="CD45" s="202"/>
      <c r="CE45" s="202"/>
      <c r="CF45" s="375"/>
      <c r="CG45" s="375"/>
      <c r="CH45" s="202"/>
      <c r="CI45" s="375"/>
      <c r="CJ45" s="375"/>
      <c r="CK45" s="202"/>
      <c r="CL45" s="375"/>
      <c r="CM45" s="375"/>
      <c r="CN45" s="202"/>
      <c r="CO45" s="202"/>
      <c r="CP45" s="375"/>
      <c r="CQ45" s="375"/>
      <c r="CR45" s="375"/>
      <c r="CS45" s="202"/>
      <c r="CT45" s="202"/>
      <c r="CU45" s="202"/>
      <c r="CV45" s="202"/>
      <c r="CW45" s="202"/>
      <c r="CX45" s="202"/>
      <c r="CY45" s="190"/>
      <c r="CZ45" s="13">
        <f t="shared" si="3"/>
        <v>0</v>
      </c>
      <c r="DA45" s="436">
        <f t="shared" si="12"/>
        <v>0</v>
      </c>
      <c r="DB45" s="879"/>
      <c r="DC45" s="39">
        <f t="shared" si="9"/>
        <v>0</v>
      </c>
      <c r="DD45" s="9"/>
      <c r="DE45" s="13">
        <f t="shared" si="1"/>
        <v>0</v>
      </c>
    </row>
    <row r="46" spans="1:109" ht="13.5" customHeight="1" x14ac:dyDescent="0.25">
      <c r="A46" s="125">
        <v>5361</v>
      </c>
      <c r="B46" s="27" t="s">
        <v>162</v>
      </c>
      <c r="C46" s="39">
        <v>13000</v>
      </c>
      <c r="D46" s="39">
        <v>10000</v>
      </c>
      <c r="E46" s="39">
        <v>10000</v>
      </c>
      <c r="F46" s="39">
        <v>10000</v>
      </c>
      <c r="G46" s="39">
        <v>37000</v>
      </c>
      <c r="H46" s="39">
        <v>37000</v>
      </c>
      <c r="I46" s="39">
        <f t="shared" si="13"/>
        <v>37000</v>
      </c>
      <c r="J46" s="195"/>
      <c r="K46" s="202"/>
      <c r="L46" s="202"/>
      <c r="M46" s="202"/>
      <c r="N46" s="202">
        <f>[3]Správa!$B$132</f>
        <v>30000</v>
      </c>
      <c r="O46" s="375"/>
      <c r="P46" s="375"/>
      <c r="Q46" s="360"/>
      <c r="R46" s="202"/>
      <c r="S46" s="202"/>
      <c r="T46" s="202">
        <f>'[3]Městská policie'!$B$147</f>
        <v>7000</v>
      </c>
      <c r="U46" s="202"/>
      <c r="V46" s="202"/>
      <c r="W46" s="202"/>
      <c r="X46" s="202"/>
      <c r="Y46" s="202"/>
      <c r="Z46" s="375"/>
      <c r="AA46" s="375"/>
      <c r="AB46" s="202"/>
      <c r="AC46" s="375"/>
      <c r="AD46" s="375"/>
      <c r="AE46" s="202"/>
      <c r="AF46" s="375"/>
      <c r="AG46" s="375"/>
      <c r="AH46" s="202"/>
      <c r="AI46" s="202"/>
      <c r="AJ46" s="202"/>
      <c r="AK46" s="202"/>
      <c r="AL46" s="375"/>
      <c r="AM46" s="375"/>
      <c r="AN46" s="202"/>
      <c r="AO46" s="375"/>
      <c r="AP46" s="375"/>
      <c r="AQ46" s="202"/>
      <c r="AR46" s="375"/>
      <c r="AS46" s="375"/>
      <c r="AT46" s="202"/>
      <c r="AU46" s="375"/>
      <c r="AV46" s="375"/>
      <c r="AW46" s="202"/>
      <c r="AX46" s="375"/>
      <c r="AY46" s="375"/>
      <c r="AZ46" s="202"/>
      <c r="BA46" s="375"/>
      <c r="BB46" s="375"/>
      <c r="BC46" s="202"/>
      <c r="BD46" s="375"/>
      <c r="BE46" s="375"/>
      <c r="BF46" s="202"/>
      <c r="BG46" s="375"/>
      <c r="BH46" s="375"/>
      <c r="BI46" s="202"/>
      <c r="BJ46" s="202"/>
      <c r="BK46" s="375"/>
      <c r="BL46" s="375"/>
      <c r="BM46" s="202"/>
      <c r="BN46" s="202"/>
      <c r="BO46" s="375"/>
      <c r="BP46" s="375"/>
      <c r="BQ46" s="202"/>
      <c r="BR46" s="375"/>
      <c r="BS46" s="375"/>
      <c r="BT46" s="202"/>
      <c r="BU46" s="202"/>
      <c r="BV46" s="375"/>
      <c r="BW46" s="375"/>
      <c r="BX46" s="202"/>
      <c r="BY46" s="202"/>
      <c r="BZ46" s="202"/>
      <c r="CA46" s="202"/>
      <c r="CB46" s="375"/>
      <c r="CC46" s="375"/>
      <c r="CD46" s="202"/>
      <c r="CE46" s="202"/>
      <c r="CF46" s="375"/>
      <c r="CG46" s="375"/>
      <c r="CH46" s="202"/>
      <c r="CI46" s="375"/>
      <c r="CJ46" s="375"/>
      <c r="CK46" s="202"/>
      <c r="CL46" s="375"/>
      <c r="CM46" s="375"/>
      <c r="CN46" s="202"/>
      <c r="CO46" s="202"/>
      <c r="CP46" s="375"/>
      <c r="CQ46" s="375"/>
      <c r="CR46" s="375"/>
      <c r="CS46" s="202"/>
      <c r="CT46" s="202"/>
      <c r="CU46" s="202"/>
      <c r="CV46" s="202"/>
      <c r="CW46" s="202"/>
      <c r="CX46" s="202"/>
      <c r="CY46" s="190"/>
      <c r="CZ46" s="13">
        <f t="shared" si="3"/>
        <v>37000</v>
      </c>
      <c r="DA46" s="436">
        <f t="shared" si="12"/>
        <v>0</v>
      </c>
      <c r="DB46" s="879">
        <f>I46/C46</f>
        <v>2.8461538461538463</v>
      </c>
      <c r="DC46" s="39">
        <f t="shared" si="9"/>
        <v>0</v>
      </c>
      <c r="DD46" s="9"/>
      <c r="DE46" s="13">
        <f t="shared" si="1"/>
        <v>27000</v>
      </c>
    </row>
    <row r="47" spans="1:109" ht="13.5" customHeight="1" x14ac:dyDescent="0.25">
      <c r="A47" s="125">
        <v>5362</v>
      </c>
      <c r="B47" s="27" t="s">
        <v>163</v>
      </c>
      <c r="C47" s="39">
        <v>3718116</v>
      </c>
      <c r="D47" s="39">
        <v>1186314</v>
      </c>
      <c r="E47" s="39">
        <v>1186314</v>
      </c>
      <c r="F47" s="39">
        <v>2123000</v>
      </c>
      <c r="G47" s="39">
        <v>1240000</v>
      </c>
      <c r="H47" s="39">
        <v>740000</v>
      </c>
      <c r="I47" s="39">
        <f t="shared" si="13"/>
        <v>740000</v>
      </c>
      <c r="J47" s="195"/>
      <c r="K47" s="202"/>
      <c r="L47" s="202">
        <f>'[6]Všebecná pokladna'!$B$79+'[2]Všeobecná pokladna 6409'!$B$22</f>
        <v>650000</v>
      </c>
      <c r="M47" s="202"/>
      <c r="N47" s="202">
        <f>[3]Správa!$B$139</f>
        <v>50000</v>
      </c>
      <c r="O47" s="375"/>
      <c r="P47" s="375"/>
      <c r="Q47" s="360"/>
      <c r="R47" s="202">
        <f>'[3]Pečovatelská služba'!$B$93</f>
        <v>5000</v>
      </c>
      <c r="S47" s="202"/>
      <c r="T47" s="202">
        <f>'[3]Městská policie'!$B$154</f>
        <v>16000</v>
      </c>
      <c r="U47" s="202"/>
      <c r="V47" s="202">
        <f>[3]Knihovna!$B$95</f>
        <v>4000</v>
      </c>
      <c r="W47" s="202"/>
      <c r="X47" s="202">
        <f>[3]Kultura!$B$52</f>
        <v>15000</v>
      </c>
      <c r="Y47" s="202"/>
      <c r="Z47" s="375"/>
      <c r="AA47" s="375"/>
      <c r="AB47" s="202"/>
      <c r="AC47" s="375"/>
      <c r="AD47" s="375"/>
      <c r="AE47" s="202"/>
      <c r="AF47" s="375"/>
      <c r="AG47" s="375"/>
      <c r="AH47" s="202"/>
      <c r="AI47" s="202"/>
      <c r="AJ47" s="202"/>
      <c r="AK47" s="202"/>
      <c r="AL47" s="375"/>
      <c r="AM47" s="375"/>
      <c r="AN47" s="202"/>
      <c r="AO47" s="375"/>
      <c r="AP47" s="375"/>
      <c r="AQ47" s="202"/>
      <c r="AR47" s="375"/>
      <c r="AS47" s="375"/>
      <c r="AT47" s="202"/>
      <c r="AU47" s="375"/>
      <c r="AV47" s="375"/>
      <c r="AW47" s="202"/>
      <c r="AX47" s="375"/>
      <c r="AY47" s="375"/>
      <c r="AZ47" s="202"/>
      <c r="BA47" s="375"/>
      <c r="BB47" s="375"/>
      <c r="BC47" s="202"/>
      <c r="BD47" s="375"/>
      <c r="BE47" s="375"/>
      <c r="BF47" s="202"/>
      <c r="BG47" s="375"/>
      <c r="BH47" s="375"/>
      <c r="BI47" s="202"/>
      <c r="BJ47" s="202"/>
      <c r="BK47" s="375"/>
      <c r="BL47" s="375"/>
      <c r="BM47" s="202"/>
      <c r="BN47" s="202"/>
      <c r="BO47" s="375"/>
      <c r="BP47" s="375"/>
      <c r="BQ47" s="202">
        <f>'[5]Silnice stavba'!$B$30</f>
        <v>0</v>
      </c>
      <c r="BR47" s="375"/>
      <c r="BS47" s="375"/>
      <c r="BT47" s="202"/>
      <c r="BU47" s="202"/>
      <c r="BV47" s="375"/>
      <c r="BW47" s="375"/>
      <c r="BX47" s="202"/>
      <c r="BY47" s="202"/>
      <c r="BZ47" s="202"/>
      <c r="CA47" s="202"/>
      <c r="CB47" s="375"/>
      <c r="CC47" s="375"/>
      <c r="CD47" s="202"/>
      <c r="CE47" s="202"/>
      <c r="CF47" s="375"/>
      <c r="CG47" s="375"/>
      <c r="CH47" s="202"/>
      <c r="CI47" s="375"/>
      <c r="CJ47" s="375"/>
      <c r="CK47" s="202"/>
      <c r="CL47" s="375"/>
      <c r="CM47" s="375"/>
      <c r="CN47" s="202"/>
      <c r="CO47" s="202"/>
      <c r="CP47" s="375"/>
      <c r="CQ47" s="375"/>
      <c r="CR47" s="375"/>
      <c r="CS47" s="202"/>
      <c r="CT47" s="202"/>
      <c r="CU47" s="202"/>
      <c r="CV47" s="202"/>
      <c r="CW47" s="202"/>
      <c r="CX47" s="202"/>
      <c r="CY47" s="190"/>
      <c r="CZ47" s="13">
        <f t="shared" si="3"/>
        <v>740000</v>
      </c>
      <c r="DA47" s="436">
        <f t="shared" si="12"/>
        <v>0</v>
      </c>
      <c r="DB47" s="879">
        <f>I47/C47</f>
        <v>0.19902552798245132</v>
      </c>
      <c r="DC47" s="39">
        <f t="shared" si="9"/>
        <v>0</v>
      </c>
      <c r="DD47" s="9"/>
      <c r="DE47" s="13">
        <f t="shared" si="1"/>
        <v>-446314</v>
      </c>
    </row>
    <row r="48" spans="1:109" ht="13.5" customHeight="1" x14ac:dyDescent="0.25">
      <c r="A48" s="125">
        <v>5410</v>
      </c>
      <c r="B48" s="27" t="s">
        <v>164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f t="shared" si="13"/>
        <v>0</v>
      </c>
      <c r="J48" s="195"/>
      <c r="K48" s="202"/>
      <c r="L48" s="202"/>
      <c r="M48" s="202"/>
      <c r="N48" s="202"/>
      <c r="O48" s="375"/>
      <c r="P48" s="375"/>
      <c r="Q48" s="360"/>
      <c r="R48" s="202"/>
      <c r="S48" s="202"/>
      <c r="T48" s="202"/>
      <c r="U48" s="202"/>
      <c r="V48" s="202"/>
      <c r="W48" s="202"/>
      <c r="X48" s="202"/>
      <c r="Y48" s="202"/>
      <c r="Z48" s="375"/>
      <c r="AA48" s="375"/>
      <c r="AB48" s="202"/>
      <c r="AC48" s="375"/>
      <c r="AD48" s="375"/>
      <c r="AE48" s="202"/>
      <c r="AF48" s="375"/>
      <c r="AG48" s="375"/>
      <c r="AH48" s="202"/>
      <c r="AI48" s="202"/>
      <c r="AJ48" s="202"/>
      <c r="AK48" s="202"/>
      <c r="AL48" s="375"/>
      <c r="AM48" s="375"/>
      <c r="AN48" s="202"/>
      <c r="AO48" s="375"/>
      <c r="AP48" s="375"/>
      <c r="AQ48" s="202"/>
      <c r="AR48" s="375"/>
      <c r="AS48" s="375"/>
      <c r="AT48" s="202"/>
      <c r="AU48" s="375"/>
      <c r="AV48" s="375"/>
      <c r="AW48" s="202"/>
      <c r="AX48" s="375"/>
      <c r="AY48" s="375"/>
      <c r="AZ48" s="202"/>
      <c r="BA48" s="375"/>
      <c r="BB48" s="375"/>
      <c r="BC48" s="202"/>
      <c r="BD48" s="375"/>
      <c r="BE48" s="375"/>
      <c r="BF48" s="202"/>
      <c r="BG48" s="375"/>
      <c r="BH48" s="375"/>
      <c r="BI48" s="202"/>
      <c r="BJ48" s="202"/>
      <c r="BK48" s="375"/>
      <c r="BL48" s="375"/>
      <c r="BM48" s="202"/>
      <c r="BN48" s="202"/>
      <c r="BO48" s="375"/>
      <c r="BP48" s="375"/>
      <c r="BQ48" s="202"/>
      <c r="BR48" s="375"/>
      <c r="BS48" s="375"/>
      <c r="BT48" s="202"/>
      <c r="BU48" s="202"/>
      <c r="BV48" s="375"/>
      <c r="BW48" s="375"/>
      <c r="BX48" s="202"/>
      <c r="BY48" s="202"/>
      <c r="BZ48" s="202"/>
      <c r="CA48" s="202"/>
      <c r="CB48" s="375"/>
      <c r="CC48" s="375"/>
      <c r="CD48" s="202"/>
      <c r="CE48" s="202"/>
      <c r="CF48" s="375"/>
      <c r="CG48" s="375"/>
      <c r="CH48" s="202"/>
      <c r="CI48" s="375"/>
      <c r="CJ48" s="375"/>
      <c r="CK48" s="202"/>
      <c r="CL48" s="375"/>
      <c r="CM48" s="375"/>
      <c r="CN48" s="202"/>
      <c r="CO48" s="202"/>
      <c r="CP48" s="375"/>
      <c r="CQ48" s="375"/>
      <c r="CR48" s="375"/>
      <c r="CS48" s="202"/>
      <c r="CT48" s="202"/>
      <c r="CU48" s="202"/>
      <c r="CV48" s="202"/>
      <c r="CW48" s="202"/>
      <c r="CX48" s="202"/>
      <c r="CY48" s="190"/>
      <c r="CZ48" s="13">
        <f t="shared" si="3"/>
        <v>0</v>
      </c>
      <c r="DA48" s="436">
        <f t="shared" si="12"/>
        <v>0</v>
      </c>
      <c r="DB48" s="879"/>
      <c r="DC48" s="39">
        <f t="shared" si="9"/>
        <v>0</v>
      </c>
      <c r="DD48" s="9"/>
      <c r="DE48" s="13">
        <f t="shared" si="1"/>
        <v>0</v>
      </c>
    </row>
    <row r="49" spans="1:109" ht="13.5" customHeight="1" x14ac:dyDescent="0.25">
      <c r="A49" s="125">
        <v>5492</v>
      </c>
      <c r="B49" s="27" t="s">
        <v>165</v>
      </c>
      <c r="C49" s="39">
        <v>60000</v>
      </c>
      <c r="D49" s="39">
        <v>130000</v>
      </c>
      <c r="E49" s="39">
        <v>130000</v>
      </c>
      <c r="F49" s="39">
        <v>330000</v>
      </c>
      <c r="G49" s="39">
        <v>430000</v>
      </c>
      <c r="H49" s="39">
        <v>430000</v>
      </c>
      <c r="I49" s="39">
        <f t="shared" si="13"/>
        <v>1080000</v>
      </c>
      <c r="J49" s="195"/>
      <c r="K49" s="202"/>
      <c r="L49" s="202"/>
      <c r="M49" s="202">
        <f>[3]Zastupitelé!$B$87</f>
        <v>1060000</v>
      </c>
      <c r="N49" s="202"/>
      <c r="O49" s="375"/>
      <c r="P49" s="375"/>
      <c r="Q49" s="360"/>
      <c r="R49" s="202"/>
      <c r="S49" s="202"/>
      <c r="T49" s="202"/>
      <c r="U49" s="202"/>
      <c r="V49" s="202"/>
      <c r="W49" s="202"/>
      <c r="X49" s="202">
        <f>[3]Kultura!$B$59</f>
        <v>20000</v>
      </c>
      <c r="Y49" s="202"/>
      <c r="Z49" s="375"/>
      <c r="AA49" s="375"/>
      <c r="AB49" s="202"/>
      <c r="AC49" s="375"/>
      <c r="AD49" s="375"/>
      <c r="AE49" s="202"/>
      <c r="AF49" s="375"/>
      <c r="AG49" s="375"/>
      <c r="AH49" s="202"/>
      <c r="AI49" s="202"/>
      <c r="AJ49" s="202"/>
      <c r="AK49" s="202"/>
      <c r="AL49" s="375"/>
      <c r="AM49" s="375"/>
      <c r="AN49" s="202"/>
      <c r="AO49" s="375"/>
      <c r="AP49" s="375"/>
      <c r="AQ49" s="202"/>
      <c r="AR49" s="375"/>
      <c r="AS49" s="375"/>
      <c r="AT49" s="202"/>
      <c r="AU49" s="375"/>
      <c r="AV49" s="375"/>
      <c r="AW49" s="202"/>
      <c r="AX49" s="375"/>
      <c r="AY49" s="375"/>
      <c r="AZ49" s="202"/>
      <c r="BA49" s="375"/>
      <c r="BB49" s="375"/>
      <c r="BC49" s="202"/>
      <c r="BD49" s="375"/>
      <c r="BE49" s="375"/>
      <c r="BF49" s="202"/>
      <c r="BG49" s="375"/>
      <c r="BH49" s="375"/>
      <c r="BI49" s="202"/>
      <c r="BJ49" s="202"/>
      <c r="BK49" s="375"/>
      <c r="BL49" s="375"/>
      <c r="BM49" s="202"/>
      <c r="BN49" s="202"/>
      <c r="BO49" s="375"/>
      <c r="BP49" s="375"/>
      <c r="BQ49" s="202"/>
      <c r="BR49" s="375"/>
      <c r="BS49" s="375"/>
      <c r="BT49" s="202"/>
      <c r="BU49" s="202"/>
      <c r="BV49" s="375"/>
      <c r="BW49" s="375"/>
      <c r="BX49" s="202"/>
      <c r="BY49" s="202"/>
      <c r="BZ49" s="202"/>
      <c r="CA49" s="202"/>
      <c r="CB49" s="375"/>
      <c r="CC49" s="375"/>
      <c r="CD49" s="202"/>
      <c r="CE49" s="202"/>
      <c r="CF49" s="375"/>
      <c r="CG49" s="375"/>
      <c r="CH49" s="202"/>
      <c r="CI49" s="375"/>
      <c r="CJ49" s="375"/>
      <c r="CK49" s="202"/>
      <c r="CL49" s="375"/>
      <c r="CM49" s="375"/>
      <c r="CN49" s="202"/>
      <c r="CO49" s="202"/>
      <c r="CP49" s="375"/>
      <c r="CQ49" s="375"/>
      <c r="CR49" s="375"/>
      <c r="CS49" s="202"/>
      <c r="CT49" s="202"/>
      <c r="CU49" s="202"/>
      <c r="CV49" s="202"/>
      <c r="CW49" s="202"/>
      <c r="CX49" s="202"/>
      <c r="CY49" s="190"/>
      <c r="CZ49" s="13">
        <f t="shared" si="3"/>
        <v>1080000</v>
      </c>
      <c r="DA49" s="436">
        <f t="shared" si="12"/>
        <v>0</v>
      </c>
      <c r="DB49" s="879">
        <f>I49/C49</f>
        <v>18</v>
      </c>
      <c r="DC49" s="39">
        <f t="shared" si="9"/>
        <v>0</v>
      </c>
      <c r="DD49" s="9"/>
      <c r="DE49" s="13">
        <f t="shared" si="1"/>
        <v>950000</v>
      </c>
    </row>
    <row r="50" spans="1:109" ht="13.5" customHeight="1" x14ac:dyDescent="0.25">
      <c r="A50" s="125">
        <v>5499</v>
      </c>
      <c r="B50" s="27" t="s">
        <v>166</v>
      </c>
      <c r="C50" s="39">
        <v>636090</v>
      </c>
      <c r="D50" s="39">
        <v>885200</v>
      </c>
      <c r="E50" s="39">
        <v>885200</v>
      </c>
      <c r="F50" s="39">
        <v>885200</v>
      </c>
      <c r="G50" s="39">
        <v>1300000</v>
      </c>
      <c r="H50" s="39">
        <v>1300000</v>
      </c>
      <c r="I50" s="39">
        <f t="shared" si="13"/>
        <v>1300000</v>
      </c>
      <c r="J50" s="195"/>
      <c r="K50" s="202"/>
      <c r="L50" s="202">
        <f>'[6]Všebecná pokladna'!$B$52</f>
        <v>1300000</v>
      </c>
      <c r="M50" s="202"/>
      <c r="N50" s="202"/>
      <c r="O50" s="375"/>
      <c r="P50" s="375"/>
      <c r="Q50" s="360"/>
      <c r="R50" s="202"/>
      <c r="S50" s="202"/>
      <c r="T50" s="202"/>
      <c r="U50" s="202"/>
      <c r="V50" s="202"/>
      <c r="W50" s="202"/>
      <c r="X50" s="202"/>
      <c r="Y50" s="202"/>
      <c r="Z50" s="375"/>
      <c r="AA50" s="375"/>
      <c r="AB50" s="202"/>
      <c r="AC50" s="375"/>
      <c r="AD50" s="375"/>
      <c r="AE50" s="202"/>
      <c r="AF50" s="375"/>
      <c r="AG50" s="375"/>
      <c r="AH50" s="202"/>
      <c r="AI50" s="202"/>
      <c r="AJ50" s="202"/>
      <c r="AK50" s="202"/>
      <c r="AL50" s="375"/>
      <c r="AM50" s="375"/>
      <c r="AN50" s="202"/>
      <c r="AO50" s="375"/>
      <c r="AP50" s="375"/>
      <c r="AQ50" s="202"/>
      <c r="AR50" s="375"/>
      <c r="AS50" s="375"/>
      <c r="AT50" s="202"/>
      <c r="AU50" s="375"/>
      <c r="AV50" s="375"/>
      <c r="AW50" s="202"/>
      <c r="AX50" s="375"/>
      <c r="AY50" s="375"/>
      <c r="AZ50" s="202"/>
      <c r="BA50" s="375"/>
      <c r="BB50" s="375"/>
      <c r="BC50" s="202"/>
      <c r="BD50" s="375"/>
      <c r="BE50" s="375"/>
      <c r="BF50" s="202"/>
      <c r="BG50" s="375"/>
      <c r="BH50" s="375"/>
      <c r="BI50" s="202"/>
      <c r="BJ50" s="202"/>
      <c r="BK50" s="375"/>
      <c r="BL50" s="375"/>
      <c r="BM50" s="202"/>
      <c r="BN50" s="202"/>
      <c r="BO50" s="375"/>
      <c r="BP50" s="375"/>
      <c r="BQ50" s="202"/>
      <c r="BR50" s="375"/>
      <c r="BS50" s="375"/>
      <c r="BT50" s="202"/>
      <c r="BU50" s="202"/>
      <c r="BV50" s="375"/>
      <c r="BW50" s="375"/>
      <c r="BX50" s="202"/>
      <c r="BY50" s="202"/>
      <c r="BZ50" s="202"/>
      <c r="CA50" s="202"/>
      <c r="CB50" s="375"/>
      <c r="CC50" s="375"/>
      <c r="CD50" s="202"/>
      <c r="CE50" s="202"/>
      <c r="CF50" s="375"/>
      <c r="CG50" s="375"/>
      <c r="CH50" s="202"/>
      <c r="CI50" s="375"/>
      <c r="CJ50" s="375"/>
      <c r="CK50" s="202"/>
      <c r="CL50" s="375"/>
      <c r="CM50" s="375"/>
      <c r="CN50" s="202"/>
      <c r="CO50" s="202"/>
      <c r="CP50" s="375"/>
      <c r="CQ50" s="375"/>
      <c r="CR50" s="375"/>
      <c r="CS50" s="202"/>
      <c r="CT50" s="202"/>
      <c r="CU50" s="202"/>
      <c r="CV50" s="202"/>
      <c r="CW50" s="202"/>
      <c r="CX50" s="202"/>
      <c r="CY50" s="190"/>
      <c r="CZ50" s="13">
        <f t="shared" si="3"/>
        <v>1300000</v>
      </c>
      <c r="DA50" s="436">
        <f t="shared" si="12"/>
        <v>0</v>
      </c>
      <c r="DB50" s="879">
        <f>I50/C50</f>
        <v>2.0437359493153484</v>
      </c>
      <c r="DC50" s="39">
        <f t="shared" si="9"/>
        <v>0</v>
      </c>
      <c r="DD50" s="9"/>
      <c r="DE50" s="13">
        <f t="shared" si="1"/>
        <v>414800</v>
      </c>
    </row>
    <row r="51" spans="1:109" ht="13.5" customHeight="1" x14ac:dyDescent="0.25">
      <c r="A51" s="125">
        <v>5222</v>
      </c>
      <c r="B51" s="27" t="s">
        <v>167</v>
      </c>
      <c r="C51" s="39">
        <v>1100000</v>
      </c>
      <c r="D51" s="39">
        <v>1100000</v>
      </c>
      <c r="E51" s="39">
        <v>1100000</v>
      </c>
      <c r="F51" s="39">
        <v>1350000</v>
      </c>
      <c r="G51" s="39">
        <v>1500000</v>
      </c>
      <c r="H51" s="39">
        <v>1500000</v>
      </c>
      <c r="I51" s="39">
        <f t="shared" si="13"/>
        <v>1450000</v>
      </c>
      <c r="J51" s="195"/>
      <c r="K51" s="202"/>
      <c r="L51" s="202"/>
      <c r="M51" s="202"/>
      <c r="N51" s="202"/>
      <c r="O51" s="375"/>
      <c r="P51" s="375"/>
      <c r="Q51" s="360"/>
      <c r="R51" s="202"/>
      <c r="S51" s="202"/>
      <c r="T51" s="202"/>
      <c r="U51" s="202"/>
      <c r="V51" s="202"/>
      <c r="W51" s="202"/>
      <c r="X51" s="202"/>
      <c r="Y51" s="202"/>
      <c r="Z51" s="375"/>
      <c r="AA51" s="375"/>
      <c r="AB51" s="202"/>
      <c r="AC51" s="375"/>
      <c r="AD51" s="375"/>
      <c r="AE51" s="202"/>
      <c r="AF51" s="375"/>
      <c r="AG51" s="375"/>
      <c r="AH51" s="202"/>
      <c r="AI51" s="202"/>
      <c r="AJ51" s="202"/>
      <c r="AK51" s="202"/>
      <c r="AL51" s="375"/>
      <c r="AM51" s="375"/>
      <c r="AN51" s="202">
        <f>[6]Koupaliště!$B$10</f>
        <v>1450000</v>
      </c>
      <c r="AO51" s="375"/>
      <c r="AP51" s="375"/>
      <c r="AQ51" s="202"/>
      <c r="AR51" s="375"/>
      <c r="AS51" s="375"/>
      <c r="AT51" s="202"/>
      <c r="AU51" s="375"/>
      <c r="AV51" s="375"/>
      <c r="AW51" s="202"/>
      <c r="AX51" s="375"/>
      <c r="AY51" s="375"/>
      <c r="AZ51" s="202"/>
      <c r="BA51" s="375"/>
      <c r="BB51" s="375"/>
      <c r="BC51" s="202"/>
      <c r="BD51" s="375"/>
      <c r="BE51" s="375"/>
      <c r="BF51" s="202"/>
      <c r="BG51" s="375"/>
      <c r="BH51" s="375"/>
      <c r="BI51" s="202"/>
      <c r="BJ51" s="202"/>
      <c r="BK51" s="375"/>
      <c r="BL51" s="375"/>
      <c r="BM51" s="202"/>
      <c r="BN51" s="202"/>
      <c r="BO51" s="375"/>
      <c r="BP51" s="375"/>
      <c r="BQ51" s="202"/>
      <c r="BR51" s="375"/>
      <c r="BS51" s="375"/>
      <c r="BT51" s="202"/>
      <c r="BU51" s="202"/>
      <c r="BV51" s="375"/>
      <c r="BW51" s="375"/>
      <c r="BX51" s="202"/>
      <c r="BY51" s="202"/>
      <c r="BZ51" s="202"/>
      <c r="CA51" s="202"/>
      <c r="CB51" s="375"/>
      <c r="CC51" s="375"/>
      <c r="CD51" s="202"/>
      <c r="CE51" s="202"/>
      <c r="CF51" s="375"/>
      <c r="CG51" s="375"/>
      <c r="CH51" s="202"/>
      <c r="CI51" s="375"/>
      <c r="CJ51" s="375"/>
      <c r="CK51" s="202"/>
      <c r="CL51" s="375"/>
      <c r="CM51" s="375"/>
      <c r="CN51" s="202"/>
      <c r="CO51" s="202"/>
      <c r="CP51" s="375"/>
      <c r="CQ51" s="375"/>
      <c r="CR51" s="375"/>
      <c r="CS51" s="202"/>
      <c r="CT51" s="202"/>
      <c r="CU51" s="202"/>
      <c r="CV51" s="202"/>
      <c r="CW51" s="202"/>
      <c r="CX51" s="202"/>
      <c r="CY51" s="190"/>
      <c r="CZ51" s="13">
        <f t="shared" si="3"/>
        <v>1450000</v>
      </c>
      <c r="DA51" s="436">
        <f t="shared" si="12"/>
        <v>0</v>
      </c>
      <c r="DB51" s="879">
        <f>I51/C51</f>
        <v>1.3181818181818181</v>
      </c>
      <c r="DC51" s="39">
        <f t="shared" si="9"/>
        <v>0</v>
      </c>
      <c r="DD51" s="9"/>
      <c r="DE51" s="13">
        <f t="shared" si="1"/>
        <v>350000</v>
      </c>
    </row>
    <row r="52" spans="1:109" ht="13.5" customHeight="1" x14ac:dyDescent="0.25">
      <c r="A52" s="125">
        <v>5221</v>
      </c>
      <c r="B52" s="27" t="s">
        <v>798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f t="shared" si="13"/>
        <v>0</v>
      </c>
      <c r="J52" s="195"/>
      <c r="K52" s="202"/>
      <c r="L52" s="202"/>
      <c r="M52" s="202"/>
      <c r="N52" s="202"/>
      <c r="O52" s="375"/>
      <c r="P52" s="375"/>
      <c r="Q52" s="360"/>
      <c r="R52" s="202"/>
      <c r="S52" s="202"/>
      <c r="T52" s="202"/>
      <c r="U52" s="202"/>
      <c r="V52" s="202"/>
      <c r="W52" s="202"/>
      <c r="X52" s="202"/>
      <c r="Y52" s="202"/>
      <c r="Z52" s="375"/>
      <c r="AA52" s="375"/>
      <c r="AB52" s="202"/>
      <c r="AC52" s="375"/>
      <c r="AD52" s="375"/>
      <c r="AE52" s="202"/>
      <c r="AF52" s="375"/>
      <c r="AG52" s="375"/>
      <c r="AH52" s="202"/>
      <c r="AI52" s="202"/>
      <c r="AJ52" s="202"/>
      <c r="AK52" s="202"/>
      <c r="AL52" s="375"/>
      <c r="AM52" s="375"/>
      <c r="AN52" s="202"/>
      <c r="AO52" s="375"/>
      <c r="AP52" s="375"/>
      <c r="AQ52" s="202"/>
      <c r="AR52" s="375"/>
      <c r="AS52" s="375"/>
      <c r="AT52" s="202"/>
      <c r="AU52" s="375"/>
      <c r="AV52" s="375"/>
      <c r="AW52" s="202"/>
      <c r="AX52" s="375"/>
      <c r="AY52" s="375"/>
      <c r="AZ52" s="202"/>
      <c r="BA52" s="375"/>
      <c r="BB52" s="375"/>
      <c r="BC52" s="202"/>
      <c r="BD52" s="375"/>
      <c r="BE52" s="375"/>
      <c r="BF52" s="202"/>
      <c r="BG52" s="375"/>
      <c r="BH52" s="375"/>
      <c r="BI52" s="202"/>
      <c r="BJ52" s="202"/>
      <c r="BK52" s="375"/>
      <c r="BL52" s="375"/>
      <c r="BM52" s="202"/>
      <c r="BN52" s="202"/>
      <c r="BO52" s="375"/>
      <c r="BP52" s="375"/>
      <c r="BQ52" s="202"/>
      <c r="BR52" s="375"/>
      <c r="BS52" s="375"/>
      <c r="BT52" s="202"/>
      <c r="BU52" s="202"/>
      <c r="BV52" s="375"/>
      <c r="BW52" s="375"/>
      <c r="BX52" s="202"/>
      <c r="BY52" s="202"/>
      <c r="BZ52" s="202"/>
      <c r="CA52" s="202"/>
      <c r="CB52" s="375"/>
      <c r="CC52" s="375"/>
      <c r="CD52" s="202"/>
      <c r="CE52" s="202"/>
      <c r="CF52" s="375"/>
      <c r="CG52" s="375"/>
      <c r="CH52" s="202"/>
      <c r="CI52" s="375"/>
      <c r="CJ52" s="375"/>
      <c r="CK52" s="202"/>
      <c r="CL52" s="375"/>
      <c r="CM52" s="375"/>
      <c r="CN52" s="202"/>
      <c r="CO52" s="202"/>
      <c r="CP52" s="375"/>
      <c r="CQ52" s="375"/>
      <c r="CR52" s="375"/>
      <c r="CS52" s="202"/>
      <c r="CT52" s="202"/>
      <c r="CU52" s="202"/>
      <c r="CV52" s="202"/>
      <c r="CW52" s="202"/>
      <c r="CX52" s="202"/>
      <c r="CY52" s="190"/>
      <c r="CZ52" s="13">
        <f t="shared" si="3"/>
        <v>0</v>
      </c>
      <c r="DA52" s="436">
        <f t="shared" si="12"/>
        <v>0</v>
      </c>
      <c r="DB52" s="879"/>
      <c r="DC52" s="39">
        <f t="shared" si="9"/>
        <v>0</v>
      </c>
      <c r="DD52" s="9"/>
      <c r="DE52" s="13">
        <f t="shared" si="1"/>
        <v>0</v>
      </c>
    </row>
    <row r="53" spans="1:109" s="1694" customFormat="1" ht="13.5" customHeight="1" x14ac:dyDescent="0.25">
      <c r="A53" s="384">
        <v>5651</v>
      </c>
      <c r="B53" s="385" t="s">
        <v>1374</v>
      </c>
      <c r="C53" s="386"/>
      <c r="D53" s="386"/>
      <c r="E53" s="386"/>
      <c r="F53" s="386">
        <v>0</v>
      </c>
      <c r="G53" s="386"/>
      <c r="H53" s="386"/>
      <c r="I53" s="386"/>
      <c r="J53" s="387"/>
      <c r="K53" s="375"/>
      <c r="L53" s="375"/>
      <c r="M53" s="375"/>
      <c r="N53" s="375"/>
      <c r="O53" s="375"/>
      <c r="P53" s="375"/>
      <c r="Q53" s="1233">
        <f>+[6]TSÚ!$B$26</f>
        <v>0</v>
      </c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375"/>
      <c r="BT53" s="375"/>
      <c r="BU53" s="375"/>
      <c r="BV53" s="375"/>
      <c r="BW53" s="375"/>
      <c r="BX53" s="375"/>
      <c r="BY53" s="375"/>
      <c r="BZ53" s="375"/>
      <c r="CA53" s="375"/>
      <c r="CB53" s="375"/>
      <c r="CC53" s="375"/>
      <c r="CD53" s="375"/>
      <c r="CE53" s="375"/>
      <c r="CF53" s="375"/>
      <c r="CG53" s="375"/>
      <c r="CH53" s="375"/>
      <c r="CI53" s="375"/>
      <c r="CJ53" s="375"/>
      <c r="CK53" s="375"/>
      <c r="CL53" s="375"/>
      <c r="CM53" s="375"/>
      <c r="CN53" s="375"/>
      <c r="CO53" s="375"/>
      <c r="CP53" s="375"/>
      <c r="CQ53" s="375"/>
      <c r="CR53" s="375"/>
      <c r="CS53" s="375"/>
      <c r="CT53" s="375"/>
      <c r="CU53" s="375"/>
      <c r="CV53" s="375"/>
      <c r="CW53" s="375"/>
      <c r="CX53" s="375"/>
      <c r="CY53" s="388"/>
      <c r="CZ53" s="207"/>
      <c r="DA53" s="1333"/>
      <c r="DB53" s="1334"/>
      <c r="DC53" s="386"/>
      <c r="DD53" s="144"/>
      <c r="DE53" s="207"/>
    </row>
    <row r="54" spans="1:109" ht="13.5" customHeight="1" x14ac:dyDescent="0.25">
      <c r="A54" s="125">
        <v>5909</v>
      </c>
      <c r="B54" s="27" t="s">
        <v>169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f t="shared" si="13"/>
        <v>0</v>
      </c>
      <c r="J54" s="195"/>
      <c r="K54" s="202"/>
      <c r="L54" s="202"/>
      <c r="M54" s="202"/>
      <c r="N54" s="202"/>
      <c r="O54" s="375"/>
      <c r="P54" s="375"/>
      <c r="Q54" s="360"/>
      <c r="R54" s="202"/>
      <c r="S54" s="202"/>
      <c r="T54" s="202"/>
      <c r="U54" s="202"/>
      <c r="V54" s="202"/>
      <c r="W54" s="202"/>
      <c r="X54" s="202"/>
      <c r="Y54" s="202"/>
      <c r="Z54" s="375"/>
      <c r="AA54" s="375"/>
      <c r="AB54" s="202"/>
      <c r="AC54" s="375"/>
      <c r="AD54" s="375"/>
      <c r="AE54" s="202"/>
      <c r="AF54" s="375"/>
      <c r="AG54" s="375"/>
      <c r="AH54" s="202"/>
      <c r="AI54" s="202"/>
      <c r="AJ54" s="202"/>
      <c r="AK54" s="202"/>
      <c r="AL54" s="375"/>
      <c r="AM54" s="375"/>
      <c r="AN54" s="202"/>
      <c r="AO54" s="375"/>
      <c r="AP54" s="375"/>
      <c r="AQ54" s="202"/>
      <c r="AR54" s="375"/>
      <c r="AS54" s="375"/>
      <c r="AT54" s="202"/>
      <c r="AU54" s="375"/>
      <c r="AV54" s="375"/>
      <c r="AW54" s="202"/>
      <c r="AX54" s="375"/>
      <c r="AY54" s="375"/>
      <c r="AZ54" s="202"/>
      <c r="BA54" s="375"/>
      <c r="BB54" s="375"/>
      <c r="BC54" s="202"/>
      <c r="BD54" s="375"/>
      <c r="BE54" s="375"/>
      <c r="BF54" s="202"/>
      <c r="BG54" s="375"/>
      <c r="BH54" s="375"/>
      <c r="BI54" s="202"/>
      <c r="BJ54" s="202"/>
      <c r="BK54" s="375"/>
      <c r="BL54" s="375"/>
      <c r="BM54" s="202"/>
      <c r="BN54" s="202"/>
      <c r="BO54" s="375"/>
      <c r="BP54" s="375"/>
      <c r="BQ54" s="202"/>
      <c r="BR54" s="375"/>
      <c r="BS54" s="375"/>
      <c r="BT54" s="202"/>
      <c r="BU54" s="202"/>
      <c r="BV54" s="375"/>
      <c r="BW54" s="375"/>
      <c r="BX54" s="202"/>
      <c r="BY54" s="202"/>
      <c r="BZ54" s="202"/>
      <c r="CA54" s="202"/>
      <c r="CB54" s="375"/>
      <c r="CC54" s="375"/>
      <c r="CD54" s="202"/>
      <c r="CE54" s="202"/>
      <c r="CF54" s="375"/>
      <c r="CG54" s="375"/>
      <c r="CH54" s="202"/>
      <c r="CI54" s="375"/>
      <c r="CJ54" s="375"/>
      <c r="CK54" s="202"/>
      <c r="CL54" s="375"/>
      <c r="CM54" s="375"/>
      <c r="CN54" s="202"/>
      <c r="CO54" s="202"/>
      <c r="CP54" s="375"/>
      <c r="CQ54" s="375"/>
      <c r="CR54" s="375"/>
      <c r="CS54" s="202"/>
      <c r="CT54" s="202"/>
      <c r="CU54" s="202"/>
      <c r="CV54" s="202"/>
      <c r="CW54" s="202"/>
      <c r="CX54" s="202"/>
      <c r="CY54" s="190"/>
      <c r="CZ54" s="13">
        <f t="shared" si="3"/>
        <v>0</v>
      </c>
      <c r="DA54" s="436">
        <f t="shared" si="12"/>
        <v>0</v>
      </c>
      <c r="DB54" s="879"/>
      <c r="DC54" s="39">
        <f t="shared" si="9"/>
        <v>0</v>
      </c>
      <c r="DD54" s="9"/>
      <c r="DE54" s="13">
        <f>I54-D54</f>
        <v>0</v>
      </c>
    </row>
    <row r="55" spans="1:109" ht="13.5" customHeight="1" x14ac:dyDescent="0.25">
      <c r="A55" s="433">
        <v>5902</v>
      </c>
      <c r="B55" s="434" t="s">
        <v>620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f t="shared" si="13"/>
        <v>0</v>
      </c>
      <c r="J55" s="198"/>
      <c r="K55" s="205"/>
      <c r="L55" s="205"/>
      <c r="M55" s="205"/>
      <c r="N55" s="205"/>
      <c r="O55" s="689"/>
      <c r="P55" s="689"/>
      <c r="Q55" s="363"/>
      <c r="R55" s="205"/>
      <c r="S55" s="205"/>
      <c r="T55" s="205"/>
      <c r="U55" s="205"/>
      <c r="V55" s="205"/>
      <c r="W55" s="205"/>
      <c r="X55" s="205"/>
      <c r="Y55" s="205"/>
      <c r="Z55" s="689"/>
      <c r="AA55" s="689"/>
      <c r="AB55" s="205"/>
      <c r="AC55" s="689"/>
      <c r="AD55" s="689"/>
      <c r="AE55" s="205"/>
      <c r="AF55" s="689"/>
      <c r="AG55" s="689"/>
      <c r="AH55" s="205"/>
      <c r="AI55" s="205"/>
      <c r="AJ55" s="205"/>
      <c r="AK55" s="205"/>
      <c r="AL55" s="689"/>
      <c r="AM55" s="689"/>
      <c r="AN55" s="205"/>
      <c r="AO55" s="689"/>
      <c r="AP55" s="689"/>
      <c r="AQ55" s="205"/>
      <c r="AR55" s="689"/>
      <c r="AS55" s="689"/>
      <c r="AT55" s="205"/>
      <c r="AU55" s="689"/>
      <c r="AV55" s="689"/>
      <c r="AW55" s="205"/>
      <c r="AX55" s="689"/>
      <c r="AY55" s="689"/>
      <c r="AZ55" s="205"/>
      <c r="BA55" s="689"/>
      <c r="BB55" s="689"/>
      <c r="BC55" s="205"/>
      <c r="BD55" s="689"/>
      <c r="BE55" s="689"/>
      <c r="BF55" s="205"/>
      <c r="BG55" s="689"/>
      <c r="BH55" s="689"/>
      <c r="BI55" s="205"/>
      <c r="BJ55" s="205"/>
      <c r="BK55" s="689"/>
      <c r="BL55" s="689"/>
      <c r="BM55" s="205"/>
      <c r="BN55" s="205"/>
      <c r="BO55" s="689"/>
      <c r="BP55" s="689"/>
      <c r="BQ55" s="205"/>
      <c r="BR55" s="689"/>
      <c r="BS55" s="689"/>
      <c r="BT55" s="205"/>
      <c r="BU55" s="205"/>
      <c r="BV55" s="689"/>
      <c r="BW55" s="689"/>
      <c r="BX55" s="205"/>
      <c r="BY55" s="205"/>
      <c r="BZ55" s="205"/>
      <c r="CA55" s="205"/>
      <c r="CB55" s="689"/>
      <c r="CC55" s="689"/>
      <c r="CD55" s="205"/>
      <c r="CE55" s="205"/>
      <c r="CF55" s="689"/>
      <c r="CG55" s="689"/>
      <c r="CH55" s="205"/>
      <c r="CI55" s="689"/>
      <c r="CJ55" s="689"/>
      <c r="CK55" s="205"/>
      <c r="CL55" s="689"/>
      <c r="CM55" s="689"/>
      <c r="CN55" s="205"/>
      <c r="CO55" s="205"/>
      <c r="CP55" s="689"/>
      <c r="CQ55" s="689"/>
      <c r="CR55" s="689"/>
      <c r="CS55" s="205"/>
      <c r="CT55" s="205"/>
      <c r="CU55" s="205"/>
      <c r="CV55" s="205"/>
      <c r="CW55" s="205"/>
      <c r="CX55" s="205"/>
      <c r="CY55" s="192"/>
      <c r="CZ55" s="13">
        <f t="shared" si="3"/>
        <v>0</v>
      </c>
      <c r="DA55" s="436">
        <f t="shared" si="12"/>
        <v>0</v>
      </c>
      <c r="DB55" s="879"/>
      <c r="DC55" s="40">
        <f t="shared" si="9"/>
        <v>0</v>
      </c>
      <c r="DD55" s="9"/>
      <c r="DE55" s="13">
        <f>I55-D55</f>
        <v>0</v>
      </c>
    </row>
    <row r="56" spans="1:109" s="1709" customFormat="1" ht="16.5" thickBot="1" x14ac:dyDescent="0.3">
      <c r="A56" s="151" t="s">
        <v>170</v>
      </c>
      <c r="B56" s="152"/>
      <c r="C56" s="153">
        <f>SUM(C17:C54)</f>
        <v>62503881.460000001</v>
      </c>
      <c r="D56" s="153">
        <v>70723233</v>
      </c>
      <c r="E56" s="153">
        <v>73245070</v>
      </c>
      <c r="F56" s="153">
        <v>73435170</v>
      </c>
      <c r="G56" s="153">
        <v>77406894</v>
      </c>
      <c r="H56" s="153">
        <v>79413075</v>
      </c>
      <c r="I56" s="153">
        <f>SUM(I17:I55)</f>
        <v>80677675</v>
      </c>
      <c r="J56" s="196">
        <f t="shared" ref="J56:BQ56" si="14">SUM(J17:J54)</f>
        <v>80000</v>
      </c>
      <c r="K56" s="203">
        <f t="shared" si="14"/>
        <v>0</v>
      </c>
      <c r="L56" s="203">
        <f>SUM(L17:L55)</f>
        <v>3694500</v>
      </c>
      <c r="M56" s="203">
        <f t="shared" si="14"/>
        <v>2180000</v>
      </c>
      <c r="N56" s="203">
        <f t="shared" si="14"/>
        <v>7066000</v>
      </c>
      <c r="O56" s="688">
        <f>SUM(O17:O54)</f>
        <v>530000</v>
      </c>
      <c r="P56" s="688">
        <f>SUM(P17:P54)</f>
        <v>70000</v>
      </c>
      <c r="Q56" s="361">
        <f>SUM(Q17:Q54)-Q22-Q34-Q35</f>
        <v>13600000</v>
      </c>
      <c r="R56" s="203">
        <f t="shared" si="14"/>
        <v>368000</v>
      </c>
      <c r="S56" s="203">
        <f t="shared" si="14"/>
        <v>200000</v>
      </c>
      <c r="T56" s="203">
        <f t="shared" si="14"/>
        <v>797000</v>
      </c>
      <c r="U56" s="203">
        <f t="shared" si="14"/>
        <v>115000</v>
      </c>
      <c r="V56" s="203">
        <f>SUM(V17:V55)</f>
        <v>707000</v>
      </c>
      <c r="W56" s="203">
        <f t="shared" si="14"/>
        <v>490000</v>
      </c>
      <c r="X56" s="203">
        <f t="shared" si="14"/>
        <v>1275000</v>
      </c>
      <c r="Y56" s="203">
        <f t="shared" si="14"/>
        <v>1424862</v>
      </c>
      <c r="Z56" s="688">
        <f>SUM(Z17:Z54)</f>
        <v>634862</v>
      </c>
      <c r="AA56" s="688">
        <f>SUM(AA17:AA54)</f>
        <v>80000</v>
      </c>
      <c r="AB56" s="203">
        <f t="shared" si="14"/>
        <v>2515000</v>
      </c>
      <c r="AC56" s="688">
        <f>SUM(AC17:AC54)</f>
        <v>480000</v>
      </c>
      <c r="AD56" s="688">
        <f>SUM(AD17:AD54)</f>
        <v>60000</v>
      </c>
      <c r="AE56" s="203">
        <f t="shared" si="14"/>
        <v>1329000</v>
      </c>
      <c r="AF56" s="688">
        <f>SUM(AF17:AF54)</f>
        <v>390000</v>
      </c>
      <c r="AG56" s="688">
        <f>SUM(AG17:AG54)</f>
        <v>50000</v>
      </c>
      <c r="AH56" s="203">
        <f t="shared" si="14"/>
        <v>654000</v>
      </c>
      <c r="AI56" s="203">
        <f t="shared" si="14"/>
        <v>150000</v>
      </c>
      <c r="AJ56" s="203">
        <f t="shared" si="14"/>
        <v>41000</v>
      </c>
      <c r="AK56" s="203">
        <f t="shared" si="14"/>
        <v>90000</v>
      </c>
      <c r="AL56" s="688">
        <f>SUM(AL17:AL54)</f>
        <v>0</v>
      </c>
      <c r="AM56" s="688">
        <f>SUM(AM17:AM54)</f>
        <v>70000</v>
      </c>
      <c r="AN56" s="203">
        <f t="shared" si="14"/>
        <v>2050000</v>
      </c>
      <c r="AO56" s="688">
        <f>SUM(AO17:AO54)</f>
        <v>160000</v>
      </c>
      <c r="AP56" s="688">
        <f>SUM(AP17:AP54)</f>
        <v>250000</v>
      </c>
      <c r="AQ56" s="203">
        <f t="shared" si="14"/>
        <v>6411000</v>
      </c>
      <c r="AR56" s="688">
        <f>SUM(AR17:AR54)</f>
        <v>850000</v>
      </c>
      <c r="AS56" s="688">
        <f>SUM(AS17:AS54)</f>
        <v>50000</v>
      </c>
      <c r="AT56" s="203">
        <f>SUM(AT17:AT54)</f>
        <v>486000</v>
      </c>
      <c r="AU56" s="688">
        <f>SUM(AU17:AU54)</f>
        <v>100000</v>
      </c>
      <c r="AV56" s="688">
        <f>SUM(AV17:AV54)</f>
        <v>0</v>
      </c>
      <c r="AW56" s="203">
        <f t="shared" si="14"/>
        <v>800000</v>
      </c>
      <c r="AX56" s="688">
        <f>SUM(AX17:AX54)</f>
        <v>200000</v>
      </c>
      <c r="AY56" s="688">
        <f>SUM(AY17:AY54)</f>
        <v>20000</v>
      </c>
      <c r="AZ56" s="203">
        <f t="shared" si="14"/>
        <v>763300</v>
      </c>
      <c r="BA56" s="688">
        <f t="shared" si="14"/>
        <v>50000</v>
      </c>
      <c r="BB56" s="688">
        <f t="shared" si="14"/>
        <v>20000</v>
      </c>
      <c r="BC56" s="203">
        <f t="shared" si="14"/>
        <v>4223138</v>
      </c>
      <c r="BD56" s="688">
        <f t="shared" si="14"/>
        <v>350000</v>
      </c>
      <c r="BE56" s="688">
        <f t="shared" si="14"/>
        <v>20000</v>
      </c>
      <c r="BF56" s="203">
        <f t="shared" si="14"/>
        <v>1420000</v>
      </c>
      <c r="BG56" s="688">
        <f t="shared" si="14"/>
        <v>100000</v>
      </c>
      <c r="BH56" s="688">
        <f t="shared" si="14"/>
        <v>20000</v>
      </c>
      <c r="BI56" s="203">
        <f t="shared" si="14"/>
        <v>235000</v>
      </c>
      <c r="BJ56" s="203">
        <f t="shared" si="14"/>
        <v>200000</v>
      </c>
      <c r="BK56" s="688">
        <f t="shared" si="14"/>
        <v>100000</v>
      </c>
      <c r="BL56" s="688">
        <f t="shared" si="14"/>
        <v>20000</v>
      </c>
      <c r="BM56" s="203">
        <f t="shared" si="14"/>
        <v>400000</v>
      </c>
      <c r="BN56" s="203">
        <f t="shared" si="14"/>
        <v>1278100</v>
      </c>
      <c r="BO56" s="688">
        <f t="shared" si="14"/>
        <v>150000</v>
      </c>
      <c r="BP56" s="688">
        <f t="shared" si="14"/>
        <v>350000</v>
      </c>
      <c r="BQ56" s="203">
        <f t="shared" si="14"/>
        <v>4928674</v>
      </c>
      <c r="BR56" s="688">
        <f>SUM(BR17:BR54)</f>
        <v>3938569</v>
      </c>
      <c r="BS56" s="688">
        <f>SUM(BS17:BS54)</f>
        <v>450000</v>
      </c>
      <c r="BT56" s="203">
        <f t="shared" ref="BT56:CY56" si="15">SUM(BT17:BT54)</f>
        <v>1250000</v>
      </c>
      <c r="BU56" s="203">
        <f t="shared" si="15"/>
        <v>560000</v>
      </c>
      <c r="BV56" s="688">
        <f t="shared" si="15"/>
        <v>200000</v>
      </c>
      <c r="BW56" s="688">
        <f t="shared" si="15"/>
        <v>270000</v>
      </c>
      <c r="BX56" s="203">
        <f t="shared" si="15"/>
        <v>3880000</v>
      </c>
      <c r="BY56" s="203">
        <f t="shared" si="15"/>
        <v>1004000</v>
      </c>
      <c r="BZ56" s="203">
        <f t="shared" si="15"/>
        <v>0</v>
      </c>
      <c r="CA56" s="203">
        <f t="shared" si="15"/>
        <v>1540000</v>
      </c>
      <c r="CB56" s="688">
        <f t="shared" si="15"/>
        <v>1250000</v>
      </c>
      <c r="CC56" s="688">
        <f t="shared" si="15"/>
        <v>50000</v>
      </c>
      <c r="CD56" s="203">
        <f t="shared" si="15"/>
        <v>200000</v>
      </c>
      <c r="CE56" s="203">
        <f t="shared" si="15"/>
        <v>4950000</v>
      </c>
      <c r="CF56" s="688">
        <f t="shared" si="15"/>
        <v>0</v>
      </c>
      <c r="CG56" s="688">
        <f t="shared" si="15"/>
        <v>4950000</v>
      </c>
      <c r="CH56" s="203">
        <f t="shared" si="15"/>
        <v>710000</v>
      </c>
      <c r="CI56" s="688">
        <f t="shared" si="15"/>
        <v>60000</v>
      </c>
      <c r="CJ56" s="688">
        <f t="shared" si="15"/>
        <v>650000</v>
      </c>
      <c r="CK56" s="203">
        <f t="shared" si="15"/>
        <v>70000</v>
      </c>
      <c r="CL56" s="688">
        <f>SUM(CL17:CL54)</f>
        <v>0</v>
      </c>
      <c r="CM56" s="688">
        <f>SUM(CM17:CM54)</f>
        <v>70000</v>
      </c>
      <c r="CN56" s="203">
        <f t="shared" si="15"/>
        <v>66500</v>
      </c>
      <c r="CO56" s="203">
        <f t="shared" si="15"/>
        <v>3700000</v>
      </c>
      <c r="CP56" s="688">
        <f>SUM(CP17:CP54)</f>
        <v>3630000</v>
      </c>
      <c r="CQ56" s="688">
        <f>SUM(CQ17:CQ54)</f>
        <v>20000</v>
      </c>
      <c r="CR56" s="688">
        <f>SUM(CR17:CR54)</f>
        <v>50000</v>
      </c>
      <c r="CS56" s="203">
        <f t="shared" si="15"/>
        <v>772001</v>
      </c>
      <c r="CT56" s="203">
        <f t="shared" si="15"/>
        <v>0</v>
      </c>
      <c r="CU56" s="203">
        <f>SUM(CU17:CU54)</f>
        <v>0</v>
      </c>
      <c r="CV56" s="203">
        <f t="shared" si="15"/>
        <v>2003600</v>
      </c>
      <c r="CW56" s="203">
        <f t="shared" si="15"/>
        <v>0</v>
      </c>
      <c r="CX56" s="203">
        <f t="shared" si="15"/>
        <v>0</v>
      </c>
      <c r="CY56" s="154">
        <f t="shared" si="15"/>
        <v>0</v>
      </c>
      <c r="CZ56" s="13">
        <f>+SUM(J56:N56)+SUM(Q56:Y56)+AB56+AE56+SUM(AH56:AK56)+AN56+AQ56+AT56+AW56+AZ56+BC56+BF56+BI56+BJ56+BM56+BN56+BQ56+BT56+BU56+SUM(BX56:CA56)+CD56+CE56+CH56+CK56+CN56+CO56+SUM(CS56:CY56)</f>
        <v>80677675</v>
      </c>
      <c r="DA56" s="436">
        <f t="shared" si="12"/>
        <v>0</v>
      </c>
      <c r="DB56" s="879">
        <f>I56/C56</f>
        <v>1.2907626393031368</v>
      </c>
      <c r="DC56" s="153">
        <f>SUM(DC17:DC54)</f>
        <v>7570000</v>
      </c>
      <c r="DD56" s="129"/>
      <c r="DE56" s="13">
        <f>I56-D56</f>
        <v>9954442</v>
      </c>
    </row>
    <row r="57" spans="1:109" ht="15.75" x14ac:dyDescent="0.25">
      <c r="A57" s="125">
        <v>5141</v>
      </c>
      <c r="B57" s="27" t="s">
        <v>11</v>
      </c>
      <c r="C57" s="270">
        <v>2400000</v>
      </c>
      <c r="D57" s="270">
        <v>1455000</v>
      </c>
      <c r="E57" s="270">
        <v>1785000</v>
      </c>
      <c r="F57" s="270">
        <v>1785000</v>
      </c>
      <c r="G57" s="270">
        <v>1736409.0776</v>
      </c>
      <c r="H57" s="270">
        <v>1736409.0776</v>
      </c>
      <c r="I57" s="270">
        <f>SUM(J57:N57)+SUM(R57:Y57)+AB57+AE57+SUM(AH57:AK57)+AN57+AQ57+AT57+AW57+AZ57+BC57+BF57+BI57+BJ57+BM57+BN57+BQ57+SUM(BT57:BU57)+BZ57+CA57+CD57+CE57+CH57+CK57+CN57+CO57+SUM(CS57:CY57)+BX57+BY57</f>
        <v>1736409.0776</v>
      </c>
      <c r="J57" s="1236">
        <f>[6]Úroky!$B$4</f>
        <v>1736409.0776</v>
      </c>
      <c r="K57" s="1237"/>
      <c r="L57" s="1237"/>
      <c r="M57" s="1237"/>
      <c r="N57" s="1237"/>
      <c r="O57" s="1238"/>
      <c r="P57" s="1238"/>
      <c r="Q57" s="1239"/>
      <c r="R57" s="1237"/>
      <c r="S57" s="1237"/>
      <c r="T57" s="1237"/>
      <c r="U57" s="1237"/>
      <c r="V57" s="1237"/>
      <c r="W57" s="1237"/>
      <c r="X57" s="1237"/>
      <c r="Y57" s="1237"/>
      <c r="Z57" s="1238"/>
      <c r="AA57" s="1238"/>
      <c r="AB57" s="1237"/>
      <c r="AC57" s="1238"/>
      <c r="AD57" s="1238"/>
      <c r="AE57" s="1237"/>
      <c r="AF57" s="1238"/>
      <c r="AG57" s="1238"/>
      <c r="AH57" s="1237"/>
      <c r="AI57" s="1237"/>
      <c r="AJ57" s="1237"/>
      <c r="AK57" s="1237"/>
      <c r="AL57" s="1238"/>
      <c r="AM57" s="1238"/>
      <c r="AN57" s="1237"/>
      <c r="AO57" s="1238"/>
      <c r="AP57" s="1238"/>
      <c r="AQ57" s="1237"/>
      <c r="AR57" s="1238"/>
      <c r="AS57" s="1238"/>
      <c r="AT57" s="1237"/>
      <c r="AU57" s="1238"/>
      <c r="AV57" s="1238"/>
      <c r="AW57" s="1237"/>
      <c r="AX57" s="1238"/>
      <c r="AY57" s="1238"/>
      <c r="AZ57" s="1237"/>
      <c r="BA57" s="1238"/>
      <c r="BB57" s="1238"/>
      <c r="BC57" s="1237"/>
      <c r="BD57" s="1238"/>
      <c r="BE57" s="1238"/>
      <c r="BF57" s="1237"/>
      <c r="BG57" s="1238"/>
      <c r="BH57" s="1238"/>
      <c r="BI57" s="1237"/>
      <c r="BJ57" s="1237"/>
      <c r="BK57" s="1238"/>
      <c r="BL57" s="1238"/>
      <c r="BM57" s="1237"/>
      <c r="BN57" s="1237"/>
      <c r="BO57" s="1238"/>
      <c r="BP57" s="1238"/>
      <c r="BQ57" s="1237"/>
      <c r="BR57" s="1238"/>
      <c r="BS57" s="1238"/>
      <c r="BT57" s="1237"/>
      <c r="BU57" s="1237"/>
      <c r="BV57" s="1238"/>
      <c r="BW57" s="1238"/>
      <c r="BX57" s="1237"/>
      <c r="BY57" s="1237"/>
      <c r="BZ57" s="1237"/>
      <c r="CA57" s="1237"/>
      <c r="CB57" s="1238"/>
      <c r="CC57" s="1238"/>
      <c r="CD57" s="1237"/>
      <c r="CE57" s="1237"/>
      <c r="CF57" s="1238"/>
      <c r="CG57" s="1238"/>
      <c r="CH57" s="1237"/>
      <c r="CI57" s="1238"/>
      <c r="CJ57" s="1238"/>
      <c r="CK57" s="1237"/>
      <c r="CL57" s="1238"/>
      <c r="CM57" s="1238"/>
      <c r="CN57" s="1237"/>
      <c r="CO57" s="1237"/>
      <c r="CP57" s="1238"/>
      <c r="CQ57" s="1238"/>
      <c r="CR57" s="1238"/>
      <c r="CS57" s="1237"/>
      <c r="CT57" s="1237"/>
      <c r="CU57" s="1237"/>
      <c r="CV57" s="1237"/>
      <c r="CW57" s="1237"/>
      <c r="CX57" s="1237"/>
      <c r="CY57" s="1240"/>
      <c r="CZ57" s="13">
        <f t="shared" ref="CZ57:CZ78" si="16">+SUM(J57:N57)+SUM(Q57:Y57)+AB57+AE57+SUM(AH57:AK57)+AN57+AQ57+AT57+AW57+AZ57+BC57+BF57+BI57+BJ57+BM57+BN57+BQ57+BT57+BU57+SUM(BX57:CA57)+CD57+CE57+CH57+CK57+CN57+CO57+SUM(CS57:CY57)</f>
        <v>1736409.0776</v>
      </c>
      <c r="DA57" s="436">
        <f t="shared" si="12"/>
        <v>0</v>
      </c>
      <c r="DB57" s="879">
        <f>I57/C57</f>
        <v>0.72350378233333335</v>
      </c>
      <c r="DC57" s="156"/>
      <c r="DD57" s="9"/>
      <c r="DE57" s="13">
        <f>I57-D57</f>
        <v>281409.07759999996</v>
      </c>
    </row>
    <row r="58" spans="1:109" ht="15.75" x14ac:dyDescent="0.25">
      <c r="A58" s="433">
        <v>5144</v>
      </c>
      <c r="B58" s="1235" t="s">
        <v>1354</v>
      </c>
      <c r="C58" s="191"/>
      <c r="D58" s="156"/>
      <c r="E58" s="156">
        <f>+'[6]Splátky jistiny'!$B$6</f>
        <v>0</v>
      </c>
      <c r="F58" s="156">
        <v>1554732</v>
      </c>
      <c r="G58" s="156">
        <v>479732</v>
      </c>
      <c r="H58" s="156">
        <v>479732</v>
      </c>
      <c r="I58" s="156">
        <f>SUM(J58:N58)+SUM(R58:Y58)+AB58+AE58+SUM(AH58:AK58)+AN58+AQ58+AT58+AW58+AZ58+BC58+BF58+BI58+BJ58+BM58+BN58+BQ58+SUM(BT58:BU58)+BZ58+CA58+CD58+CE58+CH58+CK58+CN58+CO58+SUM(CS58:CY58)+BX58+BY58</f>
        <v>479732</v>
      </c>
      <c r="J58" s="197"/>
      <c r="K58" s="204">
        <f>'[6]Splátky jistiny'!$B$11</f>
        <v>479732</v>
      </c>
      <c r="L58" s="204"/>
      <c r="M58" s="204"/>
      <c r="N58" s="204"/>
      <c r="O58" s="690"/>
      <c r="P58" s="690"/>
      <c r="Q58" s="362"/>
      <c r="R58" s="204"/>
      <c r="S58" s="204"/>
      <c r="T58" s="204"/>
      <c r="U58" s="204"/>
      <c r="V58" s="204"/>
      <c r="W58" s="204"/>
      <c r="X58" s="204"/>
      <c r="Y58" s="204"/>
      <c r="Z58" s="690"/>
      <c r="AA58" s="690"/>
      <c r="AB58" s="204"/>
      <c r="AC58" s="690"/>
      <c r="AD58" s="690"/>
      <c r="AE58" s="204"/>
      <c r="AF58" s="690"/>
      <c r="AG58" s="690"/>
      <c r="AH58" s="204"/>
      <c r="AI58" s="204"/>
      <c r="AJ58" s="204"/>
      <c r="AK58" s="204"/>
      <c r="AL58" s="690"/>
      <c r="AM58" s="690"/>
      <c r="AN58" s="204"/>
      <c r="AO58" s="690"/>
      <c r="AP58" s="690"/>
      <c r="AQ58" s="204"/>
      <c r="AR58" s="690"/>
      <c r="AS58" s="690"/>
      <c r="AT58" s="204"/>
      <c r="AU58" s="690"/>
      <c r="AV58" s="690"/>
      <c r="AW58" s="204"/>
      <c r="AX58" s="690"/>
      <c r="AY58" s="690"/>
      <c r="AZ58" s="204"/>
      <c r="BA58" s="690"/>
      <c r="BB58" s="690"/>
      <c r="BC58" s="204"/>
      <c r="BD58" s="690"/>
      <c r="BE58" s="690"/>
      <c r="BF58" s="204"/>
      <c r="BG58" s="690"/>
      <c r="BH58" s="690"/>
      <c r="BI58" s="204"/>
      <c r="BJ58" s="204"/>
      <c r="BK58" s="690"/>
      <c r="BL58" s="690"/>
      <c r="BM58" s="204"/>
      <c r="BN58" s="204"/>
      <c r="BO58" s="690"/>
      <c r="BP58" s="690"/>
      <c r="BQ58" s="204"/>
      <c r="BR58" s="690"/>
      <c r="BS58" s="690"/>
      <c r="BT58" s="204"/>
      <c r="BU58" s="204"/>
      <c r="BV58" s="690"/>
      <c r="BW58" s="690"/>
      <c r="BX58" s="204"/>
      <c r="BY58" s="204"/>
      <c r="BZ58" s="204"/>
      <c r="CA58" s="204"/>
      <c r="CB58" s="690"/>
      <c r="CC58" s="690"/>
      <c r="CD58" s="204"/>
      <c r="CE58" s="204"/>
      <c r="CF58" s="690"/>
      <c r="CG58" s="690"/>
      <c r="CH58" s="204"/>
      <c r="CI58" s="690"/>
      <c r="CJ58" s="690"/>
      <c r="CK58" s="204"/>
      <c r="CL58" s="690"/>
      <c r="CM58" s="690"/>
      <c r="CN58" s="204"/>
      <c r="CO58" s="204"/>
      <c r="CP58" s="690"/>
      <c r="CQ58" s="690"/>
      <c r="CR58" s="690"/>
      <c r="CS58" s="204"/>
      <c r="CT58" s="204"/>
      <c r="CU58" s="204"/>
      <c r="CV58" s="204"/>
      <c r="CW58" s="204"/>
      <c r="CX58" s="204"/>
      <c r="CY58" s="191"/>
      <c r="CZ58" s="13"/>
      <c r="DA58" s="436"/>
      <c r="DB58" s="879"/>
      <c r="DC58" s="156"/>
      <c r="DD58" s="9"/>
      <c r="DE58" s="13"/>
    </row>
    <row r="59" spans="1:109" s="1709" customFormat="1" ht="16.5" thickBot="1" x14ac:dyDescent="0.3">
      <c r="A59" s="151" t="s">
        <v>171</v>
      </c>
      <c r="B59" s="152" t="s">
        <v>172</v>
      </c>
      <c r="C59" s="153">
        <f>+C56+C57+C16</f>
        <v>93507575.017399997</v>
      </c>
      <c r="D59" s="153">
        <v>101928137.2</v>
      </c>
      <c r="E59" s="153">
        <v>104777934.2</v>
      </c>
      <c r="F59" s="153">
        <v>106597676.10800001</v>
      </c>
      <c r="G59" s="153">
        <v>112001565.3576</v>
      </c>
      <c r="H59" s="153">
        <v>114007746.3576</v>
      </c>
      <c r="I59" s="153">
        <f>+I56+I57+I16+I58</f>
        <v>117229174.77760001</v>
      </c>
      <c r="J59" s="196">
        <f t="shared" ref="J59:BU59" si="17">+J56+J57+J16+J58</f>
        <v>1816409.0776</v>
      </c>
      <c r="K59" s="203">
        <f t="shared" si="17"/>
        <v>479732</v>
      </c>
      <c r="L59" s="203">
        <f t="shared" si="17"/>
        <v>3694500</v>
      </c>
      <c r="M59" s="203">
        <f t="shared" si="17"/>
        <v>5991837.4000000004</v>
      </c>
      <c r="N59" s="203">
        <f t="shared" si="17"/>
        <v>28779502.100000001</v>
      </c>
      <c r="O59" s="688">
        <f t="shared" si="17"/>
        <v>530000</v>
      </c>
      <c r="P59" s="688">
        <f t="shared" si="17"/>
        <v>70000</v>
      </c>
      <c r="Q59" s="361">
        <f t="shared" si="17"/>
        <v>13600000</v>
      </c>
      <c r="R59" s="203">
        <f t="shared" si="17"/>
        <v>2038840.6</v>
      </c>
      <c r="S59" s="203">
        <f t="shared" si="17"/>
        <v>200000</v>
      </c>
      <c r="T59" s="203">
        <f t="shared" si="17"/>
        <v>6253205.1600000001</v>
      </c>
      <c r="U59" s="203">
        <f t="shared" si="17"/>
        <v>115000</v>
      </c>
      <c r="V59" s="203">
        <f t="shared" si="17"/>
        <v>2118947.6799999997</v>
      </c>
      <c r="W59" s="203">
        <f t="shared" si="17"/>
        <v>635856.4</v>
      </c>
      <c r="X59" s="203">
        <f t="shared" si="17"/>
        <v>1275000</v>
      </c>
      <c r="Y59" s="203">
        <f t="shared" si="17"/>
        <v>1424862</v>
      </c>
      <c r="Z59" s="688">
        <f t="shared" si="17"/>
        <v>634862</v>
      </c>
      <c r="AA59" s="688">
        <f t="shared" si="17"/>
        <v>80000</v>
      </c>
      <c r="AB59" s="203">
        <f t="shared" si="17"/>
        <v>2515000</v>
      </c>
      <c r="AC59" s="688">
        <f t="shared" si="17"/>
        <v>480000</v>
      </c>
      <c r="AD59" s="688">
        <f t="shared" si="17"/>
        <v>60000</v>
      </c>
      <c r="AE59" s="203">
        <f t="shared" si="17"/>
        <v>1329000</v>
      </c>
      <c r="AF59" s="688">
        <f t="shared" si="17"/>
        <v>390000</v>
      </c>
      <c r="AG59" s="688">
        <f t="shared" si="17"/>
        <v>50000</v>
      </c>
      <c r="AH59" s="203">
        <f t="shared" si="17"/>
        <v>779169.36</v>
      </c>
      <c r="AI59" s="203">
        <f t="shared" si="17"/>
        <v>150000</v>
      </c>
      <c r="AJ59" s="203">
        <f t="shared" si="17"/>
        <v>41000</v>
      </c>
      <c r="AK59" s="203">
        <f t="shared" si="17"/>
        <v>90000</v>
      </c>
      <c r="AL59" s="688">
        <f t="shared" si="17"/>
        <v>0</v>
      </c>
      <c r="AM59" s="688">
        <f t="shared" si="17"/>
        <v>70000</v>
      </c>
      <c r="AN59" s="203">
        <f t="shared" si="17"/>
        <v>2050000</v>
      </c>
      <c r="AO59" s="688">
        <f t="shared" si="17"/>
        <v>160000</v>
      </c>
      <c r="AP59" s="688">
        <f t="shared" si="17"/>
        <v>250000</v>
      </c>
      <c r="AQ59" s="203">
        <f t="shared" si="17"/>
        <v>6411000</v>
      </c>
      <c r="AR59" s="688">
        <f t="shared" si="17"/>
        <v>850000</v>
      </c>
      <c r="AS59" s="688">
        <f t="shared" si="17"/>
        <v>50000</v>
      </c>
      <c r="AT59" s="203">
        <f t="shared" si="17"/>
        <v>486000</v>
      </c>
      <c r="AU59" s="688">
        <f t="shared" si="17"/>
        <v>100000</v>
      </c>
      <c r="AV59" s="688">
        <f t="shared" si="17"/>
        <v>0</v>
      </c>
      <c r="AW59" s="203">
        <f t="shared" si="17"/>
        <v>800000</v>
      </c>
      <c r="AX59" s="688">
        <f t="shared" si="17"/>
        <v>200000</v>
      </c>
      <c r="AY59" s="688">
        <f t="shared" si="17"/>
        <v>20000</v>
      </c>
      <c r="AZ59" s="203">
        <f t="shared" si="17"/>
        <v>763300</v>
      </c>
      <c r="BA59" s="688">
        <f t="shared" si="17"/>
        <v>50000</v>
      </c>
      <c r="BB59" s="688">
        <f t="shared" si="17"/>
        <v>20000</v>
      </c>
      <c r="BC59" s="203">
        <f t="shared" si="17"/>
        <v>4223138</v>
      </c>
      <c r="BD59" s="688">
        <f t="shared" si="17"/>
        <v>350000</v>
      </c>
      <c r="BE59" s="688">
        <f t="shared" si="17"/>
        <v>20000</v>
      </c>
      <c r="BF59" s="203">
        <f t="shared" si="17"/>
        <v>1420000</v>
      </c>
      <c r="BG59" s="688">
        <f t="shared" si="17"/>
        <v>100000</v>
      </c>
      <c r="BH59" s="688">
        <f t="shared" si="17"/>
        <v>20000</v>
      </c>
      <c r="BI59" s="203">
        <f t="shared" si="17"/>
        <v>235000</v>
      </c>
      <c r="BJ59" s="203">
        <f t="shared" si="17"/>
        <v>200000</v>
      </c>
      <c r="BK59" s="688">
        <f t="shared" si="17"/>
        <v>100000</v>
      </c>
      <c r="BL59" s="688">
        <f t="shared" si="17"/>
        <v>20000</v>
      </c>
      <c r="BM59" s="203">
        <f t="shared" si="17"/>
        <v>400000</v>
      </c>
      <c r="BN59" s="203">
        <f t="shared" si="17"/>
        <v>1278100</v>
      </c>
      <c r="BO59" s="688">
        <f t="shared" si="17"/>
        <v>150000</v>
      </c>
      <c r="BP59" s="688">
        <f t="shared" si="17"/>
        <v>350000</v>
      </c>
      <c r="BQ59" s="203">
        <f t="shared" si="17"/>
        <v>4928674</v>
      </c>
      <c r="BR59" s="688">
        <f t="shared" si="17"/>
        <v>3938569</v>
      </c>
      <c r="BS59" s="688">
        <f t="shared" si="17"/>
        <v>450000</v>
      </c>
      <c r="BT59" s="203">
        <f t="shared" si="17"/>
        <v>1250000</v>
      </c>
      <c r="BU59" s="203">
        <f t="shared" si="17"/>
        <v>560000</v>
      </c>
      <c r="BV59" s="688">
        <f t="shared" ref="BV59:CY59" si="18">+BV56+BV57+BV16+BV58</f>
        <v>200000</v>
      </c>
      <c r="BW59" s="688">
        <f t="shared" si="18"/>
        <v>270000</v>
      </c>
      <c r="BX59" s="203">
        <f t="shared" si="18"/>
        <v>3880000</v>
      </c>
      <c r="BY59" s="203">
        <f t="shared" si="18"/>
        <v>1004000</v>
      </c>
      <c r="BZ59" s="203">
        <f t="shared" si="18"/>
        <v>0</v>
      </c>
      <c r="CA59" s="203">
        <f t="shared" si="18"/>
        <v>1540000</v>
      </c>
      <c r="CB59" s="688">
        <f t="shared" si="18"/>
        <v>1250000</v>
      </c>
      <c r="CC59" s="688">
        <f t="shared" si="18"/>
        <v>50000</v>
      </c>
      <c r="CD59" s="203">
        <f t="shared" si="18"/>
        <v>200000</v>
      </c>
      <c r="CE59" s="203">
        <f t="shared" si="18"/>
        <v>4950000</v>
      </c>
      <c r="CF59" s="688">
        <f t="shared" si="18"/>
        <v>0</v>
      </c>
      <c r="CG59" s="688">
        <f t="shared" si="18"/>
        <v>4950000</v>
      </c>
      <c r="CH59" s="203">
        <f t="shared" si="18"/>
        <v>710000</v>
      </c>
      <c r="CI59" s="688">
        <f t="shared" si="18"/>
        <v>60000</v>
      </c>
      <c r="CJ59" s="688">
        <f t="shared" si="18"/>
        <v>650000</v>
      </c>
      <c r="CK59" s="203">
        <f t="shared" si="18"/>
        <v>70000</v>
      </c>
      <c r="CL59" s="688">
        <f t="shared" si="18"/>
        <v>0</v>
      </c>
      <c r="CM59" s="688">
        <f t="shared" si="18"/>
        <v>70000</v>
      </c>
      <c r="CN59" s="203">
        <f t="shared" si="18"/>
        <v>66500</v>
      </c>
      <c r="CO59" s="203">
        <f t="shared" si="18"/>
        <v>3700000</v>
      </c>
      <c r="CP59" s="688">
        <f t="shared" si="18"/>
        <v>3630000</v>
      </c>
      <c r="CQ59" s="688">
        <f t="shared" si="18"/>
        <v>20000</v>
      </c>
      <c r="CR59" s="688">
        <f t="shared" si="18"/>
        <v>50000</v>
      </c>
      <c r="CS59" s="203">
        <f t="shared" si="18"/>
        <v>772001</v>
      </c>
      <c r="CT59" s="203">
        <f t="shared" si="18"/>
        <v>0</v>
      </c>
      <c r="CU59" s="203">
        <f t="shared" si="18"/>
        <v>0</v>
      </c>
      <c r="CV59" s="203">
        <f t="shared" si="18"/>
        <v>2003600</v>
      </c>
      <c r="CW59" s="203">
        <f t="shared" si="18"/>
        <v>0</v>
      </c>
      <c r="CX59" s="203">
        <f t="shared" si="18"/>
        <v>0</v>
      </c>
      <c r="CY59" s="154">
        <f t="shared" si="18"/>
        <v>0</v>
      </c>
      <c r="CZ59" s="13">
        <f t="shared" si="16"/>
        <v>117229174.77760001</v>
      </c>
      <c r="DA59" s="436">
        <f t="shared" si="12"/>
        <v>0</v>
      </c>
      <c r="DB59" s="879">
        <f>I59/C59</f>
        <v>1.2536863965917826</v>
      </c>
      <c r="DC59" s="153">
        <f>+DC56+DC57+DC16</f>
        <v>7570000</v>
      </c>
      <c r="DD59" s="129"/>
      <c r="DE59" s="13">
        <f t="shared" ref="DE59:DE78" si="19">I59-D59</f>
        <v>15301037.577600002</v>
      </c>
    </row>
    <row r="60" spans="1:109" ht="15.75" x14ac:dyDescent="0.25">
      <c r="A60" s="125"/>
      <c r="B60" s="27"/>
      <c r="C60" s="156"/>
      <c r="D60" s="156"/>
      <c r="E60" s="156"/>
      <c r="F60" s="156"/>
      <c r="G60" s="156"/>
      <c r="H60" s="156"/>
      <c r="I60" s="868"/>
      <c r="J60" s="197"/>
      <c r="K60" s="204"/>
      <c r="L60" s="204"/>
      <c r="M60" s="204"/>
      <c r="N60" s="204"/>
      <c r="O60" s="690"/>
      <c r="P60" s="690"/>
      <c r="Q60" s="362"/>
      <c r="R60" s="204"/>
      <c r="S60" s="204"/>
      <c r="T60" s="204"/>
      <c r="U60" s="204"/>
      <c r="V60" s="204"/>
      <c r="W60" s="204"/>
      <c r="X60" s="204"/>
      <c r="Y60" s="204"/>
      <c r="Z60" s="690"/>
      <c r="AA60" s="690"/>
      <c r="AB60" s="204"/>
      <c r="AC60" s="690"/>
      <c r="AD60" s="690"/>
      <c r="AE60" s="204"/>
      <c r="AF60" s="690"/>
      <c r="AG60" s="690"/>
      <c r="AH60" s="204"/>
      <c r="AI60" s="204"/>
      <c r="AJ60" s="204"/>
      <c r="AK60" s="204"/>
      <c r="AL60" s="690"/>
      <c r="AM60" s="690"/>
      <c r="AN60" s="204"/>
      <c r="AO60" s="690"/>
      <c r="AP60" s="690"/>
      <c r="AQ60" s="204"/>
      <c r="AR60" s="690"/>
      <c r="AS60" s="690"/>
      <c r="AT60" s="204"/>
      <c r="AU60" s="690"/>
      <c r="AV60" s="690"/>
      <c r="AW60" s="204"/>
      <c r="AX60" s="690"/>
      <c r="AY60" s="690"/>
      <c r="AZ60" s="204"/>
      <c r="BA60" s="690"/>
      <c r="BB60" s="690"/>
      <c r="BC60" s="204"/>
      <c r="BD60" s="690"/>
      <c r="BE60" s="690"/>
      <c r="BF60" s="204"/>
      <c r="BG60" s="690"/>
      <c r="BH60" s="690"/>
      <c r="BI60" s="204"/>
      <c r="BJ60" s="204"/>
      <c r="BK60" s="690"/>
      <c r="BL60" s="690"/>
      <c r="BM60" s="204"/>
      <c r="BN60" s="204"/>
      <c r="BO60" s="690"/>
      <c r="BP60" s="690"/>
      <c r="BQ60" s="204"/>
      <c r="BR60" s="690"/>
      <c r="BS60" s="690"/>
      <c r="BT60" s="204"/>
      <c r="BU60" s="204"/>
      <c r="BV60" s="690"/>
      <c r="BW60" s="690"/>
      <c r="BX60" s="204"/>
      <c r="BY60" s="204"/>
      <c r="BZ60" s="204"/>
      <c r="CA60" s="204"/>
      <c r="CB60" s="690"/>
      <c r="CC60" s="690"/>
      <c r="CD60" s="204"/>
      <c r="CE60" s="204"/>
      <c r="CF60" s="690"/>
      <c r="CG60" s="690"/>
      <c r="CH60" s="204"/>
      <c r="CI60" s="690"/>
      <c r="CJ60" s="690"/>
      <c r="CK60" s="204"/>
      <c r="CL60" s="690"/>
      <c r="CM60" s="690"/>
      <c r="CN60" s="204"/>
      <c r="CO60" s="204"/>
      <c r="CP60" s="690"/>
      <c r="CQ60" s="690"/>
      <c r="CR60" s="690"/>
      <c r="CS60" s="204"/>
      <c r="CT60" s="204"/>
      <c r="CU60" s="204"/>
      <c r="CV60" s="204"/>
      <c r="CW60" s="204"/>
      <c r="CX60" s="204"/>
      <c r="CY60" s="191"/>
      <c r="CZ60" s="13">
        <f t="shared" si="16"/>
        <v>0</v>
      </c>
      <c r="DA60" s="436">
        <f t="shared" si="12"/>
        <v>0</v>
      </c>
      <c r="DB60" s="879"/>
      <c r="DC60" s="156">
        <f t="shared" ref="DC60:DC72" si="20">+P60+AA60+AD60++AG60+AM60+AP60+AS60+AV60+AY60+BB60+BE60+BH60+BL60+BP60+BS60+BW60+CC60+CG60+CJ60+CM60+CR60</f>
        <v>0</v>
      </c>
      <c r="DD60" s="9"/>
      <c r="DE60" s="13">
        <f t="shared" si="19"/>
        <v>0</v>
      </c>
    </row>
    <row r="61" spans="1:109" ht="15.75" x14ac:dyDescent="0.25">
      <c r="A61" s="126">
        <v>6111</v>
      </c>
      <c r="B61" s="127" t="s">
        <v>154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f t="shared" ref="I61:I72" si="21">SUM(J61:N61)+SUM(Q61:Y61)+AB61+AE61+SUM(AH61:AK61)+AN61+AQ61+AT61+AW61+AZ61+BC61+BF61+BI61+BJ61+BM61+BN61+BQ61+SUM(BT61:BU61)+BZ61+CA61+CD61+CE61+CH61+CK61+CN61+CO61+SUM(CS61:CY61)+BX61+BY61</f>
        <v>0</v>
      </c>
      <c r="J61" s="195"/>
      <c r="K61" s="202"/>
      <c r="L61" s="202"/>
      <c r="M61" s="202"/>
      <c r="N61" s="202">
        <f>[3]Správa!$B$146</f>
        <v>0</v>
      </c>
      <c r="O61" s="375"/>
      <c r="P61" s="375"/>
      <c r="Q61" s="360"/>
      <c r="R61" s="202"/>
      <c r="S61" s="202"/>
      <c r="T61" s="202">
        <f>'[3]Městská policie'!$B$161</f>
        <v>0</v>
      </c>
      <c r="U61" s="202"/>
      <c r="V61" s="202"/>
      <c r="W61" s="202"/>
      <c r="X61" s="202"/>
      <c r="Y61" s="202"/>
      <c r="Z61" s="375"/>
      <c r="AA61" s="375"/>
      <c r="AB61" s="202"/>
      <c r="AC61" s="375"/>
      <c r="AD61" s="375"/>
      <c r="AE61" s="202"/>
      <c r="AF61" s="375"/>
      <c r="AG61" s="375"/>
      <c r="AH61" s="202"/>
      <c r="AI61" s="202"/>
      <c r="AJ61" s="202"/>
      <c r="AK61" s="202"/>
      <c r="AL61" s="375"/>
      <c r="AM61" s="375"/>
      <c r="AN61" s="202"/>
      <c r="AO61" s="375"/>
      <c r="AP61" s="375"/>
      <c r="AQ61" s="202"/>
      <c r="AR61" s="375"/>
      <c r="AS61" s="375"/>
      <c r="AT61" s="202"/>
      <c r="AU61" s="375"/>
      <c r="AV61" s="375"/>
      <c r="AW61" s="202"/>
      <c r="AX61" s="375"/>
      <c r="AY61" s="375"/>
      <c r="AZ61" s="202"/>
      <c r="BA61" s="375"/>
      <c r="BB61" s="375"/>
      <c r="BC61" s="202"/>
      <c r="BD61" s="375"/>
      <c r="BE61" s="375"/>
      <c r="BF61" s="202"/>
      <c r="BG61" s="375"/>
      <c r="BH61" s="375"/>
      <c r="BI61" s="202"/>
      <c r="BJ61" s="202"/>
      <c r="BK61" s="375"/>
      <c r="BL61" s="375"/>
      <c r="BM61" s="202"/>
      <c r="BN61" s="202"/>
      <c r="BO61" s="375"/>
      <c r="BP61" s="375"/>
      <c r="BQ61" s="202"/>
      <c r="BR61" s="375"/>
      <c r="BS61" s="375"/>
      <c r="BT61" s="202"/>
      <c r="BU61" s="202"/>
      <c r="BV61" s="375"/>
      <c r="BW61" s="375"/>
      <c r="BX61" s="202"/>
      <c r="BY61" s="202"/>
      <c r="BZ61" s="202"/>
      <c r="CA61" s="202"/>
      <c r="CB61" s="375"/>
      <c r="CC61" s="375"/>
      <c r="CD61" s="202"/>
      <c r="CE61" s="202"/>
      <c r="CF61" s="375"/>
      <c r="CG61" s="375"/>
      <c r="CH61" s="202"/>
      <c r="CI61" s="375"/>
      <c r="CJ61" s="375"/>
      <c r="CK61" s="202"/>
      <c r="CL61" s="375"/>
      <c r="CM61" s="375"/>
      <c r="CN61" s="202"/>
      <c r="CO61" s="202"/>
      <c r="CP61" s="375"/>
      <c r="CQ61" s="375"/>
      <c r="CR61" s="375"/>
      <c r="CS61" s="202"/>
      <c r="CT61" s="202"/>
      <c r="CU61" s="202"/>
      <c r="CV61" s="202"/>
      <c r="CW61" s="202"/>
      <c r="CX61" s="202"/>
      <c r="CY61" s="190"/>
      <c r="CZ61" s="13">
        <f t="shared" si="16"/>
        <v>0</v>
      </c>
      <c r="DA61" s="436">
        <f t="shared" si="12"/>
        <v>0</v>
      </c>
      <c r="DB61" s="879"/>
      <c r="DC61" s="39">
        <f t="shared" si="20"/>
        <v>0</v>
      </c>
      <c r="DD61" s="9"/>
      <c r="DE61" s="13">
        <f t="shared" si="19"/>
        <v>0</v>
      </c>
    </row>
    <row r="62" spans="1:109" ht="15.75" x14ac:dyDescent="0.25">
      <c r="A62" s="125">
        <v>6121</v>
      </c>
      <c r="B62" s="27" t="s">
        <v>173</v>
      </c>
      <c r="C62" s="39">
        <v>19325133</v>
      </c>
      <c r="D62" s="39">
        <v>16895310</v>
      </c>
      <c r="E62" s="39">
        <v>121967218</v>
      </c>
      <c r="F62" s="39">
        <v>79106127</v>
      </c>
      <c r="G62" s="39">
        <v>88197078</v>
      </c>
      <c r="H62" s="39">
        <v>91851856.960000008</v>
      </c>
      <c r="I62" s="39">
        <f>SUM(J62:N62)+SUM(R62:Y62)+AB62+AE62+SUM(AH62:AK62)+AN62+AQ62+AT62+AW62+AZ62+BC62+BF62+BI62+BJ62+BM62+BN62+BQ62+SUM(BT62:BU62)+BZ62+CA62+CD62+CE62+CH62+CK62+CN62+CO62+SUM(CS62:CY62)+BX62+BY62</f>
        <v>93030616.960000008</v>
      </c>
      <c r="J62" s="195"/>
      <c r="K62" s="202"/>
      <c r="L62" s="202"/>
      <c r="M62" s="202"/>
      <c r="N62" s="202"/>
      <c r="O62" s="375"/>
      <c r="P62" s="375"/>
      <c r="Q62" s="1359">
        <f>+AA62+AD62+AG62+AM62+AP62+AS62+AV62+AY62+BB62+BE62+BH62+BL62+BP62+BS62+BW62+CC62+CE62+CJ62+CM62+CR62</f>
        <v>0</v>
      </c>
      <c r="R62" s="202"/>
      <c r="S62" s="202"/>
      <c r="T62" s="202"/>
      <c r="U62" s="202"/>
      <c r="V62" s="202">
        <f>[5]Knihovna!$B$4</f>
        <v>0</v>
      </c>
      <c r="W62" s="202"/>
      <c r="X62" s="202"/>
      <c r="Y62" s="374">
        <f>[5]Byty!$B$4</f>
        <v>800000</v>
      </c>
      <c r="Z62" s="374"/>
      <c r="AA62" s="374"/>
      <c r="AB62" s="373">
        <f>[4]DPS!$B$41</f>
        <v>0</v>
      </c>
      <c r="AC62" s="691"/>
      <c r="AD62" s="691"/>
      <c r="AE62" s="373">
        <f>[5]Nebyty!$B$4</f>
        <v>8497900</v>
      </c>
      <c r="AF62" s="691"/>
      <c r="AG62" s="691"/>
      <c r="AH62" s="374">
        <f>[4]Hasiči!$B$39</f>
        <v>80000</v>
      </c>
      <c r="AI62" s="202"/>
      <c r="AJ62" s="202"/>
      <c r="AK62" s="202">
        <f>+AL62+AM62</f>
        <v>350000</v>
      </c>
      <c r="AL62" s="375">
        <f>[4]Hřbitov!$D$33</f>
        <v>350000</v>
      </c>
      <c r="AM62" s="375">
        <f>[4]Hřbitov!$E$33</f>
        <v>0</v>
      </c>
      <c r="AN62" s="202">
        <f>[5]Koupaliště!$B$4</f>
        <v>14500000</v>
      </c>
      <c r="AO62" s="375"/>
      <c r="AP62" s="375"/>
      <c r="AQ62" s="374">
        <f>+[5]ZŠ!$B$4</f>
        <v>8176819</v>
      </c>
      <c r="AR62" s="375"/>
      <c r="AS62" s="375"/>
      <c r="AT62" s="202">
        <f>'[5]Č.p. 65'!$B$4</f>
        <v>70000</v>
      </c>
      <c r="AU62" s="375"/>
      <c r="AV62" s="375"/>
      <c r="AW62" s="202"/>
      <c r="AX62" s="375"/>
      <c r="AY62" s="375"/>
      <c r="AZ62" s="202">
        <f>'[5]MŠ Pražská'!$B$4</f>
        <v>0</v>
      </c>
      <c r="BA62" s="375"/>
      <c r="BB62" s="375"/>
      <c r="BC62" s="202">
        <f>'[5]MŠ Kollárova'!$B$4</f>
        <v>2287000</v>
      </c>
      <c r="BD62" s="375"/>
      <c r="BE62" s="375"/>
      <c r="BF62" s="202">
        <f>'[5]Jídelna ZŠ'!$B$4</f>
        <v>200000</v>
      </c>
      <c r="BG62" s="375"/>
      <c r="BH62" s="375"/>
      <c r="BI62" s="202"/>
      <c r="BJ62" s="202">
        <f>'[5]MŠ Cukrovar'!$B$4</f>
        <v>30000</v>
      </c>
      <c r="BK62" s="375"/>
      <c r="BL62" s="375"/>
      <c r="BM62" s="202"/>
      <c r="BN62" s="202">
        <f>BO62+BP62</f>
        <v>2792000</v>
      </c>
      <c r="BO62" s="374">
        <f>[4]VO!$D$22</f>
        <v>2792000</v>
      </c>
      <c r="BP62" s="375">
        <f>[4]VO!$E$22</f>
        <v>0</v>
      </c>
      <c r="BQ62" s="316">
        <f>'[5]Silnice stavba'!$B$4</f>
        <v>42826897.960000001</v>
      </c>
      <c r="BR62" s="375"/>
      <c r="BS62" s="375"/>
      <c r="BT62" s="202"/>
      <c r="BU62" s="202">
        <f>[5]Vodovod!$B$4+[4]Vodovod!$B$4</f>
        <v>0</v>
      </c>
      <c r="BV62" s="375"/>
      <c r="BW62" s="375"/>
      <c r="BX62" s="202"/>
      <c r="BY62" s="316">
        <f>[5]Kanalizace!$B$4</f>
        <v>9200000</v>
      </c>
      <c r="BZ62" s="202"/>
      <c r="CA62" s="316">
        <f>'[5]Inženýrské sítě'!$B$4+'[4]Inženýrské sítě'!$B$4</f>
        <v>1000000</v>
      </c>
      <c r="CB62" s="375"/>
      <c r="CC62" s="375"/>
      <c r="CD62" s="202"/>
      <c r="CE62" s="202"/>
      <c r="CF62" s="375"/>
      <c r="CG62" s="375"/>
      <c r="CH62" s="202"/>
      <c r="CI62" s="375"/>
      <c r="CJ62" s="375"/>
      <c r="CK62" s="202"/>
      <c r="CL62" s="375"/>
      <c r="CM62" s="375"/>
      <c r="CN62" s="202">
        <f>'[2]Povodeň 3744'!$B$29</f>
        <v>0</v>
      </c>
      <c r="CO62" s="202">
        <f>[4]Příroda!$B$4</f>
        <v>0</v>
      </c>
      <c r="CP62" s="375"/>
      <c r="CQ62" s="375"/>
      <c r="CR62" s="375"/>
      <c r="CS62" s="202">
        <f>[4]Rybníky!$B$4</f>
        <v>0</v>
      </c>
      <c r="CT62" s="202">
        <f>'[2]Park Úvaly 3749-1'!$B$29</f>
        <v>2058000</v>
      </c>
      <c r="CU62" s="202">
        <f>'[2]Městská stezka 374-3'!$B$29</f>
        <v>0</v>
      </c>
      <c r="CV62" s="202"/>
      <c r="CW62" s="202">
        <f>[5]Pošembeří!$B$4+[2]Pošembeří!$B$12</f>
        <v>90000</v>
      </c>
      <c r="CX62" s="374">
        <f>[5]Cyklostezky!$B$4</f>
        <v>72000</v>
      </c>
      <c r="CY62" s="190"/>
      <c r="CZ62" s="13">
        <f>+SUM(J62:N62)+SUM(R62:Y62)+AB62+AE62+SUM(AH62:AK62)+AN62+AQ62+AT62+AW62+AZ62+BC62+BF62+BI62+BJ62+BM62+BN62+BQ62+BT62+BU62+SUM(BX62:CA62)+CD62+CE62+CH62+CK62+CN62+CO62+SUM(CS62:CY62)</f>
        <v>93030616.960000008</v>
      </c>
      <c r="DA62" s="436">
        <f>CZ62-I62</f>
        <v>0</v>
      </c>
      <c r="DB62" s="879">
        <f>I62/C62</f>
        <v>4.8139703338652318</v>
      </c>
      <c r="DC62" s="39">
        <f>+P62+AA62+AD62++AG62+AM62+AP62+AS62+AV62+AY62+BB62+BE62+BH62+BL62+BP62+BS62+BW62+CC62+CG62+CJ62+CM62+CR62</f>
        <v>0</v>
      </c>
      <c r="DD62" s="9"/>
      <c r="DE62" s="13">
        <f t="shared" si="19"/>
        <v>76135306.960000008</v>
      </c>
    </row>
    <row r="63" spans="1:109" ht="15.75" x14ac:dyDescent="0.25">
      <c r="A63" s="125">
        <v>6121</v>
      </c>
      <c r="B63" s="27" t="s">
        <v>174</v>
      </c>
      <c r="C63" s="39">
        <v>7781541.8799999999</v>
      </c>
      <c r="D63" s="39">
        <v>12614452</v>
      </c>
      <c r="E63" s="39">
        <v>12404330</v>
      </c>
      <c r="F63" s="39">
        <v>6356675</v>
      </c>
      <c r="G63" s="39">
        <v>8473335</v>
      </c>
      <c r="H63" s="39">
        <v>6770535</v>
      </c>
      <c r="I63" s="39">
        <f>SUM(J63:N63)+SUM(Q63:Y63)+AB63+AE63+SUM(AH63:AK63)+AN63+AQ63+AT63+AW63+AZ63+BC63+BF63+BI63+BJ63+BM63+BN63+BQ63+SUM(BT63:BU63)+BZ63+CA63+CD63+CE63+CH63+CK63+CN63+CO63+SUM(CS63:CY63)+BX63+BY63</f>
        <v>7322535</v>
      </c>
      <c r="J63" s="195"/>
      <c r="K63" s="202"/>
      <c r="L63" s="202">
        <f>'[6]Všebecná pokladna'!$B$64</f>
        <v>0</v>
      </c>
      <c r="M63" s="202"/>
      <c r="N63" s="202"/>
      <c r="O63" s="375"/>
      <c r="P63" s="375"/>
      <c r="Q63" s="360"/>
      <c r="R63" s="202"/>
      <c r="S63" s="202"/>
      <c r="T63" s="202"/>
      <c r="U63" s="202"/>
      <c r="V63" s="202">
        <f>[5]Knihovna!$B$5</f>
        <v>0</v>
      </c>
      <c r="W63" s="202"/>
      <c r="X63" s="202"/>
      <c r="Y63" s="373">
        <f>[5]Byty!$B$5</f>
        <v>150000</v>
      </c>
      <c r="Z63" s="691"/>
      <c r="AA63" s="691"/>
      <c r="AB63" s="373"/>
      <c r="AC63" s="691"/>
      <c r="AD63" s="691"/>
      <c r="AE63" s="373">
        <f>[5]Nebyty!$B$5</f>
        <v>47000</v>
      </c>
      <c r="AF63" s="691"/>
      <c r="AG63" s="691"/>
      <c r="AH63" s="202"/>
      <c r="AI63" s="202"/>
      <c r="AJ63" s="202"/>
      <c r="AK63" s="202"/>
      <c r="AL63" s="375"/>
      <c r="AM63" s="375"/>
      <c r="AN63" s="202">
        <f>[5]Koupaliště!$B$5</f>
        <v>400000</v>
      </c>
      <c r="AO63" s="375"/>
      <c r="AP63" s="375"/>
      <c r="AQ63" s="202">
        <f>+[5]ZŠ!$B$5</f>
        <v>733810</v>
      </c>
      <c r="AR63" s="375"/>
      <c r="AS63" s="375"/>
      <c r="AT63" s="202">
        <f>'[5]Č.p. 65'!$B$5</f>
        <v>0</v>
      </c>
      <c r="AU63" s="375"/>
      <c r="AV63" s="375"/>
      <c r="AW63" s="202"/>
      <c r="AX63" s="375"/>
      <c r="AY63" s="375"/>
      <c r="AZ63" s="202">
        <f>'[5]MŠ Pražská'!$B$5</f>
        <v>0</v>
      </c>
      <c r="BA63" s="375"/>
      <c r="BB63" s="375"/>
      <c r="BC63" s="202">
        <f>'[5]MŠ Kollárova'!$B$5</f>
        <v>0</v>
      </c>
      <c r="BD63" s="375"/>
      <c r="BE63" s="375"/>
      <c r="BF63" s="202">
        <f>'[5]Jídelna ZŠ'!$B$5</f>
        <v>80000</v>
      </c>
      <c r="BG63" s="375"/>
      <c r="BH63" s="375"/>
      <c r="BI63" s="202"/>
      <c r="BJ63" s="202">
        <f>'[5]MŠ Cukrovar'!$B$5</f>
        <v>500000</v>
      </c>
      <c r="BK63" s="375"/>
      <c r="BL63" s="375"/>
      <c r="BM63" s="202">
        <f>'[2]Územní plán 3635'!$B$29</f>
        <v>254100</v>
      </c>
      <c r="BN63" s="202"/>
      <c r="BO63" s="375"/>
      <c r="BP63" s="375"/>
      <c r="BQ63" s="316">
        <f>'[5]Silnice stavba'!$B$5</f>
        <v>4239925</v>
      </c>
      <c r="BR63" s="375"/>
      <c r="BS63" s="375"/>
      <c r="BT63" s="202"/>
      <c r="BU63" s="316">
        <f>[5]Vodovod!$B$5+[4]Vodovod!$B$5</f>
        <v>0</v>
      </c>
      <c r="BV63" s="375"/>
      <c r="BW63" s="375"/>
      <c r="BX63" s="202"/>
      <c r="BY63" s="316">
        <f>[5]Kanalizace!$B$5</f>
        <v>310000</v>
      </c>
      <c r="BZ63" s="202"/>
      <c r="CA63" s="202">
        <f>'[5]Inženýrské sítě'!$B$5</f>
        <v>0</v>
      </c>
      <c r="CB63" s="375"/>
      <c r="CC63" s="375"/>
      <c r="CD63" s="202"/>
      <c r="CE63" s="202"/>
      <c r="CF63" s="375"/>
      <c r="CG63" s="375"/>
      <c r="CH63" s="202">
        <f>'[2]Odpady 3722-34'!$B$13</f>
        <v>215700</v>
      </c>
      <c r="CI63" s="375"/>
      <c r="CJ63" s="375"/>
      <c r="CK63" s="202"/>
      <c r="CL63" s="375"/>
      <c r="CM63" s="375"/>
      <c r="CN63" s="202">
        <f>'[2]Povodeň 3744'!$B$21</f>
        <v>0</v>
      </c>
      <c r="CO63" s="202">
        <f>+'[2]Příroda 3749'!$B$23</f>
        <v>222000</v>
      </c>
      <c r="CP63" s="375"/>
      <c r="CQ63" s="375"/>
      <c r="CR63" s="375"/>
      <c r="CS63" s="202"/>
      <c r="CT63" s="202">
        <f>'[2]Park Úvaly 3749-1'!$B$96</f>
        <v>0</v>
      </c>
      <c r="CU63" s="202"/>
      <c r="CV63" s="202"/>
      <c r="CW63" s="202">
        <f>[5]Pošembeří!$B$5</f>
        <v>0</v>
      </c>
      <c r="CX63" s="316">
        <f>[5]Cyklostezky!$B$5</f>
        <v>170000</v>
      </c>
      <c r="CY63" s="190"/>
      <c r="CZ63" s="13">
        <f t="shared" si="16"/>
        <v>7322535</v>
      </c>
      <c r="DA63" s="436">
        <f t="shared" si="12"/>
        <v>0</v>
      </c>
      <c r="DB63" s="879">
        <f>I63/C63</f>
        <v>0.94101337664457829</v>
      </c>
      <c r="DC63" s="39">
        <f t="shared" si="20"/>
        <v>0</v>
      </c>
      <c r="DD63" s="9"/>
      <c r="DE63" s="13">
        <f t="shared" si="19"/>
        <v>-5291917</v>
      </c>
    </row>
    <row r="64" spans="1:109" ht="15.75" x14ac:dyDescent="0.25">
      <c r="A64" s="125">
        <v>6122</v>
      </c>
      <c r="B64" s="27" t="s">
        <v>175</v>
      </c>
      <c r="C64" s="39">
        <v>0</v>
      </c>
      <c r="D64" s="39">
        <v>0</v>
      </c>
      <c r="E64" s="39">
        <v>0</v>
      </c>
      <c r="F64" s="39">
        <v>570000</v>
      </c>
      <c r="G64" s="39">
        <v>85000</v>
      </c>
      <c r="H64" s="39">
        <v>85000</v>
      </c>
      <c r="I64" s="39">
        <f t="shared" si="21"/>
        <v>85000</v>
      </c>
      <c r="J64" s="195"/>
      <c r="K64" s="202"/>
      <c r="L64" s="202"/>
      <c r="M64" s="202"/>
      <c r="N64" s="202">
        <f>[3]Správa!$B$153</f>
        <v>0</v>
      </c>
      <c r="O64" s="375"/>
      <c r="P64" s="375"/>
      <c r="Q64" s="360"/>
      <c r="R64" s="202"/>
      <c r="S64" s="202"/>
      <c r="T64" s="202">
        <f>'[3]Městská policie'!$B$168</f>
        <v>85000</v>
      </c>
      <c r="U64" s="202"/>
      <c r="V64" s="202"/>
      <c r="W64" s="202"/>
      <c r="X64" s="202"/>
      <c r="Y64" s="202"/>
      <c r="Z64" s="375"/>
      <c r="AA64" s="375"/>
      <c r="AB64" s="202"/>
      <c r="AC64" s="375"/>
      <c r="AD64" s="375"/>
      <c r="AE64" s="202"/>
      <c r="AF64" s="375"/>
      <c r="AG64" s="375"/>
      <c r="AH64" s="202"/>
      <c r="AI64" s="202"/>
      <c r="AJ64" s="202"/>
      <c r="AK64" s="202"/>
      <c r="AL64" s="375"/>
      <c r="AM64" s="375"/>
      <c r="AN64" s="202"/>
      <c r="AO64" s="375"/>
      <c r="AP64" s="375"/>
      <c r="AQ64" s="202"/>
      <c r="AR64" s="375"/>
      <c r="AS64" s="375"/>
      <c r="AT64" s="202">
        <f>[3]č.p.65!$B$67</f>
        <v>0</v>
      </c>
      <c r="AU64" s="375"/>
      <c r="AV64" s="375"/>
      <c r="AW64" s="202"/>
      <c r="AX64" s="375"/>
      <c r="AY64" s="375"/>
      <c r="AZ64" s="202"/>
      <c r="BA64" s="375"/>
      <c r="BB64" s="375"/>
      <c r="BC64" s="202"/>
      <c r="BD64" s="375"/>
      <c r="BE64" s="375"/>
      <c r="BF64" s="202"/>
      <c r="BG64" s="375"/>
      <c r="BH64" s="375"/>
      <c r="BI64" s="202"/>
      <c r="BJ64" s="202"/>
      <c r="BK64" s="375"/>
      <c r="BL64" s="375"/>
      <c r="BM64" s="202"/>
      <c r="BN64" s="202"/>
      <c r="BO64" s="375"/>
      <c r="BP64" s="375"/>
      <c r="BQ64" s="202"/>
      <c r="BR64" s="375"/>
      <c r="BS64" s="375"/>
      <c r="BT64" s="202"/>
      <c r="BU64" s="202"/>
      <c r="BV64" s="375"/>
      <c r="BW64" s="375"/>
      <c r="BX64" s="202"/>
      <c r="BY64" s="202"/>
      <c r="BZ64" s="202"/>
      <c r="CA64" s="202"/>
      <c r="CB64" s="375"/>
      <c r="CC64" s="375"/>
      <c r="CD64" s="202"/>
      <c r="CE64" s="202"/>
      <c r="CF64" s="375"/>
      <c r="CG64" s="375"/>
      <c r="CH64" s="202"/>
      <c r="CI64" s="375"/>
      <c r="CJ64" s="375"/>
      <c r="CK64" s="202"/>
      <c r="CL64" s="375"/>
      <c r="CM64" s="375"/>
      <c r="CN64" s="202"/>
      <c r="CO64" s="202"/>
      <c r="CP64" s="375"/>
      <c r="CQ64" s="375"/>
      <c r="CR64" s="375"/>
      <c r="CS64" s="202"/>
      <c r="CT64" s="202"/>
      <c r="CU64" s="202"/>
      <c r="CV64" s="202"/>
      <c r="CW64" s="202"/>
      <c r="CX64" s="202"/>
      <c r="CY64" s="190"/>
      <c r="CZ64" s="13">
        <f t="shared" si="16"/>
        <v>85000</v>
      </c>
      <c r="DA64" s="436">
        <f t="shared" si="12"/>
        <v>0</v>
      </c>
      <c r="DB64" s="879"/>
      <c r="DC64" s="39">
        <f t="shared" si="20"/>
        <v>0</v>
      </c>
      <c r="DD64" s="9"/>
      <c r="DE64" s="13">
        <f t="shared" si="19"/>
        <v>85000</v>
      </c>
    </row>
    <row r="65" spans="1:109" ht="15.75" x14ac:dyDescent="0.25">
      <c r="A65" s="125">
        <v>6123</v>
      </c>
      <c r="B65" s="27" t="s">
        <v>176</v>
      </c>
      <c r="C65" s="39">
        <v>679000</v>
      </c>
      <c r="D65" s="39">
        <v>850000</v>
      </c>
      <c r="E65" s="39">
        <v>850000</v>
      </c>
      <c r="F65" s="39">
        <v>1081175</v>
      </c>
      <c r="G65" s="39">
        <v>350000</v>
      </c>
      <c r="H65" s="39">
        <v>350000</v>
      </c>
      <c r="I65" s="39">
        <f t="shared" si="21"/>
        <v>0</v>
      </c>
      <c r="J65" s="195"/>
      <c r="K65" s="202"/>
      <c r="L65" s="202"/>
      <c r="M65" s="202"/>
      <c r="N65" s="373">
        <f>[3]Správa!$B$160</f>
        <v>0</v>
      </c>
      <c r="O65" s="691"/>
      <c r="P65" s="691"/>
      <c r="Q65" s="360"/>
      <c r="R65" s="202">
        <f>'[3]Pečovatelská služba'!$B$100</f>
        <v>0</v>
      </c>
      <c r="S65" s="202"/>
      <c r="T65" s="202">
        <f>'[3]Městská policie'!$B$175</f>
        <v>0</v>
      </c>
      <c r="U65" s="202"/>
      <c r="V65" s="202"/>
      <c r="W65" s="202"/>
      <c r="X65" s="202"/>
      <c r="Y65" s="202"/>
      <c r="Z65" s="375"/>
      <c r="AA65" s="375"/>
      <c r="AB65" s="202"/>
      <c r="AC65" s="375"/>
      <c r="AD65" s="375"/>
      <c r="AE65" s="202"/>
      <c r="AF65" s="375"/>
      <c r="AG65" s="375"/>
      <c r="AH65" s="202">
        <f>[4]Hasiči!$B$32</f>
        <v>0</v>
      </c>
      <c r="AI65" s="202"/>
      <c r="AJ65" s="202"/>
      <c r="AK65" s="202"/>
      <c r="AL65" s="375"/>
      <c r="AM65" s="375"/>
      <c r="AN65" s="202"/>
      <c r="AO65" s="375"/>
      <c r="AP65" s="375"/>
      <c r="AQ65" s="202"/>
      <c r="AR65" s="375"/>
      <c r="AS65" s="375"/>
      <c r="AT65" s="202"/>
      <c r="AU65" s="375"/>
      <c r="AV65" s="375"/>
      <c r="AW65" s="202"/>
      <c r="AX65" s="375"/>
      <c r="AY65" s="375"/>
      <c r="AZ65" s="202"/>
      <c r="BA65" s="375"/>
      <c r="BB65" s="375"/>
      <c r="BC65" s="202"/>
      <c r="BD65" s="375"/>
      <c r="BE65" s="375"/>
      <c r="BF65" s="202"/>
      <c r="BG65" s="375"/>
      <c r="BH65" s="375"/>
      <c r="BI65" s="202"/>
      <c r="BJ65" s="202"/>
      <c r="BK65" s="375"/>
      <c r="BL65" s="375"/>
      <c r="BM65" s="202"/>
      <c r="BN65" s="202"/>
      <c r="BO65" s="375"/>
      <c r="BP65" s="375"/>
      <c r="BQ65" s="202"/>
      <c r="BR65" s="375"/>
      <c r="BS65" s="375"/>
      <c r="BT65" s="202"/>
      <c r="BU65" s="202"/>
      <c r="BV65" s="375"/>
      <c r="BW65" s="375"/>
      <c r="BX65" s="202"/>
      <c r="BY65" s="202"/>
      <c r="BZ65" s="202"/>
      <c r="CA65" s="202"/>
      <c r="CB65" s="375"/>
      <c r="CC65" s="375"/>
      <c r="CD65" s="202"/>
      <c r="CE65" s="202">
        <f>'[2]Popelnice 3722-1'!$B$29</f>
        <v>0</v>
      </c>
      <c r="CF65" s="375"/>
      <c r="CG65" s="375"/>
      <c r="CH65" s="202"/>
      <c r="CI65" s="375"/>
      <c r="CJ65" s="375"/>
      <c r="CK65" s="202"/>
      <c r="CL65" s="375"/>
      <c r="CM65" s="375"/>
      <c r="CN65" s="202"/>
      <c r="CO65" s="202"/>
      <c r="CP65" s="375"/>
      <c r="CQ65" s="375"/>
      <c r="CR65" s="375"/>
      <c r="CS65" s="202"/>
      <c r="CT65" s="202"/>
      <c r="CU65" s="202"/>
      <c r="CV65" s="202"/>
      <c r="CW65" s="202"/>
      <c r="CX65" s="202"/>
      <c r="CY65" s="190"/>
      <c r="CZ65" s="13">
        <f t="shared" si="16"/>
        <v>0</v>
      </c>
      <c r="DA65" s="436">
        <f t="shared" si="12"/>
        <v>0</v>
      </c>
      <c r="DB65" s="879">
        <f>I65/C65</f>
        <v>0</v>
      </c>
      <c r="DC65" s="39">
        <f t="shared" si="20"/>
        <v>0</v>
      </c>
      <c r="DD65" s="9"/>
      <c r="DE65" s="13">
        <f t="shared" si="19"/>
        <v>-850000</v>
      </c>
    </row>
    <row r="66" spans="1:109" ht="15.75" x14ac:dyDescent="0.25">
      <c r="A66" s="125">
        <v>6125</v>
      </c>
      <c r="B66" s="27" t="s">
        <v>177</v>
      </c>
      <c r="C66" s="39">
        <v>0</v>
      </c>
      <c r="D66" s="39">
        <v>1000000</v>
      </c>
      <c r="E66" s="39">
        <v>1000000</v>
      </c>
      <c r="F66" s="39">
        <v>638000</v>
      </c>
      <c r="G66" s="39">
        <v>12071545</v>
      </c>
      <c r="H66" s="39">
        <v>12071545</v>
      </c>
      <c r="I66" s="39">
        <f t="shared" si="21"/>
        <v>12071545</v>
      </c>
      <c r="J66" s="195"/>
      <c r="K66" s="202"/>
      <c r="L66" s="202"/>
      <c r="M66" s="202"/>
      <c r="N66" s="202">
        <f>[3]Správa!$B$167</f>
        <v>11248745</v>
      </c>
      <c r="O66" s="375"/>
      <c r="P66" s="375"/>
      <c r="Q66" s="360"/>
      <c r="R66" s="202"/>
      <c r="S66" s="202"/>
      <c r="T66" s="202">
        <f>'[3]Městská policie'!$B$182</f>
        <v>822800</v>
      </c>
      <c r="U66" s="202"/>
      <c r="V66" s="202"/>
      <c r="W66" s="202"/>
      <c r="X66" s="202"/>
      <c r="Y66" s="202"/>
      <c r="Z66" s="375"/>
      <c r="AA66" s="375"/>
      <c r="AB66" s="202"/>
      <c r="AC66" s="375"/>
      <c r="AD66" s="375"/>
      <c r="AE66" s="202"/>
      <c r="AF66" s="375"/>
      <c r="AG66" s="375"/>
      <c r="AH66" s="202"/>
      <c r="AI66" s="202"/>
      <c r="AJ66" s="202"/>
      <c r="AK66" s="202"/>
      <c r="AL66" s="375"/>
      <c r="AM66" s="375"/>
      <c r="AN66" s="202"/>
      <c r="AO66" s="375"/>
      <c r="AP66" s="375"/>
      <c r="AQ66" s="202"/>
      <c r="AR66" s="375"/>
      <c r="AS66" s="375"/>
      <c r="AT66" s="202"/>
      <c r="AU66" s="375"/>
      <c r="AV66" s="375"/>
      <c r="AW66" s="202"/>
      <c r="AX66" s="375"/>
      <c r="AY66" s="375"/>
      <c r="AZ66" s="202"/>
      <c r="BA66" s="375"/>
      <c r="BB66" s="375"/>
      <c r="BC66" s="202"/>
      <c r="BD66" s="375"/>
      <c r="BE66" s="375"/>
      <c r="BF66" s="202"/>
      <c r="BG66" s="375"/>
      <c r="BH66" s="375"/>
      <c r="BI66" s="202"/>
      <c r="BJ66" s="202"/>
      <c r="BK66" s="375"/>
      <c r="BL66" s="375"/>
      <c r="BM66" s="202"/>
      <c r="BN66" s="202"/>
      <c r="BO66" s="375"/>
      <c r="BP66" s="375"/>
      <c r="BQ66" s="202"/>
      <c r="BR66" s="375"/>
      <c r="BS66" s="375"/>
      <c r="BT66" s="202"/>
      <c r="BU66" s="202"/>
      <c r="BV66" s="375"/>
      <c r="BW66" s="375"/>
      <c r="BX66" s="202"/>
      <c r="BY66" s="202"/>
      <c r="BZ66" s="202"/>
      <c r="CA66" s="202"/>
      <c r="CB66" s="375"/>
      <c r="CC66" s="375"/>
      <c r="CD66" s="202"/>
      <c r="CE66" s="202"/>
      <c r="CF66" s="375"/>
      <c r="CG66" s="375"/>
      <c r="CH66" s="202"/>
      <c r="CI66" s="375"/>
      <c r="CJ66" s="375"/>
      <c r="CK66" s="202"/>
      <c r="CL66" s="375"/>
      <c r="CM66" s="375"/>
      <c r="CN66" s="202"/>
      <c r="CO66" s="202"/>
      <c r="CP66" s="375"/>
      <c r="CQ66" s="375"/>
      <c r="CR66" s="375"/>
      <c r="CS66" s="202"/>
      <c r="CT66" s="202"/>
      <c r="CU66" s="202"/>
      <c r="CV66" s="202"/>
      <c r="CW66" s="202"/>
      <c r="CX66" s="202"/>
      <c r="CY66" s="190"/>
      <c r="CZ66" s="13">
        <f t="shared" si="16"/>
        <v>12071545</v>
      </c>
      <c r="DA66" s="436">
        <f t="shared" si="12"/>
        <v>0</v>
      </c>
      <c r="DB66" s="879"/>
      <c r="DC66" s="39">
        <f t="shared" si="20"/>
        <v>0</v>
      </c>
      <c r="DD66" s="9"/>
      <c r="DE66" s="13">
        <f t="shared" si="19"/>
        <v>11071545</v>
      </c>
    </row>
    <row r="67" spans="1:109" ht="15.75" x14ac:dyDescent="0.25">
      <c r="A67" s="125">
        <v>6129</v>
      </c>
      <c r="B67" s="27" t="s">
        <v>178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f t="shared" si="21"/>
        <v>0</v>
      </c>
      <c r="J67" s="195"/>
      <c r="K67" s="202"/>
      <c r="L67" s="202"/>
      <c r="M67" s="202"/>
      <c r="N67" s="202"/>
      <c r="O67" s="375"/>
      <c r="P67" s="375"/>
      <c r="Q67" s="360"/>
      <c r="R67" s="202"/>
      <c r="S67" s="202"/>
      <c r="T67" s="202"/>
      <c r="U67" s="202"/>
      <c r="V67" s="202"/>
      <c r="W67" s="202"/>
      <c r="X67" s="202"/>
      <c r="Y67" s="202"/>
      <c r="Z67" s="375"/>
      <c r="AA67" s="375"/>
      <c r="AB67" s="202"/>
      <c r="AC67" s="375"/>
      <c r="AD67" s="375"/>
      <c r="AE67" s="202"/>
      <c r="AF67" s="375"/>
      <c r="AG67" s="375"/>
      <c r="AH67" s="202"/>
      <c r="AI67" s="202"/>
      <c r="AJ67" s="202"/>
      <c r="AK67" s="202"/>
      <c r="AL67" s="375"/>
      <c r="AM67" s="375"/>
      <c r="AN67" s="202"/>
      <c r="AO67" s="375"/>
      <c r="AP67" s="375"/>
      <c r="AQ67" s="202"/>
      <c r="AR67" s="375"/>
      <c r="AS67" s="375"/>
      <c r="AT67" s="202"/>
      <c r="AU67" s="375"/>
      <c r="AV67" s="375"/>
      <c r="AW67" s="202"/>
      <c r="AX67" s="375"/>
      <c r="AY67" s="375"/>
      <c r="AZ67" s="202"/>
      <c r="BA67" s="375"/>
      <c r="BB67" s="375"/>
      <c r="BC67" s="202"/>
      <c r="BD67" s="375"/>
      <c r="BE67" s="375"/>
      <c r="BF67" s="202"/>
      <c r="BG67" s="375"/>
      <c r="BH67" s="375"/>
      <c r="BI67" s="202"/>
      <c r="BJ67" s="202"/>
      <c r="BK67" s="375"/>
      <c r="BL67" s="375"/>
      <c r="BM67" s="202"/>
      <c r="BN67" s="202"/>
      <c r="BO67" s="375"/>
      <c r="BP67" s="375"/>
      <c r="BQ67" s="202"/>
      <c r="BR67" s="375"/>
      <c r="BS67" s="375"/>
      <c r="BT67" s="202"/>
      <c r="BU67" s="202"/>
      <c r="BV67" s="375"/>
      <c r="BW67" s="375"/>
      <c r="BX67" s="202"/>
      <c r="BY67" s="202"/>
      <c r="BZ67" s="202"/>
      <c r="CA67" s="202"/>
      <c r="CB67" s="375"/>
      <c r="CC67" s="375"/>
      <c r="CD67" s="202"/>
      <c r="CE67" s="202"/>
      <c r="CF67" s="375"/>
      <c r="CG67" s="375"/>
      <c r="CH67" s="202"/>
      <c r="CI67" s="375"/>
      <c r="CJ67" s="375"/>
      <c r="CK67" s="202"/>
      <c r="CL67" s="375"/>
      <c r="CM67" s="375"/>
      <c r="CN67" s="202"/>
      <c r="CO67" s="202"/>
      <c r="CP67" s="375"/>
      <c r="CQ67" s="375"/>
      <c r="CR67" s="375"/>
      <c r="CS67" s="202"/>
      <c r="CT67" s="202"/>
      <c r="CU67" s="202"/>
      <c r="CV67" s="202"/>
      <c r="CW67" s="202"/>
      <c r="CX67" s="202"/>
      <c r="CY67" s="190"/>
      <c r="CZ67" s="13">
        <f t="shared" si="16"/>
        <v>0</v>
      </c>
      <c r="DA67" s="436">
        <f t="shared" si="12"/>
        <v>0</v>
      </c>
      <c r="DB67" s="879"/>
      <c r="DC67" s="39">
        <f t="shared" si="20"/>
        <v>0</v>
      </c>
      <c r="DD67" s="9"/>
      <c r="DE67" s="13">
        <f t="shared" si="19"/>
        <v>0</v>
      </c>
    </row>
    <row r="68" spans="1:109" ht="15.75" x14ac:dyDescent="0.25">
      <c r="A68" s="125">
        <v>6130</v>
      </c>
      <c r="B68" s="27" t="s">
        <v>179</v>
      </c>
      <c r="C68" s="39">
        <v>6679730</v>
      </c>
      <c r="D68" s="39">
        <v>1577700</v>
      </c>
      <c r="E68" s="39">
        <v>3577700</v>
      </c>
      <c r="F68" s="39">
        <v>4562700</v>
      </c>
      <c r="G68" s="39">
        <v>1100000</v>
      </c>
      <c r="H68" s="39">
        <v>600000</v>
      </c>
      <c r="I68" s="39">
        <f t="shared" si="21"/>
        <v>584500</v>
      </c>
      <c r="J68" s="195"/>
      <c r="K68" s="202"/>
      <c r="L68" s="202">
        <f>'[6]Všebecná pokladna'!$B$58+'[4]Všeob. pokladna'!$B$25+'[2]Všeobecná pokladna 6409'!$B$30</f>
        <v>20000</v>
      </c>
      <c r="M68" s="202"/>
      <c r="N68" s="202"/>
      <c r="O68" s="375"/>
      <c r="P68" s="375"/>
      <c r="Q68" s="360"/>
      <c r="R68" s="202"/>
      <c r="S68" s="202"/>
      <c r="T68" s="202"/>
      <c r="U68" s="202"/>
      <c r="V68" s="202"/>
      <c r="W68" s="202"/>
      <c r="X68" s="202"/>
      <c r="Y68" s="202"/>
      <c r="Z68" s="375"/>
      <c r="AA68" s="375"/>
      <c r="AB68" s="202"/>
      <c r="AC68" s="375"/>
      <c r="AD68" s="375"/>
      <c r="AE68" s="202"/>
      <c r="AF68" s="375"/>
      <c r="AG68" s="375"/>
      <c r="AH68" s="202"/>
      <c r="AI68" s="202"/>
      <c r="AJ68" s="202"/>
      <c r="AK68" s="202"/>
      <c r="AL68" s="375"/>
      <c r="AM68" s="375"/>
      <c r="AN68" s="202"/>
      <c r="AO68" s="375"/>
      <c r="AP68" s="375"/>
      <c r="AQ68" s="202"/>
      <c r="AR68" s="375"/>
      <c r="AS68" s="375"/>
      <c r="AT68" s="202"/>
      <c r="AU68" s="375"/>
      <c r="AV68" s="375"/>
      <c r="AW68" s="202"/>
      <c r="AX68" s="375"/>
      <c r="AY68" s="375"/>
      <c r="AZ68" s="202"/>
      <c r="BA68" s="375"/>
      <c r="BB68" s="375"/>
      <c r="BC68" s="202"/>
      <c r="BD68" s="375"/>
      <c r="BE68" s="375"/>
      <c r="BF68" s="202"/>
      <c r="BG68" s="375"/>
      <c r="BH68" s="375"/>
      <c r="BI68" s="202"/>
      <c r="BJ68" s="202"/>
      <c r="BK68" s="375"/>
      <c r="BL68" s="375"/>
      <c r="BM68" s="202"/>
      <c r="BN68" s="202"/>
      <c r="BO68" s="375"/>
      <c r="BP68" s="375"/>
      <c r="BQ68" s="202">
        <f>'[5]Silnice - pozemky'!$B$4+'[2]Silnice-2212'!$B$4</f>
        <v>564500</v>
      </c>
      <c r="BR68" s="375"/>
      <c r="BS68" s="375"/>
      <c r="BT68" s="202"/>
      <c r="BU68" s="202"/>
      <c r="BV68" s="375"/>
      <c r="BW68" s="375"/>
      <c r="BX68" s="202"/>
      <c r="BY68" s="202"/>
      <c r="BZ68" s="202"/>
      <c r="CA68" s="202"/>
      <c r="CB68" s="375"/>
      <c r="CC68" s="375"/>
      <c r="CD68" s="202"/>
      <c r="CE68" s="202"/>
      <c r="CF68" s="375"/>
      <c r="CG68" s="375"/>
      <c r="CH68" s="202"/>
      <c r="CI68" s="375"/>
      <c r="CJ68" s="375"/>
      <c r="CK68" s="202"/>
      <c r="CL68" s="375"/>
      <c r="CM68" s="375"/>
      <c r="CN68" s="202"/>
      <c r="CO68" s="202"/>
      <c r="CP68" s="375"/>
      <c r="CQ68" s="375"/>
      <c r="CR68" s="375"/>
      <c r="CS68" s="202"/>
      <c r="CT68" s="202"/>
      <c r="CU68" s="202"/>
      <c r="CV68" s="202"/>
      <c r="CW68" s="202"/>
      <c r="CX68" s="202"/>
      <c r="CY68" s="190"/>
      <c r="CZ68" s="13">
        <f t="shared" si="16"/>
        <v>584500</v>
      </c>
      <c r="DA68" s="436">
        <f t="shared" si="12"/>
        <v>0</v>
      </c>
      <c r="DB68" s="879">
        <f>I68/C68</f>
        <v>8.750353681960199E-2</v>
      </c>
      <c r="DC68" s="39">
        <f t="shared" si="20"/>
        <v>0</v>
      </c>
      <c r="DD68" s="9"/>
      <c r="DE68" s="13">
        <f t="shared" si="19"/>
        <v>-993200</v>
      </c>
    </row>
    <row r="69" spans="1:109" s="1694" customFormat="1" ht="15.75" x14ac:dyDescent="0.25">
      <c r="A69" s="384">
        <v>6351</v>
      </c>
      <c r="B69" s="385" t="s">
        <v>502</v>
      </c>
      <c r="C69" s="386">
        <v>2061935</v>
      </c>
      <c r="D69" s="386">
        <v>3700000</v>
      </c>
      <c r="E69" s="386">
        <v>4057816</v>
      </c>
      <c r="F69" s="386">
        <v>4257850</v>
      </c>
      <c r="G69" s="386">
        <v>3640000</v>
      </c>
      <c r="H69" s="386">
        <v>3640000</v>
      </c>
      <c r="I69" s="386">
        <f>SUM(J69:N69)+SUM(Q69:Y69)+AB69+AE69+SUM(AH69:AK69)+AN69+AQ69+AT69+AW69+AZ69+BC69+BF69+BI69+BJ69+BM69+BN69+BQ69+SUM(BT69:BU69)+BZ69+CA69+CD69+CE69+CH69+CK69+CN69+CO69+SUM(CS69:CY69)+BX69+BY69</f>
        <v>3640000</v>
      </c>
      <c r="J69" s="387"/>
      <c r="K69" s="375"/>
      <c r="L69" s="375"/>
      <c r="M69" s="375"/>
      <c r="N69" s="375"/>
      <c r="O69" s="375"/>
      <c r="P69" s="375"/>
      <c r="Q69" s="316">
        <f>[5]TSÚ!$B$4</f>
        <v>3640000</v>
      </c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5"/>
      <c r="AM69" s="375"/>
      <c r="AN69" s="375"/>
      <c r="AO69" s="375"/>
      <c r="AP69" s="375"/>
      <c r="AQ69" s="375"/>
      <c r="AR69" s="375"/>
      <c r="AS69" s="375"/>
      <c r="AT69" s="375"/>
      <c r="AU69" s="375"/>
      <c r="AV69" s="375"/>
      <c r="AW69" s="375"/>
      <c r="AX69" s="375"/>
      <c r="AY69" s="375"/>
      <c r="AZ69" s="375"/>
      <c r="BA69" s="375"/>
      <c r="BB69" s="375"/>
      <c r="BC69" s="375"/>
      <c r="BD69" s="375"/>
      <c r="BE69" s="375"/>
      <c r="BF69" s="375"/>
      <c r="BG69" s="375"/>
      <c r="BH69" s="375"/>
      <c r="BI69" s="375"/>
      <c r="BJ69" s="375"/>
      <c r="BK69" s="375"/>
      <c r="BL69" s="375"/>
      <c r="BM69" s="375"/>
      <c r="BN69" s="375"/>
      <c r="BO69" s="375"/>
      <c r="BP69" s="375"/>
      <c r="BQ69" s="375"/>
      <c r="BR69" s="375"/>
      <c r="BS69" s="375"/>
      <c r="BT69" s="375"/>
      <c r="BU69" s="375"/>
      <c r="BV69" s="375"/>
      <c r="BW69" s="375"/>
      <c r="BX69" s="375"/>
      <c r="BY69" s="375"/>
      <c r="BZ69" s="375"/>
      <c r="CA69" s="375"/>
      <c r="CB69" s="375"/>
      <c r="CC69" s="375"/>
      <c r="CD69" s="375"/>
      <c r="CE69" s="375"/>
      <c r="CF69" s="375"/>
      <c r="CG69" s="375"/>
      <c r="CH69" s="375"/>
      <c r="CI69" s="375"/>
      <c r="CJ69" s="375"/>
      <c r="CK69" s="375"/>
      <c r="CL69" s="375"/>
      <c r="CM69" s="375"/>
      <c r="CN69" s="375"/>
      <c r="CO69" s="375"/>
      <c r="CP69" s="375"/>
      <c r="CQ69" s="375"/>
      <c r="CR69" s="375"/>
      <c r="CS69" s="375"/>
      <c r="CT69" s="375"/>
      <c r="CU69" s="375"/>
      <c r="CV69" s="375"/>
      <c r="CW69" s="375"/>
      <c r="CX69" s="375"/>
      <c r="CY69" s="388"/>
      <c r="CZ69" s="13">
        <f t="shared" si="16"/>
        <v>3640000</v>
      </c>
      <c r="DA69" s="436">
        <f t="shared" si="12"/>
        <v>0</v>
      </c>
      <c r="DB69" s="879">
        <f>I69/C69</f>
        <v>1.7653320788482663</v>
      </c>
      <c r="DC69" s="386">
        <f t="shared" si="20"/>
        <v>0</v>
      </c>
      <c r="DD69" s="144"/>
      <c r="DE69" s="13">
        <f t="shared" si="19"/>
        <v>-60000</v>
      </c>
    </row>
    <row r="70" spans="1:109" ht="15.75" x14ac:dyDescent="0.25">
      <c r="A70" s="125">
        <v>8115</v>
      </c>
      <c r="B70" s="27" t="s">
        <v>180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f t="shared" si="21"/>
        <v>0</v>
      </c>
      <c r="J70" s="195"/>
      <c r="K70" s="202"/>
      <c r="L70" s="202"/>
      <c r="M70" s="202"/>
      <c r="N70" s="202"/>
      <c r="O70" s="375"/>
      <c r="P70" s="375"/>
      <c r="Q70" s="360"/>
      <c r="R70" s="202"/>
      <c r="S70" s="202"/>
      <c r="T70" s="202"/>
      <c r="U70" s="202"/>
      <c r="V70" s="202"/>
      <c r="W70" s="202"/>
      <c r="X70" s="202"/>
      <c r="Y70" s="202"/>
      <c r="Z70" s="375"/>
      <c r="AA70" s="375"/>
      <c r="AB70" s="202"/>
      <c r="AC70" s="375"/>
      <c r="AD70" s="375"/>
      <c r="AE70" s="202"/>
      <c r="AF70" s="375"/>
      <c r="AG70" s="375"/>
      <c r="AH70" s="202"/>
      <c r="AI70" s="202"/>
      <c r="AJ70" s="202"/>
      <c r="AK70" s="202"/>
      <c r="AL70" s="375"/>
      <c r="AM70" s="375"/>
      <c r="AN70" s="202"/>
      <c r="AO70" s="375"/>
      <c r="AP70" s="375"/>
      <c r="AQ70" s="202"/>
      <c r="AR70" s="375"/>
      <c r="AS70" s="375"/>
      <c r="AT70" s="202"/>
      <c r="AU70" s="375"/>
      <c r="AV70" s="375"/>
      <c r="AW70" s="202"/>
      <c r="AX70" s="375"/>
      <c r="AY70" s="375"/>
      <c r="AZ70" s="202"/>
      <c r="BA70" s="375"/>
      <c r="BB70" s="375"/>
      <c r="BC70" s="202"/>
      <c r="BD70" s="375"/>
      <c r="BE70" s="375"/>
      <c r="BF70" s="202"/>
      <c r="BG70" s="375"/>
      <c r="BH70" s="375"/>
      <c r="BI70" s="202"/>
      <c r="BJ70" s="202"/>
      <c r="BK70" s="375"/>
      <c r="BL70" s="375"/>
      <c r="BM70" s="202"/>
      <c r="BN70" s="202"/>
      <c r="BO70" s="375"/>
      <c r="BP70" s="375"/>
      <c r="BQ70" s="202"/>
      <c r="BR70" s="375"/>
      <c r="BS70" s="375"/>
      <c r="BT70" s="202"/>
      <c r="BU70" s="202"/>
      <c r="BV70" s="375"/>
      <c r="BW70" s="375"/>
      <c r="BX70" s="202"/>
      <c r="BY70" s="202"/>
      <c r="BZ70" s="202"/>
      <c r="CA70" s="202"/>
      <c r="CB70" s="375"/>
      <c r="CC70" s="375"/>
      <c r="CD70" s="202"/>
      <c r="CE70" s="202"/>
      <c r="CF70" s="375"/>
      <c r="CG70" s="375"/>
      <c r="CH70" s="202"/>
      <c r="CI70" s="375"/>
      <c r="CJ70" s="375"/>
      <c r="CK70" s="202"/>
      <c r="CL70" s="375"/>
      <c r="CM70" s="375"/>
      <c r="CN70" s="202"/>
      <c r="CO70" s="202"/>
      <c r="CP70" s="375"/>
      <c r="CQ70" s="375"/>
      <c r="CR70" s="375"/>
      <c r="CS70" s="202"/>
      <c r="CT70" s="202"/>
      <c r="CU70" s="202"/>
      <c r="CV70" s="202"/>
      <c r="CW70" s="202"/>
      <c r="CX70" s="202"/>
      <c r="CY70" s="190"/>
      <c r="CZ70" s="13">
        <f t="shared" si="16"/>
        <v>0</v>
      </c>
      <c r="DA70" s="436">
        <f t="shared" si="12"/>
        <v>0</v>
      </c>
      <c r="DB70" s="879"/>
      <c r="DC70" s="39">
        <f t="shared" si="20"/>
        <v>0</v>
      </c>
      <c r="DD70" s="9"/>
      <c r="DE70" s="13">
        <f t="shared" si="19"/>
        <v>0</v>
      </c>
    </row>
    <row r="71" spans="1:109" ht="15.75" x14ac:dyDescent="0.25">
      <c r="A71" s="125">
        <v>8115</v>
      </c>
      <c r="B71" s="27" t="s">
        <v>1625</v>
      </c>
      <c r="C71" s="39">
        <v>233066.91260001063</v>
      </c>
      <c r="D71" s="39">
        <v>3018857.8000000101</v>
      </c>
      <c r="E71" s="39">
        <v>108680.80000001192</v>
      </c>
      <c r="F71" s="39">
        <v>1134132.97199997</v>
      </c>
      <c r="G71" s="39">
        <v>377443</v>
      </c>
      <c r="H71" s="39">
        <v>234962.68239998817</v>
      </c>
      <c r="I71" s="39">
        <f t="shared" si="21"/>
        <v>185374.26239997149</v>
      </c>
      <c r="J71" s="195"/>
      <c r="K71" s="202"/>
      <c r="L71" s="316">
        <v>185374.26239997149</v>
      </c>
      <c r="M71" s="202"/>
      <c r="N71" s="202"/>
      <c r="O71" s="375"/>
      <c r="P71" s="375"/>
      <c r="Q71" s="360"/>
      <c r="R71" s="202"/>
      <c r="S71" s="202"/>
      <c r="T71" s="202"/>
      <c r="U71" s="202"/>
      <c r="V71" s="202"/>
      <c r="W71" s="202"/>
      <c r="X71" s="202"/>
      <c r="Y71" s="202"/>
      <c r="Z71" s="375"/>
      <c r="AA71" s="375"/>
      <c r="AB71" s="202"/>
      <c r="AC71" s="375"/>
      <c r="AD71" s="375"/>
      <c r="AE71" s="202"/>
      <c r="AF71" s="375"/>
      <c r="AG71" s="375"/>
      <c r="AH71" s="202"/>
      <c r="AI71" s="202"/>
      <c r="AJ71" s="202"/>
      <c r="AK71" s="202"/>
      <c r="AL71" s="375"/>
      <c r="AM71" s="375"/>
      <c r="AN71" s="202"/>
      <c r="AO71" s="375"/>
      <c r="AP71" s="375"/>
      <c r="AQ71" s="202"/>
      <c r="AR71" s="375"/>
      <c r="AS71" s="375"/>
      <c r="AT71" s="202"/>
      <c r="AU71" s="375"/>
      <c r="AV71" s="375"/>
      <c r="AW71" s="202"/>
      <c r="AX71" s="375"/>
      <c r="AY71" s="375"/>
      <c r="AZ71" s="202"/>
      <c r="BA71" s="375"/>
      <c r="BB71" s="375"/>
      <c r="BC71" s="202"/>
      <c r="BD71" s="375"/>
      <c r="BE71" s="375"/>
      <c r="BF71" s="202"/>
      <c r="BG71" s="375"/>
      <c r="BH71" s="375"/>
      <c r="BI71" s="202"/>
      <c r="BJ71" s="202"/>
      <c r="BK71" s="375"/>
      <c r="BL71" s="375"/>
      <c r="BM71" s="202"/>
      <c r="BN71" s="202"/>
      <c r="BO71" s="375"/>
      <c r="BP71" s="375"/>
      <c r="BQ71" s="202"/>
      <c r="BR71" s="375"/>
      <c r="BS71" s="375"/>
      <c r="BT71" s="202"/>
      <c r="BU71" s="202"/>
      <c r="BV71" s="375"/>
      <c r="BW71" s="375"/>
      <c r="BX71" s="202"/>
      <c r="BY71" s="202"/>
      <c r="BZ71" s="202"/>
      <c r="CA71" s="202"/>
      <c r="CB71" s="375"/>
      <c r="CC71" s="375"/>
      <c r="CD71" s="202"/>
      <c r="CE71" s="202"/>
      <c r="CF71" s="375"/>
      <c r="CG71" s="375"/>
      <c r="CH71" s="202"/>
      <c r="CI71" s="375"/>
      <c r="CJ71" s="375"/>
      <c r="CK71" s="202"/>
      <c r="CL71" s="375"/>
      <c r="CM71" s="375"/>
      <c r="CN71" s="202"/>
      <c r="CO71" s="202"/>
      <c r="CP71" s="375"/>
      <c r="CQ71" s="375"/>
      <c r="CR71" s="375"/>
      <c r="CS71" s="202"/>
      <c r="CT71" s="202"/>
      <c r="CU71" s="202"/>
      <c r="CV71" s="202"/>
      <c r="CW71" s="202"/>
      <c r="CX71" s="202"/>
      <c r="CY71" s="190"/>
      <c r="CZ71" s="13">
        <f t="shared" si="16"/>
        <v>185374.26239997149</v>
      </c>
      <c r="DA71" s="436">
        <f t="shared" si="12"/>
        <v>0</v>
      </c>
      <c r="DB71" s="879">
        <f>I71/C71</f>
        <v>0.79536927971458027</v>
      </c>
      <c r="DC71" s="39">
        <f t="shared" si="20"/>
        <v>0</v>
      </c>
      <c r="DD71" s="9"/>
      <c r="DE71" s="13">
        <f t="shared" si="19"/>
        <v>-2833483.5376000386</v>
      </c>
    </row>
    <row r="72" spans="1:109" ht="15.75" x14ac:dyDescent="0.25">
      <c r="A72" s="125">
        <v>6349</v>
      </c>
      <c r="B72" s="27" t="s">
        <v>1640</v>
      </c>
      <c r="C72" s="39">
        <v>1500000</v>
      </c>
      <c r="D72" s="39">
        <v>1500000</v>
      </c>
      <c r="E72" s="39">
        <v>1500000</v>
      </c>
      <c r="F72" s="39">
        <v>1500000</v>
      </c>
      <c r="G72" s="39">
        <v>1500000</v>
      </c>
      <c r="H72" s="39">
        <v>500000</v>
      </c>
      <c r="I72" s="39">
        <f t="shared" si="21"/>
        <v>1245000</v>
      </c>
      <c r="J72" s="195"/>
      <c r="K72" s="202"/>
      <c r="L72" s="202">
        <f>'[6]Všebecná pokladna'!$B$73</f>
        <v>1245000</v>
      </c>
      <c r="M72" s="202"/>
      <c r="N72" s="202"/>
      <c r="O72" s="375"/>
      <c r="P72" s="375"/>
      <c r="Q72" s="360"/>
      <c r="R72" s="202"/>
      <c r="S72" s="202"/>
      <c r="T72" s="202"/>
      <c r="U72" s="202"/>
      <c r="V72" s="202"/>
      <c r="W72" s="202"/>
      <c r="X72" s="202"/>
      <c r="Y72" s="202"/>
      <c r="Z72" s="375"/>
      <c r="AA72" s="375"/>
      <c r="AB72" s="202"/>
      <c r="AC72" s="375"/>
      <c r="AD72" s="375"/>
      <c r="AE72" s="202"/>
      <c r="AF72" s="375"/>
      <c r="AG72" s="375"/>
      <c r="AH72" s="202"/>
      <c r="AI72" s="202"/>
      <c r="AJ72" s="202"/>
      <c r="AK72" s="202"/>
      <c r="AL72" s="375"/>
      <c r="AM72" s="375"/>
      <c r="AN72" s="202"/>
      <c r="AO72" s="375"/>
      <c r="AP72" s="375"/>
      <c r="AQ72" s="202"/>
      <c r="AR72" s="375"/>
      <c r="AS72" s="375"/>
      <c r="AT72" s="202"/>
      <c r="AU72" s="375"/>
      <c r="AV72" s="375"/>
      <c r="AW72" s="202"/>
      <c r="AX72" s="375"/>
      <c r="AY72" s="375"/>
      <c r="AZ72" s="202"/>
      <c r="BA72" s="375"/>
      <c r="BB72" s="375"/>
      <c r="BC72" s="202"/>
      <c r="BD72" s="375"/>
      <c r="BE72" s="375"/>
      <c r="BF72" s="202"/>
      <c r="BG72" s="375"/>
      <c r="BH72" s="375"/>
      <c r="BI72" s="202"/>
      <c r="BJ72" s="202"/>
      <c r="BK72" s="375"/>
      <c r="BL72" s="375"/>
      <c r="BM72" s="202"/>
      <c r="BN72" s="202"/>
      <c r="BO72" s="375"/>
      <c r="BP72" s="375"/>
      <c r="BQ72" s="202"/>
      <c r="BR72" s="375"/>
      <c r="BS72" s="375"/>
      <c r="BT72" s="202"/>
      <c r="BU72" s="202"/>
      <c r="BV72" s="375"/>
      <c r="BW72" s="375"/>
      <c r="BX72" s="202"/>
      <c r="BY72" s="202"/>
      <c r="BZ72" s="202"/>
      <c r="CA72" s="202"/>
      <c r="CB72" s="375"/>
      <c r="CC72" s="375"/>
      <c r="CD72" s="202"/>
      <c r="CE72" s="202"/>
      <c r="CF72" s="375"/>
      <c r="CG72" s="375"/>
      <c r="CH72" s="202"/>
      <c r="CI72" s="375"/>
      <c r="CJ72" s="375"/>
      <c r="CK72" s="202"/>
      <c r="CL72" s="375"/>
      <c r="CM72" s="375"/>
      <c r="CN72" s="202"/>
      <c r="CO72" s="202"/>
      <c r="CP72" s="375"/>
      <c r="CQ72" s="375"/>
      <c r="CR72" s="375"/>
      <c r="CS72" s="202"/>
      <c r="CT72" s="202"/>
      <c r="CU72" s="202"/>
      <c r="CV72" s="202"/>
      <c r="CW72" s="202"/>
      <c r="CX72" s="202"/>
      <c r="CY72" s="190"/>
      <c r="CZ72" s="13">
        <f t="shared" si="16"/>
        <v>1245000</v>
      </c>
      <c r="DA72" s="436">
        <f t="shared" si="12"/>
        <v>0</v>
      </c>
      <c r="DB72" s="879">
        <f>I72/C72</f>
        <v>0.83</v>
      </c>
      <c r="DC72" s="39">
        <f t="shared" si="20"/>
        <v>0</v>
      </c>
      <c r="DD72" s="9"/>
      <c r="DE72" s="13">
        <f t="shared" si="19"/>
        <v>-255000</v>
      </c>
    </row>
    <row r="73" spans="1:109" s="1709" customFormat="1" ht="16.5" thickBot="1" x14ac:dyDescent="0.3">
      <c r="A73" s="151" t="s">
        <v>183</v>
      </c>
      <c r="B73" s="152" t="s">
        <v>184</v>
      </c>
      <c r="C73" s="153">
        <f>SUM(C61:C72)</f>
        <v>38260406.792600006</v>
      </c>
      <c r="D73" s="153">
        <v>41156319.800000012</v>
      </c>
      <c r="E73" s="153">
        <v>145465744.80000001</v>
      </c>
      <c r="F73" s="153">
        <v>147520534.89199999</v>
      </c>
      <c r="G73" s="153">
        <v>115794401</v>
      </c>
      <c r="H73" s="153">
        <v>116103899.6424</v>
      </c>
      <c r="I73" s="153">
        <f>SUM(I61:I72)</f>
        <v>118164571.22239998</v>
      </c>
      <c r="J73" s="196">
        <f t="shared" ref="J73:BQ73" si="22">SUM(J61:J72)</f>
        <v>0</v>
      </c>
      <c r="K73" s="203">
        <f t="shared" si="22"/>
        <v>0</v>
      </c>
      <c r="L73" s="203">
        <f t="shared" si="22"/>
        <v>1450374.2623999715</v>
      </c>
      <c r="M73" s="203">
        <f t="shared" si="22"/>
        <v>0</v>
      </c>
      <c r="N73" s="203">
        <f t="shared" si="22"/>
        <v>11248745</v>
      </c>
      <c r="O73" s="688">
        <f>SUM(O61:O72)</f>
        <v>0</v>
      </c>
      <c r="P73" s="688">
        <f>SUM(P61:P72)</f>
        <v>0</v>
      </c>
      <c r="Q73" s="361">
        <f>SUM(Q69:Q72)</f>
        <v>3640000</v>
      </c>
      <c r="R73" s="203">
        <f t="shared" si="22"/>
        <v>0</v>
      </c>
      <c r="S73" s="203">
        <f t="shared" si="22"/>
        <v>0</v>
      </c>
      <c r="T73" s="203">
        <f t="shared" si="22"/>
        <v>907800</v>
      </c>
      <c r="U73" s="203">
        <f t="shared" si="22"/>
        <v>0</v>
      </c>
      <c r="V73" s="203">
        <f t="shared" si="22"/>
        <v>0</v>
      </c>
      <c r="W73" s="203">
        <f t="shared" si="22"/>
        <v>0</v>
      </c>
      <c r="X73" s="203">
        <f t="shared" si="22"/>
        <v>0</v>
      </c>
      <c r="Y73" s="203">
        <f t="shared" si="22"/>
        <v>950000</v>
      </c>
      <c r="Z73" s="688">
        <f>SUM(Z61:Z72)</f>
        <v>0</v>
      </c>
      <c r="AA73" s="688">
        <f>SUM(AA61:AA72)</f>
        <v>0</v>
      </c>
      <c r="AB73" s="203">
        <f t="shared" si="22"/>
        <v>0</v>
      </c>
      <c r="AC73" s="688">
        <f>SUM(AC61:AC72)</f>
        <v>0</v>
      </c>
      <c r="AD73" s="688">
        <f>SUM(AD61:AD72)</f>
        <v>0</v>
      </c>
      <c r="AE73" s="203">
        <f t="shared" si="22"/>
        <v>8544900</v>
      </c>
      <c r="AF73" s="688">
        <f>SUM(AF61:AF72)</f>
        <v>0</v>
      </c>
      <c r="AG73" s="688">
        <f>SUM(AG61:AG72)</f>
        <v>0</v>
      </c>
      <c r="AH73" s="203">
        <f t="shared" si="22"/>
        <v>80000</v>
      </c>
      <c r="AI73" s="203">
        <f t="shared" si="22"/>
        <v>0</v>
      </c>
      <c r="AJ73" s="203">
        <f t="shared" si="22"/>
        <v>0</v>
      </c>
      <c r="AK73" s="203">
        <f t="shared" si="22"/>
        <v>350000</v>
      </c>
      <c r="AL73" s="688">
        <f>SUM(AL61:AL72)</f>
        <v>350000</v>
      </c>
      <c r="AM73" s="688">
        <f>SUM(AM61:AM72)</f>
        <v>0</v>
      </c>
      <c r="AN73" s="203">
        <f t="shared" si="22"/>
        <v>14900000</v>
      </c>
      <c r="AO73" s="688">
        <f>SUM(AO61:AO72)</f>
        <v>0</v>
      </c>
      <c r="AP73" s="688">
        <f>SUM(AP61:AP72)</f>
        <v>0</v>
      </c>
      <c r="AQ73" s="203">
        <f t="shared" si="22"/>
        <v>8910629</v>
      </c>
      <c r="AR73" s="688">
        <f t="shared" si="22"/>
        <v>0</v>
      </c>
      <c r="AS73" s="688">
        <f t="shared" si="22"/>
        <v>0</v>
      </c>
      <c r="AT73" s="203">
        <f t="shared" si="22"/>
        <v>70000</v>
      </c>
      <c r="AU73" s="688">
        <f t="shared" si="22"/>
        <v>0</v>
      </c>
      <c r="AV73" s="688">
        <f t="shared" si="22"/>
        <v>0</v>
      </c>
      <c r="AW73" s="203">
        <f t="shared" si="22"/>
        <v>0</v>
      </c>
      <c r="AX73" s="688">
        <f t="shared" si="22"/>
        <v>0</v>
      </c>
      <c r="AY73" s="688">
        <f t="shared" si="22"/>
        <v>0</v>
      </c>
      <c r="AZ73" s="203">
        <f t="shared" si="22"/>
        <v>0</v>
      </c>
      <c r="BA73" s="688">
        <f t="shared" si="22"/>
        <v>0</v>
      </c>
      <c r="BB73" s="688">
        <f t="shared" si="22"/>
        <v>0</v>
      </c>
      <c r="BC73" s="203">
        <f t="shared" si="22"/>
        <v>2287000</v>
      </c>
      <c r="BD73" s="688">
        <f t="shared" si="22"/>
        <v>0</v>
      </c>
      <c r="BE73" s="688">
        <f t="shared" si="22"/>
        <v>0</v>
      </c>
      <c r="BF73" s="203">
        <f t="shared" si="22"/>
        <v>280000</v>
      </c>
      <c r="BG73" s="688">
        <f t="shared" si="22"/>
        <v>0</v>
      </c>
      <c r="BH73" s="688">
        <f t="shared" si="22"/>
        <v>0</v>
      </c>
      <c r="BI73" s="203">
        <f t="shared" si="22"/>
        <v>0</v>
      </c>
      <c r="BJ73" s="203">
        <f t="shared" si="22"/>
        <v>530000</v>
      </c>
      <c r="BK73" s="688">
        <f>SUM(BK61:BK72)</f>
        <v>0</v>
      </c>
      <c r="BL73" s="688">
        <f>SUM(BL61:BL72)</f>
        <v>0</v>
      </c>
      <c r="BM73" s="203">
        <f t="shared" si="22"/>
        <v>254100</v>
      </c>
      <c r="BN73" s="203">
        <f t="shared" si="22"/>
        <v>2792000</v>
      </c>
      <c r="BO73" s="688">
        <f>SUM(BO61:BO72)</f>
        <v>2792000</v>
      </c>
      <c r="BP73" s="688">
        <f>SUM(BP61:BP72)</f>
        <v>0</v>
      </c>
      <c r="BQ73" s="203">
        <f t="shared" si="22"/>
        <v>47631322.960000001</v>
      </c>
      <c r="BR73" s="688">
        <f>SUM(BR61:BR72)</f>
        <v>0</v>
      </c>
      <c r="BS73" s="688">
        <f>SUM(BS61:BS72)</f>
        <v>0</v>
      </c>
      <c r="BT73" s="203">
        <f t="shared" ref="BT73:CY73" si="23">SUM(BT61:BT72)</f>
        <v>0</v>
      </c>
      <c r="BU73" s="203">
        <f t="shared" si="23"/>
        <v>0</v>
      </c>
      <c r="BV73" s="688">
        <f t="shared" si="23"/>
        <v>0</v>
      </c>
      <c r="BW73" s="688">
        <f t="shared" si="23"/>
        <v>0</v>
      </c>
      <c r="BX73" s="203">
        <f t="shared" si="23"/>
        <v>0</v>
      </c>
      <c r="BY73" s="203">
        <f t="shared" si="23"/>
        <v>9510000</v>
      </c>
      <c r="BZ73" s="203">
        <f t="shared" si="23"/>
        <v>0</v>
      </c>
      <c r="CA73" s="203">
        <f t="shared" si="23"/>
        <v>1000000</v>
      </c>
      <c r="CB73" s="688">
        <f>SUM(CB61:CB72)</f>
        <v>0</v>
      </c>
      <c r="CC73" s="688">
        <f>SUM(CC61:CC72)</f>
        <v>0</v>
      </c>
      <c r="CD73" s="203">
        <f t="shared" si="23"/>
        <v>0</v>
      </c>
      <c r="CE73" s="203">
        <f t="shared" si="23"/>
        <v>0</v>
      </c>
      <c r="CF73" s="688">
        <f>SUM(CF61:CF72)</f>
        <v>0</v>
      </c>
      <c r="CG73" s="688">
        <f>SUM(CG61:CG72)</f>
        <v>0</v>
      </c>
      <c r="CH73" s="203">
        <f t="shared" si="23"/>
        <v>215700</v>
      </c>
      <c r="CI73" s="688">
        <f>SUM(CI61:CI72)</f>
        <v>0</v>
      </c>
      <c r="CJ73" s="688">
        <f>SUM(CJ61:CJ72)</f>
        <v>0</v>
      </c>
      <c r="CK73" s="203">
        <f t="shared" si="23"/>
        <v>0</v>
      </c>
      <c r="CL73" s="688">
        <f>SUM(CL61:CL72)</f>
        <v>0</v>
      </c>
      <c r="CM73" s="688">
        <f>SUM(CM61:CM72)</f>
        <v>0</v>
      </c>
      <c r="CN73" s="203">
        <f t="shared" si="23"/>
        <v>0</v>
      </c>
      <c r="CO73" s="203">
        <f t="shared" si="23"/>
        <v>222000</v>
      </c>
      <c r="CP73" s="688">
        <f>SUM(CP61:CP72)</f>
        <v>0</v>
      </c>
      <c r="CQ73" s="688">
        <f>SUM(CQ61:CQ72)</f>
        <v>0</v>
      </c>
      <c r="CR73" s="688">
        <f>SUM(CR61:CR72)</f>
        <v>0</v>
      </c>
      <c r="CS73" s="203">
        <f t="shared" si="23"/>
        <v>0</v>
      </c>
      <c r="CT73" s="203">
        <f t="shared" si="23"/>
        <v>2058000</v>
      </c>
      <c r="CU73" s="203">
        <f>SUM(CU61:CU72)</f>
        <v>0</v>
      </c>
      <c r="CV73" s="203">
        <f t="shared" si="23"/>
        <v>0</v>
      </c>
      <c r="CW73" s="203">
        <f t="shared" si="23"/>
        <v>90000</v>
      </c>
      <c r="CX73" s="203">
        <f t="shared" si="23"/>
        <v>242000</v>
      </c>
      <c r="CY73" s="154">
        <f t="shared" si="23"/>
        <v>0</v>
      </c>
      <c r="CZ73" s="13">
        <f t="shared" si="16"/>
        <v>118164571.22239998</v>
      </c>
      <c r="DA73" s="436">
        <f t="shared" si="12"/>
        <v>0</v>
      </c>
      <c r="DB73" s="879">
        <f>I73/C73</f>
        <v>3.0884295575564642</v>
      </c>
      <c r="DC73" s="153">
        <f>SUM(DC61:DC72)</f>
        <v>0</v>
      </c>
      <c r="DD73" s="129"/>
      <c r="DE73" s="13">
        <f t="shared" si="19"/>
        <v>77008251.422399968</v>
      </c>
    </row>
    <row r="74" spans="1:109" ht="15.75" x14ac:dyDescent="0.25">
      <c r="A74" s="125"/>
      <c r="B74" s="27"/>
      <c r="C74" s="156"/>
      <c r="D74" s="156"/>
      <c r="E74" s="156"/>
      <c r="F74" s="156"/>
      <c r="G74" s="156"/>
      <c r="H74" s="156"/>
      <c r="I74" s="156"/>
      <c r="J74" s="197"/>
      <c r="K74" s="204"/>
      <c r="L74" s="204"/>
      <c r="M74" s="204"/>
      <c r="N74" s="204"/>
      <c r="O74" s="690"/>
      <c r="P74" s="690"/>
      <c r="Q74" s="362"/>
      <c r="R74" s="204"/>
      <c r="S74" s="204"/>
      <c r="T74" s="204"/>
      <c r="U74" s="204"/>
      <c r="V74" s="204"/>
      <c r="W74" s="204"/>
      <c r="X74" s="204"/>
      <c r="Y74" s="204"/>
      <c r="Z74" s="690"/>
      <c r="AA74" s="690"/>
      <c r="AB74" s="204"/>
      <c r="AC74" s="690"/>
      <c r="AD74" s="690"/>
      <c r="AE74" s="204"/>
      <c r="AF74" s="690"/>
      <c r="AG74" s="690"/>
      <c r="AH74" s="204"/>
      <c r="AI74" s="204"/>
      <c r="AJ74" s="204"/>
      <c r="AK74" s="204"/>
      <c r="AL74" s="690"/>
      <c r="AM74" s="690"/>
      <c r="AN74" s="204"/>
      <c r="AO74" s="690"/>
      <c r="AP74" s="690"/>
      <c r="AQ74" s="204"/>
      <c r="AR74" s="690"/>
      <c r="AS74" s="690"/>
      <c r="AT74" s="204"/>
      <c r="AU74" s="690"/>
      <c r="AV74" s="690"/>
      <c r="AW74" s="204"/>
      <c r="AX74" s="690"/>
      <c r="AY74" s="690"/>
      <c r="AZ74" s="204"/>
      <c r="BA74" s="690"/>
      <c r="BB74" s="690"/>
      <c r="BC74" s="204"/>
      <c r="BD74" s="690"/>
      <c r="BE74" s="690"/>
      <c r="BF74" s="204"/>
      <c r="BG74" s="690"/>
      <c r="BH74" s="690"/>
      <c r="BI74" s="204"/>
      <c r="BJ74" s="204"/>
      <c r="BK74" s="690"/>
      <c r="BL74" s="690"/>
      <c r="BM74" s="204"/>
      <c r="BN74" s="204"/>
      <c r="BO74" s="690"/>
      <c r="BP74" s="690"/>
      <c r="BQ74" s="204"/>
      <c r="BR74" s="690"/>
      <c r="BS74" s="690"/>
      <c r="BT74" s="204"/>
      <c r="BU74" s="204"/>
      <c r="BV74" s="690"/>
      <c r="BW74" s="690"/>
      <c r="BX74" s="204"/>
      <c r="BY74" s="204"/>
      <c r="BZ74" s="204"/>
      <c r="CA74" s="204"/>
      <c r="CB74" s="690"/>
      <c r="CC74" s="690"/>
      <c r="CD74" s="204"/>
      <c r="CE74" s="204"/>
      <c r="CF74" s="690"/>
      <c r="CG74" s="690"/>
      <c r="CH74" s="204"/>
      <c r="CI74" s="690"/>
      <c r="CJ74" s="690"/>
      <c r="CK74" s="204"/>
      <c r="CL74" s="690"/>
      <c r="CM74" s="690"/>
      <c r="CN74" s="204"/>
      <c r="CO74" s="204"/>
      <c r="CP74" s="690"/>
      <c r="CQ74" s="690"/>
      <c r="CR74" s="690"/>
      <c r="CS74" s="204"/>
      <c r="CT74" s="204"/>
      <c r="CU74" s="204"/>
      <c r="CV74" s="204"/>
      <c r="CW74" s="204"/>
      <c r="CX74" s="204"/>
      <c r="CY74" s="191"/>
      <c r="CZ74" s="13">
        <f t="shared" si="16"/>
        <v>0</v>
      </c>
      <c r="DA74" s="436">
        <f t="shared" si="12"/>
        <v>0</v>
      </c>
      <c r="DB74" s="879"/>
      <c r="DC74" s="156"/>
      <c r="DD74" s="9"/>
      <c r="DE74" s="13">
        <f t="shared" si="19"/>
        <v>0</v>
      </c>
    </row>
    <row r="75" spans="1:109" ht="15.75" x14ac:dyDescent="0.25">
      <c r="A75" s="126" t="s">
        <v>185</v>
      </c>
      <c r="B75" s="127" t="s">
        <v>186</v>
      </c>
      <c r="C75" s="40">
        <v>11409092</v>
      </c>
      <c r="D75" s="40">
        <v>11409092</v>
      </c>
      <c r="E75" s="40">
        <f>+'[6]Splátky jistiny'!$B$5+'[6]Splátky jistiny'!$B$12</f>
        <v>11888824</v>
      </c>
      <c r="F75" s="40">
        <v>11409092</v>
      </c>
      <c r="G75" s="40">
        <v>11409092</v>
      </c>
      <c r="H75" s="40">
        <v>11409092</v>
      </c>
      <c r="I75" s="40">
        <f>SUM(J75:N75)+SUM(Q75:Y75)+AB75+AE75+SUM(AH75:AK75)+AN75+AQ75+AT75+AW75+AZ75+BC75+BF75+BI75+BJ75+BM75+BN75+BQ75+SUM(BT75:BU75)+BZ75+CA75+CD75+CE75+CH75+CK75+CN75+CO75+SUM(CS75:CY75)+BX75+BY75</f>
        <v>11409092</v>
      </c>
      <c r="J75" s="198"/>
      <c r="K75" s="268">
        <f>'[6]Splátky jistiny'!$B$4</f>
        <v>11409092</v>
      </c>
      <c r="L75" s="205"/>
      <c r="M75" s="205"/>
      <c r="N75" s="205"/>
      <c r="O75" s="689"/>
      <c r="P75" s="689"/>
      <c r="Q75" s="363"/>
      <c r="R75" s="205"/>
      <c r="S75" s="205"/>
      <c r="T75" s="205"/>
      <c r="U75" s="205"/>
      <c r="V75" s="205"/>
      <c r="W75" s="205"/>
      <c r="X75" s="205"/>
      <c r="Y75" s="205"/>
      <c r="Z75" s="689"/>
      <c r="AA75" s="689"/>
      <c r="AB75" s="205"/>
      <c r="AC75" s="689"/>
      <c r="AD75" s="689"/>
      <c r="AE75" s="205"/>
      <c r="AF75" s="689"/>
      <c r="AG75" s="689"/>
      <c r="AH75" s="205"/>
      <c r="AI75" s="205"/>
      <c r="AJ75" s="205"/>
      <c r="AK75" s="205"/>
      <c r="AL75" s="689"/>
      <c r="AM75" s="689"/>
      <c r="AN75" s="205"/>
      <c r="AO75" s="689"/>
      <c r="AP75" s="689"/>
      <c r="AQ75" s="205"/>
      <c r="AR75" s="689"/>
      <c r="AS75" s="689"/>
      <c r="AT75" s="205"/>
      <c r="AU75" s="689"/>
      <c r="AV75" s="689"/>
      <c r="AW75" s="205"/>
      <c r="AX75" s="689"/>
      <c r="AY75" s="689"/>
      <c r="AZ75" s="205"/>
      <c r="BA75" s="689"/>
      <c r="BB75" s="689"/>
      <c r="BC75" s="205"/>
      <c r="BD75" s="689"/>
      <c r="BE75" s="689"/>
      <c r="BF75" s="205"/>
      <c r="BG75" s="689"/>
      <c r="BH75" s="689"/>
      <c r="BI75" s="205"/>
      <c r="BJ75" s="205"/>
      <c r="BK75" s="689"/>
      <c r="BL75" s="689"/>
      <c r="BM75" s="205"/>
      <c r="BN75" s="205"/>
      <c r="BO75" s="689"/>
      <c r="BP75" s="689"/>
      <c r="BQ75" s="205"/>
      <c r="BR75" s="689"/>
      <c r="BS75" s="689"/>
      <c r="BT75" s="205"/>
      <c r="BU75" s="205"/>
      <c r="BV75" s="689"/>
      <c r="BW75" s="689"/>
      <c r="BX75" s="205"/>
      <c r="BY75" s="205"/>
      <c r="BZ75" s="205"/>
      <c r="CA75" s="205"/>
      <c r="CB75" s="689"/>
      <c r="CC75" s="689"/>
      <c r="CD75" s="205"/>
      <c r="CE75" s="205"/>
      <c r="CF75" s="689"/>
      <c r="CG75" s="689"/>
      <c r="CH75" s="205"/>
      <c r="CI75" s="689"/>
      <c r="CJ75" s="689"/>
      <c r="CK75" s="205"/>
      <c r="CL75" s="689"/>
      <c r="CM75" s="689"/>
      <c r="CN75" s="205"/>
      <c r="CO75" s="205"/>
      <c r="CP75" s="689"/>
      <c r="CQ75" s="689"/>
      <c r="CR75" s="689"/>
      <c r="CS75" s="205"/>
      <c r="CT75" s="205"/>
      <c r="CU75" s="205"/>
      <c r="CV75" s="205"/>
      <c r="CW75" s="205"/>
      <c r="CX75" s="205"/>
      <c r="CY75" s="192"/>
      <c r="CZ75" s="13">
        <f t="shared" si="16"/>
        <v>11409092</v>
      </c>
      <c r="DA75" s="436">
        <f t="shared" si="12"/>
        <v>0</v>
      </c>
      <c r="DB75" s="879">
        <f>I75/C75</f>
        <v>1</v>
      </c>
      <c r="DC75" s="40"/>
      <c r="DD75" s="9"/>
      <c r="DE75" s="13">
        <f t="shared" si="19"/>
        <v>0</v>
      </c>
    </row>
    <row r="76" spans="1:109" s="1709" customFormat="1" ht="14.25" customHeight="1" thickBot="1" x14ac:dyDescent="0.3">
      <c r="A76" s="151" t="s">
        <v>187</v>
      </c>
      <c r="B76" s="152" t="s">
        <v>186</v>
      </c>
      <c r="C76" s="153">
        <f>+C75</f>
        <v>11409092</v>
      </c>
      <c r="D76" s="153">
        <v>11409092</v>
      </c>
      <c r="E76" s="153">
        <v>12963824</v>
      </c>
      <c r="F76" s="153">
        <v>11409092</v>
      </c>
      <c r="G76" s="153">
        <v>11409092</v>
      </c>
      <c r="H76" s="153">
        <v>11409092</v>
      </c>
      <c r="I76" s="153">
        <f>+I75</f>
        <v>11409092</v>
      </c>
      <c r="J76" s="196">
        <f t="shared" ref="J76:CY76" si="24">+J75</f>
        <v>0</v>
      </c>
      <c r="K76" s="203">
        <f t="shared" si="24"/>
        <v>11409092</v>
      </c>
      <c r="L76" s="203">
        <f t="shared" si="24"/>
        <v>0</v>
      </c>
      <c r="M76" s="203">
        <f t="shared" si="24"/>
        <v>0</v>
      </c>
      <c r="N76" s="203">
        <f t="shared" si="24"/>
        <v>0</v>
      </c>
      <c r="O76" s="688">
        <f>+O75</f>
        <v>0</v>
      </c>
      <c r="P76" s="688">
        <f>+P75</f>
        <v>0</v>
      </c>
      <c r="Q76" s="361">
        <f t="shared" si="24"/>
        <v>0</v>
      </c>
      <c r="R76" s="203">
        <f t="shared" si="24"/>
        <v>0</v>
      </c>
      <c r="S76" s="203">
        <f t="shared" si="24"/>
        <v>0</v>
      </c>
      <c r="T76" s="203">
        <f t="shared" si="24"/>
        <v>0</v>
      </c>
      <c r="U76" s="203">
        <f t="shared" si="24"/>
        <v>0</v>
      </c>
      <c r="V76" s="203">
        <f t="shared" si="24"/>
        <v>0</v>
      </c>
      <c r="W76" s="203">
        <f t="shared" si="24"/>
        <v>0</v>
      </c>
      <c r="X76" s="203">
        <f t="shared" si="24"/>
        <v>0</v>
      </c>
      <c r="Y76" s="203">
        <f t="shared" si="24"/>
        <v>0</v>
      </c>
      <c r="Z76" s="688">
        <f>+Z75</f>
        <v>0</v>
      </c>
      <c r="AA76" s="688">
        <f>+AA75</f>
        <v>0</v>
      </c>
      <c r="AB76" s="203">
        <f t="shared" si="24"/>
        <v>0</v>
      </c>
      <c r="AC76" s="688">
        <f>+AC75</f>
        <v>0</v>
      </c>
      <c r="AD76" s="688">
        <f>+AD75</f>
        <v>0</v>
      </c>
      <c r="AE76" s="203">
        <f t="shared" si="24"/>
        <v>0</v>
      </c>
      <c r="AF76" s="688">
        <f>+AF75</f>
        <v>0</v>
      </c>
      <c r="AG76" s="688">
        <f>+AG75</f>
        <v>0</v>
      </c>
      <c r="AH76" s="203">
        <f t="shared" si="24"/>
        <v>0</v>
      </c>
      <c r="AI76" s="203">
        <f t="shared" si="24"/>
        <v>0</v>
      </c>
      <c r="AJ76" s="203">
        <f t="shared" si="24"/>
        <v>0</v>
      </c>
      <c r="AK76" s="203">
        <f t="shared" si="24"/>
        <v>0</v>
      </c>
      <c r="AL76" s="688">
        <f>+AL75</f>
        <v>0</v>
      </c>
      <c r="AM76" s="688">
        <f>+AM75</f>
        <v>0</v>
      </c>
      <c r="AN76" s="203">
        <f t="shared" si="24"/>
        <v>0</v>
      </c>
      <c r="AO76" s="688">
        <f>+AO75</f>
        <v>0</v>
      </c>
      <c r="AP76" s="688">
        <f>+AP75</f>
        <v>0</v>
      </c>
      <c r="AQ76" s="203">
        <f t="shared" si="24"/>
        <v>0</v>
      </c>
      <c r="AR76" s="688">
        <f t="shared" si="24"/>
        <v>0</v>
      </c>
      <c r="AS76" s="688">
        <f t="shared" si="24"/>
        <v>0</v>
      </c>
      <c r="AT76" s="203">
        <f t="shared" si="24"/>
        <v>0</v>
      </c>
      <c r="AU76" s="688">
        <f t="shared" si="24"/>
        <v>0</v>
      </c>
      <c r="AV76" s="688">
        <f t="shared" si="24"/>
        <v>0</v>
      </c>
      <c r="AW76" s="203">
        <f t="shared" si="24"/>
        <v>0</v>
      </c>
      <c r="AX76" s="688">
        <f t="shared" si="24"/>
        <v>0</v>
      </c>
      <c r="AY76" s="688">
        <f t="shared" si="24"/>
        <v>0</v>
      </c>
      <c r="AZ76" s="203">
        <f t="shared" si="24"/>
        <v>0</v>
      </c>
      <c r="BA76" s="688">
        <f t="shared" si="24"/>
        <v>0</v>
      </c>
      <c r="BB76" s="688">
        <f t="shared" si="24"/>
        <v>0</v>
      </c>
      <c r="BC76" s="203">
        <f t="shared" si="24"/>
        <v>0</v>
      </c>
      <c r="BD76" s="688">
        <f t="shared" si="24"/>
        <v>0</v>
      </c>
      <c r="BE76" s="688">
        <f t="shared" si="24"/>
        <v>0</v>
      </c>
      <c r="BF76" s="203">
        <f t="shared" si="24"/>
        <v>0</v>
      </c>
      <c r="BG76" s="688">
        <f t="shared" si="24"/>
        <v>0</v>
      </c>
      <c r="BH76" s="688">
        <f t="shared" si="24"/>
        <v>0</v>
      </c>
      <c r="BI76" s="203">
        <f t="shared" si="24"/>
        <v>0</v>
      </c>
      <c r="BJ76" s="203">
        <f>+BJ75</f>
        <v>0</v>
      </c>
      <c r="BK76" s="688">
        <f>+BK75</f>
        <v>0</v>
      </c>
      <c r="BL76" s="688">
        <f>+BL75</f>
        <v>0</v>
      </c>
      <c r="BM76" s="203">
        <f t="shared" si="24"/>
        <v>0</v>
      </c>
      <c r="BN76" s="203">
        <f t="shared" si="24"/>
        <v>0</v>
      </c>
      <c r="BO76" s="688">
        <f t="shared" si="24"/>
        <v>0</v>
      </c>
      <c r="BP76" s="688">
        <f t="shared" si="24"/>
        <v>0</v>
      </c>
      <c r="BQ76" s="203">
        <f t="shared" si="24"/>
        <v>0</v>
      </c>
      <c r="BR76" s="688">
        <f>+BR75</f>
        <v>0</v>
      </c>
      <c r="BS76" s="688">
        <f>+BS75</f>
        <v>0</v>
      </c>
      <c r="BT76" s="203">
        <f t="shared" si="24"/>
        <v>0</v>
      </c>
      <c r="BU76" s="203">
        <f t="shared" si="24"/>
        <v>0</v>
      </c>
      <c r="BV76" s="688">
        <f t="shared" si="24"/>
        <v>0</v>
      </c>
      <c r="BW76" s="688">
        <f t="shared" si="24"/>
        <v>0</v>
      </c>
      <c r="BX76" s="203">
        <f t="shared" si="24"/>
        <v>0</v>
      </c>
      <c r="BY76" s="203">
        <f t="shared" si="24"/>
        <v>0</v>
      </c>
      <c r="BZ76" s="203">
        <f t="shared" si="24"/>
        <v>0</v>
      </c>
      <c r="CA76" s="203">
        <f t="shared" si="24"/>
        <v>0</v>
      </c>
      <c r="CB76" s="688">
        <f>+CB75</f>
        <v>0</v>
      </c>
      <c r="CC76" s="688">
        <f>+CC75</f>
        <v>0</v>
      </c>
      <c r="CD76" s="203">
        <f t="shared" si="24"/>
        <v>0</v>
      </c>
      <c r="CE76" s="203">
        <f t="shared" si="24"/>
        <v>0</v>
      </c>
      <c r="CF76" s="688">
        <f>+CF75</f>
        <v>0</v>
      </c>
      <c r="CG76" s="688">
        <f>+CG75</f>
        <v>0</v>
      </c>
      <c r="CH76" s="203">
        <f t="shared" si="24"/>
        <v>0</v>
      </c>
      <c r="CI76" s="688">
        <f>+CI75</f>
        <v>0</v>
      </c>
      <c r="CJ76" s="688">
        <f>+CJ75</f>
        <v>0</v>
      </c>
      <c r="CK76" s="203">
        <f t="shared" si="24"/>
        <v>0</v>
      </c>
      <c r="CL76" s="688">
        <f>+CL75</f>
        <v>0</v>
      </c>
      <c r="CM76" s="688">
        <f>+CM75</f>
        <v>0</v>
      </c>
      <c r="CN76" s="203">
        <f t="shared" si="24"/>
        <v>0</v>
      </c>
      <c r="CO76" s="203">
        <f t="shared" si="24"/>
        <v>0</v>
      </c>
      <c r="CP76" s="688">
        <f t="shared" ref="CP76:CU76" si="25">+CP75</f>
        <v>0</v>
      </c>
      <c r="CQ76" s="688">
        <f t="shared" si="25"/>
        <v>0</v>
      </c>
      <c r="CR76" s="688">
        <f t="shared" si="25"/>
        <v>0</v>
      </c>
      <c r="CS76" s="203">
        <f t="shared" si="25"/>
        <v>0</v>
      </c>
      <c r="CT76" s="203">
        <f t="shared" si="25"/>
        <v>0</v>
      </c>
      <c r="CU76" s="203">
        <f t="shared" si="25"/>
        <v>0</v>
      </c>
      <c r="CV76" s="203">
        <f t="shared" si="24"/>
        <v>0</v>
      </c>
      <c r="CW76" s="203">
        <f t="shared" si="24"/>
        <v>0</v>
      </c>
      <c r="CX76" s="203">
        <f t="shared" si="24"/>
        <v>0</v>
      </c>
      <c r="CY76" s="154">
        <f t="shared" si="24"/>
        <v>0</v>
      </c>
      <c r="CZ76" s="13">
        <f t="shared" si="16"/>
        <v>11409092</v>
      </c>
      <c r="DA76" s="436">
        <f t="shared" si="12"/>
        <v>0</v>
      </c>
      <c r="DB76" s="879">
        <f>I76/C76</f>
        <v>1</v>
      </c>
      <c r="DC76" s="153">
        <f>+DC75</f>
        <v>0</v>
      </c>
      <c r="DD76" s="129"/>
      <c r="DE76" s="13">
        <f t="shared" si="19"/>
        <v>0</v>
      </c>
    </row>
    <row r="77" spans="1:109" ht="15.75" customHeight="1" thickBot="1" x14ac:dyDescent="0.3">
      <c r="A77" s="126">
        <v>8115</v>
      </c>
      <c r="B77" s="128" t="s">
        <v>188</v>
      </c>
      <c r="C77" s="156">
        <v>0</v>
      </c>
      <c r="D77" s="156">
        <v>0</v>
      </c>
      <c r="E77" s="156">
        <v>0</v>
      </c>
      <c r="F77" s="156">
        <v>0</v>
      </c>
      <c r="G77" s="156">
        <v>0</v>
      </c>
      <c r="H77" s="156">
        <v>0</v>
      </c>
      <c r="I77" s="156">
        <f>SUM(J77:N77)+SUM(Q77:Y77)+AB77+AE77+SUM(AH77:AK77)+AN77+AQ77+AT77+AW77+AZ77+BC77+BF77+BI77+BJ77+BM77+BN77+BQ77+SUM(BT77:BU77)+BZ77+CA77+CD77+CE77+CH77+CK77+CN77+CO77+SUM(CS77:CY77)+BX77+BY77</f>
        <v>0</v>
      </c>
      <c r="J77" s="197"/>
      <c r="K77" s="204"/>
      <c r="L77" s="204"/>
      <c r="M77" s="204"/>
      <c r="N77" s="204"/>
      <c r="O77" s="690"/>
      <c r="P77" s="690"/>
      <c r="Q77" s="362"/>
      <c r="R77" s="204"/>
      <c r="S77" s="204"/>
      <c r="T77" s="204"/>
      <c r="U77" s="204"/>
      <c r="V77" s="204"/>
      <c r="W77" s="204"/>
      <c r="X77" s="204"/>
      <c r="Y77" s="204"/>
      <c r="Z77" s="690"/>
      <c r="AA77" s="690"/>
      <c r="AB77" s="204"/>
      <c r="AC77" s="690"/>
      <c r="AD77" s="690"/>
      <c r="AE77" s="204"/>
      <c r="AF77" s="690"/>
      <c r="AG77" s="690"/>
      <c r="AH77" s="204"/>
      <c r="AI77" s="204"/>
      <c r="AJ77" s="204"/>
      <c r="AK77" s="204"/>
      <c r="AL77" s="690"/>
      <c r="AM77" s="690"/>
      <c r="AN77" s="204"/>
      <c r="AO77" s="690"/>
      <c r="AP77" s="690"/>
      <c r="AQ77" s="204"/>
      <c r="AR77" s="690"/>
      <c r="AS77" s="690"/>
      <c r="AT77" s="204"/>
      <c r="AU77" s="690"/>
      <c r="AV77" s="690"/>
      <c r="AW77" s="204"/>
      <c r="AX77" s="690"/>
      <c r="AY77" s="690"/>
      <c r="AZ77" s="204"/>
      <c r="BA77" s="690"/>
      <c r="BB77" s="690"/>
      <c r="BC77" s="204"/>
      <c r="BD77" s="690"/>
      <c r="BE77" s="690"/>
      <c r="BF77" s="204"/>
      <c r="BG77" s="690"/>
      <c r="BH77" s="690"/>
      <c r="BI77" s="204"/>
      <c r="BJ77" s="204"/>
      <c r="BK77" s="690"/>
      <c r="BL77" s="690"/>
      <c r="BM77" s="204"/>
      <c r="BN77" s="204"/>
      <c r="BO77" s="690"/>
      <c r="BP77" s="690"/>
      <c r="BQ77" s="204"/>
      <c r="BR77" s="690"/>
      <c r="BS77" s="690"/>
      <c r="BT77" s="204"/>
      <c r="BU77" s="204"/>
      <c r="BV77" s="690"/>
      <c r="BW77" s="690"/>
      <c r="BX77" s="204"/>
      <c r="BY77" s="204"/>
      <c r="BZ77" s="204"/>
      <c r="CA77" s="204"/>
      <c r="CB77" s="690"/>
      <c r="CC77" s="690"/>
      <c r="CD77" s="204"/>
      <c r="CE77" s="204"/>
      <c r="CF77" s="690"/>
      <c r="CG77" s="690"/>
      <c r="CH77" s="204"/>
      <c r="CI77" s="690"/>
      <c r="CJ77" s="690"/>
      <c r="CK77" s="204"/>
      <c r="CL77" s="690"/>
      <c r="CM77" s="690"/>
      <c r="CN77" s="204"/>
      <c r="CO77" s="204"/>
      <c r="CP77" s="690"/>
      <c r="CQ77" s="690"/>
      <c r="CR77" s="690"/>
      <c r="CS77" s="204"/>
      <c r="CT77" s="204"/>
      <c r="CU77" s="204"/>
      <c r="CV77" s="204"/>
      <c r="CW77" s="204"/>
      <c r="CX77" s="204"/>
      <c r="CY77" s="191"/>
      <c r="CZ77" s="13">
        <f t="shared" si="16"/>
        <v>0</v>
      </c>
      <c r="DA77" s="436">
        <f t="shared" si="12"/>
        <v>0</v>
      </c>
      <c r="DB77" s="879"/>
      <c r="DC77" s="156"/>
      <c r="DD77" s="9"/>
      <c r="DE77" s="13">
        <f t="shared" si="19"/>
        <v>0</v>
      </c>
    </row>
    <row r="78" spans="1:109" s="1709" customFormat="1" ht="19.5" customHeight="1" thickBot="1" x14ac:dyDescent="0.3">
      <c r="A78" s="1918" t="s">
        <v>189</v>
      </c>
      <c r="B78" s="1919"/>
      <c r="C78" s="30">
        <f>+C59+C73+C76</f>
        <v>143177073.81</v>
      </c>
      <c r="D78" s="30">
        <v>154493549</v>
      </c>
      <c r="E78" s="30">
        <v>263207503</v>
      </c>
      <c r="F78" s="30">
        <v>265527303</v>
      </c>
      <c r="G78" s="30">
        <v>239205058.3576</v>
      </c>
      <c r="H78" s="30">
        <v>241520738</v>
      </c>
      <c r="I78" s="30">
        <f>+I59+I73+I76</f>
        <v>246802838</v>
      </c>
      <c r="J78" s="199">
        <f t="shared" ref="J78:BQ78" si="26">+J59+J73+J76</f>
        <v>1816409.0776</v>
      </c>
      <c r="K78" s="206">
        <f t="shared" si="26"/>
        <v>11888824</v>
      </c>
      <c r="L78" s="206">
        <f t="shared" si="26"/>
        <v>5144874.2623999715</v>
      </c>
      <c r="M78" s="206">
        <f t="shared" si="26"/>
        <v>5991837.4000000004</v>
      </c>
      <c r="N78" s="206">
        <f t="shared" si="26"/>
        <v>40028247.100000001</v>
      </c>
      <c r="O78" s="692">
        <f>+O59+O73+O76</f>
        <v>530000</v>
      </c>
      <c r="P78" s="692">
        <f>+P59+P73+P76</f>
        <v>70000</v>
      </c>
      <c r="Q78" s="364">
        <f t="shared" si="26"/>
        <v>17240000</v>
      </c>
      <c r="R78" s="206">
        <f t="shared" si="26"/>
        <v>2038840.6</v>
      </c>
      <c r="S78" s="206">
        <f t="shared" si="26"/>
        <v>200000</v>
      </c>
      <c r="T78" s="206">
        <f t="shared" si="26"/>
        <v>7161005.1600000001</v>
      </c>
      <c r="U78" s="206">
        <f t="shared" si="26"/>
        <v>115000</v>
      </c>
      <c r="V78" s="206">
        <f t="shared" si="26"/>
        <v>2118947.6799999997</v>
      </c>
      <c r="W78" s="206">
        <f t="shared" si="26"/>
        <v>635856.4</v>
      </c>
      <c r="X78" s="206">
        <f t="shared" si="26"/>
        <v>1275000</v>
      </c>
      <c r="Y78" s="206">
        <f t="shared" si="26"/>
        <v>2374862</v>
      </c>
      <c r="Z78" s="692">
        <f>+Z59+Z73+Z76</f>
        <v>634862</v>
      </c>
      <c r="AA78" s="692">
        <f>+AA59+AA73+AA76</f>
        <v>80000</v>
      </c>
      <c r="AB78" s="206">
        <f t="shared" si="26"/>
        <v>2515000</v>
      </c>
      <c r="AC78" s="692">
        <f>+AC59+AC73+AC76</f>
        <v>480000</v>
      </c>
      <c r="AD78" s="692">
        <f>+AD59+AD73+AD76</f>
        <v>60000</v>
      </c>
      <c r="AE78" s="206">
        <f t="shared" si="26"/>
        <v>9873900</v>
      </c>
      <c r="AF78" s="692">
        <f>+AF59+AF73+AF76</f>
        <v>390000</v>
      </c>
      <c r="AG78" s="692">
        <f>+AG59+AG73+AG76</f>
        <v>50000</v>
      </c>
      <c r="AH78" s="206">
        <f t="shared" si="26"/>
        <v>859169.36</v>
      </c>
      <c r="AI78" s="206">
        <f t="shared" si="26"/>
        <v>150000</v>
      </c>
      <c r="AJ78" s="206">
        <f t="shared" si="26"/>
        <v>41000</v>
      </c>
      <c r="AK78" s="206">
        <f t="shared" si="26"/>
        <v>440000</v>
      </c>
      <c r="AL78" s="692">
        <f>+AL59+AL73+AL76</f>
        <v>350000</v>
      </c>
      <c r="AM78" s="692">
        <f>+AM59+AM73+AM76</f>
        <v>70000</v>
      </c>
      <c r="AN78" s="206">
        <f t="shared" si="26"/>
        <v>16950000</v>
      </c>
      <c r="AO78" s="692">
        <f>+AO59+AO73+AO76</f>
        <v>160000</v>
      </c>
      <c r="AP78" s="692">
        <f>+AP59+AP73+AP76</f>
        <v>250000</v>
      </c>
      <c r="AQ78" s="206">
        <f t="shared" si="26"/>
        <v>15321629</v>
      </c>
      <c r="AR78" s="692">
        <f t="shared" si="26"/>
        <v>850000</v>
      </c>
      <c r="AS78" s="692">
        <f t="shared" si="26"/>
        <v>50000</v>
      </c>
      <c r="AT78" s="206">
        <f t="shared" si="26"/>
        <v>556000</v>
      </c>
      <c r="AU78" s="692">
        <f t="shared" si="26"/>
        <v>100000</v>
      </c>
      <c r="AV78" s="692">
        <f t="shared" si="26"/>
        <v>0</v>
      </c>
      <c r="AW78" s="206">
        <f t="shared" si="26"/>
        <v>800000</v>
      </c>
      <c r="AX78" s="692">
        <f t="shared" si="26"/>
        <v>200000</v>
      </c>
      <c r="AY78" s="692">
        <f t="shared" si="26"/>
        <v>20000</v>
      </c>
      <c r="AZ78" s="206">
        <f t="shared" si="26"/>
        <v>763300</v>
      </c>
      <c r="BA78" s="692">
        <f t="shared" si="26"/>
        <v>50000</v>
      </c>
      <c r="BB78" s="692">
        <f t="shared" si="26"/>
        <v>20000</v>
      </c>
      <c r="BC78" s="206">
        <f t="shared" si="26"/>
        <v>6510138</v>
      </c>
      <c r="BD78" s="692">
        <f t="shared" si="26"/>
        <v>350000</v>
      </c>
      <c r="BE78" s="692">
        <f t="shared" si="26"/>
        <v>20000</v>
      </c>
      <c r="BF78" s="206">
        <f t="shared" si="26"/>
        <v>1700000</v>
      </c>
      <c r="BG78" s="692">
        <f t="shared" si="26"/>
        <v>100000</v>
      </c>
      <c r="BH78" s="692">
        <f t="shared" si="26"/>
        <v>20000</v>
      </c>
      <c r="BI78" s="206">
        <f t="shared" si="26"/>
        <v>235000</v>
      </c>
      <c r="BJ78" s="206">
        <f t="shared" si="26"/>
        <v>730000</v>
      </c>
      <c r="BK78" s="692">
        <f>+BK59+BK73+BK76</f>
        <v>100000</v>
      </c>
      <c r="BL78" s="692">
        <f>+BL59+BL73+BL76</f>
        <v>20000</v>
      </c>
      <c r="BM78" s="206">
        <f t="shared" si="26"/>
        <v>654100</v>
      </c>
      <c r="BN78" s="206">
        <f t="shared" si="26"/>
        <v>4070100</v>
      </c>
      <c r="BO78" s="692">
        <f>+BO59+BO73+BO76</f>
        <v>2942000</v>
      </c>
      <c r="BP78" s="692">
        <f>+BP59+BP73+BP76</f>
        <v>350000</v>
      </c>
      <c r="BQ78" s="206">
        <f t="shared" si="26"/>
        <v>52559996.960000001</v>
      </c>
      <c r="BR78" s="692">
        <f>+BR59+BR73+BR76</f>
        <v>3938569</v>
      </c>
      <c r="BS78" s="692">
        <f>+BS59+BS73+BS76</f>
        <v>450000</v>
      </c>
      <c r="BT78" s="206">
        <f t="shared" ref="BT78:CY78" si="27">+BT59+BT73+BT76</f>
        <v>1250000</v>
      </c>
      <c r="BU78" s="206">
        <f t="shared" si="27"/>
        <v>560000</v>
      </c>
      <c r="BV78" s="692">
        <f t="shared" si="27"/>
        <v>200000</v>
      </c>
      <c r="BW78" s="692">
        <f t="shared" si="27"/>
        <v>270000</v>
      </c>
      <c r="BX78" s="206">
        <f t="shared" si="27"/>
        <v>3880000</v>
      </c>
      <c r="BY78" s="206">
        <f t="shared" si="27"/>
        <v>10514000</v>
      </c>
      <c r="BZ78" s="206">
        <f t="shared" si="27"/>
        <v>0</v>
      </c>
      <c r="CA78" s="206">
        <f t="shared" si="27"/>
        <v>2540000</v>
      </c>
      <c r="CB78" s="692">
        <f>+CB59+CB73+CB76</f>
        <v>1250000</v>
      </c>
      <c r="CC78" s="692">
        <f>+CC59+CC73+CC76</f>
        <v>50000</v>
      </c>
      <c r="CD78" s="206">
        <f t="shared" si="27"/>
        <v>200000</v>
      </c>
      <c r="CE78" s="206">
        <f t="shared" si="27"/>
        <v>4950000</v>
      </c>
      <c r="CF78" s="692">
        <f>+CF59+CF73+CF76</f>
        <v>0</v>
      </c>
      <c r="CG78" s="692">
        <f>+CG59+CG73+CG76</f>
        <v>4950000</v>
      </c>
      <c r="CH78" s="206">
        <f t="shared" si="27"/>
        <v>925700</v>
      </c>
      <c r="CI78" s="692">
        <f>+CI59+CI73+CI76</f>
        <v>60000</v>
      </c>
      <c r="CJ78" s="692">
        <f>+CJ59+CJ73+CJ76</f>
        <v>650000</v>
      </c>
      <c r="CK78" s="206">
        <f t="shared" si="27"/>
        <v>70000</v>
      </c>
      <c r="CL78" s="692">
        <f>+CL59+CL73+CL76</f>
        <v>0</v>
      </c>
      <c r="CM78" s="692">
        <f>+CM59+CM73+CM76</f>
        <v>70000</v>
      </c>
      <c r="CN78" s="206">
        <f t="shared" si="27"/>
        <v>66500</v>
      </c>
      <c r="CO78" s="206">
        <f t="shared" si="27"/>
        <v>3922000</v>
      </c>
      <c r="CP78" s="692">
        <f>+CP59+CP73+CP76</f>
        <v>3630000</v>
      </c>
      <c r="CQ78" s="692">
        <f>+CQ59+CQ73+CQ76</f>
        <v>20000</v>
      </c>
      <c r="CR78" s="692">
        <f>+CR59+CR73+CR76</f>
        <v>50000</v>
      </c>
      <c r="CS78" s="206">
        <f t="shared" si="27"/>
        <v>772001</v>
      </c>
      <c r="CT78" s="206">
        <f t="shared" si="27"/>
        <v>2058000</v>
      </c>
      <c r="CU78" s="206">
        <f>+CU59+CU73+CU76</f>
        <v>0</v>
      </c>
      <c r="CV78" s="206">
        <f t="shared" si="27"/>
        <v>2003600</v>
      </c>
      <c r="CW78" s="206">
        <f t="shared" si="27"/>
        <v>90000</v>
      </c>
      <c r="CX78" s="206">
        <f t="shared" si="27"/>
        <v>242000</v>
      </c>
      <c r="CY78" s="31">
        <f t="shared" si="27"/>
        <v>0</v>
      </c>
      <c r="CZ78" s="13">
        <f t="shared" si="16"/>
        <v>246802837.99999997</v>
      </c>
      <c r="DA78" s="436">
        <f t="shared" si="12"/>
        <v>0</v>
      </c>
      <c r="DB78" s="879">
        <f>I78/C78</f>
        <v>1.7237594779141407</v>
      </c>
      <c r="DC78" s="30">
        <f>+DC59+DC73+DC76</f>
        <v>7570000</v>
      </c>
      <c r="DD78" s="129"/>
      <c r="DE78" s="13">
        <f t="shared" si="19"/>
        <v>92309289</v>
      </c>
    </row>
    <row r="79" spans="1:109" s="1709" customFormat="1" ht="20.25" customHeight="1" thickBot="1" x14ac:dyDescent="0.3">
      <c r="A79" s="1918" t="s">
        <v>203</v>
      </c>
      <c r="B79" s="1920"/>
      <c r="C79" s="30">
        <v>0</v>
      </c>
      <c r="D79" s="30">
        <f>+D78-'Sumář příjmů kapitol'!F139</f>
        <v>0</v>
      </c>
      <c r="E79" s="30">
        <v>0</v>
      </c>
      <c r="F79" s="30">
        <v>0</v>
      </c>
      <c r="G79" s="30">
        <v>-0.35760000348091125</v>
      </c>
      <c r="H79" s="30">
        <v>0</v>
      </c>
      <c r="I79" s="883">
        <f>+'Sumář příjmů kapitol'!K139-'Sumář  výdaje kapitol'!I78</f>
        <v>0</v>
      </c>
      <c r="J79" s="157"/>
      <c r="K79" s="157"/>
      <c r="L79" s="157"/>
      <c r="M79" s="157"/>
      <c r="N79" s="157"/>
      <c r="O79" s="693"/>
      <c r="P79" s="1207"/>
      <c r="Q79" s="1207">
        <f>+Q69+Q62+Q44+Q35+Q34+Q22</f>
        <v>24810000</v>
      </c>
      <c r="R79" s="157"/>
      <c r="S79" s="157"/>
      <c r="T79" s="157"/>
      <c r="U79" s="157"/>
      <c r="V79" s="157"/>
      <c r="W79" s="157"/>
      <c r="X79" s="157"/>
      <c r="Y79" s="157"/>
      <c r="Z79" s="693"/>
      <c r="AA79" s="693"/>
      <c r="AB79" s="157"/>
      <c r="AC79" s="693"/>
      <c r="AD79" s="693"/>
      <c r="AE79" s="157"/>
      <c r="AF79" s="693"/>
      <c r="AG79" s="693"/>
      <c r="AH79" s="157"/>
      <c r="AI79" s="157"/>
      <c r="AJ79" s="157"/>
      <c r="AK79" s="157"/>
      <c r="AL79" s="693"/>
      <c r="AM79" s="693"/>
      <c r="AN79" s="157"/>
      <c r="AO79" s="693"/>
      <c r="AP79" s="693"/>
      <c r="AQ79" s="157"/>
      <c r="AR79" s="693"/>
      <c r="AS79" s="693"/>
      <c r="AT79" s="157"/>
      <c r="AU79" s="693"/>
      <c r="AV79" s="693"/>
      <c r="AW79" s="157"/>
      <c r="AX79" s="693"/>
      <c r="AY79" s="693"/>
      <c r="AZ79" s="157"/>
      <c r="BA79" s="693"/>
      <c r="BB79" s="693"/>
      <c r="BC79" s="157"/>
      <c r="BD79" s="693"/>
      <c r="BE79" s="693"/>
      <c r="BF79" s="157"/>
      <c r="BG79" s="693"/>
      <c r="BH79" s="693"/>
      <c r="BI79" s="157"/>
      <c r="BJ79" s="157"/>
      <c r="BK79" s="693"/>
      <c r="BL79" s="693"/>
      <c r="BM79" s="157"/>
      <c r="BN79" s="157"/>
      <c r="BO79" s="693"/>
      <c r="BP79" s="693"/>
      <c r="BQ79" s="157"/>
      <c r="BR79" s="693"/>
      <c r="BS79" s="693"/>
      <c r="BT79" s="157"/>
      <c r="BU79" s="157"/>
      <c r="BV79" s="693"/>
      <c r="BW79" s="693"/>
      <c r="BX79" s="157"/>
      <c r="BY79" s="157"/>
      <c r="BZ79" s="157"/>
      <c r="CA79" s="157"/>
      <c r="CB79" s="693"/>
      <c r="CC79" s="693"/>
      <c r="CD79" s="157"/>
      <c r="CE79" s="157"/>
      <c r="CF79" s="693"/>
      <c r="CG79" s="693"/>
      <c r="CH79" s="157"/>
      <c r="CI79" s="693"/>
      <c r="CJ79" s="693"/>
      <c r="CK79" s="157"/>
      <c r="CL79" s="693"/>
      <c r="CM79" s="693"/>
      <c r="CN79" s="157"/>
      <c r="CO79" s="157"/>
      <c r="CP79" s="693"/>
      <c r="CQ79" s="693"/>
      <c r="CR79" s="693"/>
      <c r="CS79" s="157"/>
      <c r="CT79" s="157"/>
      <c r="CU79" s="157"/>
      <c r="CV79" s="157"/>
      <c r="CW79" s="157"/>
      <c r="CX79" s="157"/>
      <c r="CY79" s="157"/>
      <c r="CZ79" s="129"/>
      <c r="DA79" s="436"/>
      <c r="DB79" s="879"/>
      <c r="DC79" s="157"/>
      <c r="DD79" s="129"/>
      <c r="DE79" s="129"/>
    </row>
    <row r="80" spans="1:109" x14ac:dyDescent="0.2">
      <c r="P80" s="1710" t="s">
        <v>1253</v>
      </c>
      <c r="Q80" s="1710">
        <f>+Q79/12</f>
        <v>2067500</v>
      </c>
    </row>
    <row r="81" spans="1:107" x14ac:dyDescent="0.2">
      <c r="P81" s="1710" t="s">
        <v>521</v>
      </c>
      <c r="Q81" s="1710">
        <f>+'Sumář příjmů kapitol'!R78</f>
        <v>679166.66666666663</v>
      </c>
    </row>
    <row r="82" spans="1:107" hidden="1" x14ac:dyDescent="0.2">
      <c r="B82" s="1702" t="s">
        <v>1306</v>
      </c>
      <c r="F82" s="1692">
        <v>18729113.649999999</v>
      </c>
      <c r="H82" s="1692">
        <v>18680522.727600001</v>
      </c>
      <c r="I82" s="1692">
        <f>SUM(I83:I84)</f>
        <v>18680522.727600001</v>
      </c>
      <c r="P82" s="1710"/>
      <c r="Q82" s="1710">
        <f>+Q80-Q81</f>
        <v>1388333.3333333335</v>
      </c>
    </row>
    <row r="83" spans="1:107" hidden="1" x14ac:dyDescent="0.2">
      <c r="B83" s="1703" t="s">
        <v>186</v>
      </c>
      <c r="F83" s="1692">
        <v>16551944</v>
      </c>
      <c r="H83" s="1692">
        <v>16551944</v>
      </c>
      <c r="I83" s="1693">
        <f>+J83+K83</f>
        <v>16551944</v>
      </c>
      <c r="K83" s="1693">
        <f>+K93+K75</f>
        <v>16551944</v>
      </c>
      <c r="P83" s="1710"/>
      <c r="Q83" s="1710"/>
    </row>
    <row r="84" spans="1:107" hidden="1" x14ac:dyDescent="0.2">
      <c r="B84" s="1703" t="s">
        <v>11</v>
      </c>
      <c r="F84" s="1692">
        <v>2177169.65</v>
      </c>
      <c r="H84" s="1692">
        <v>2128578.7275999999</v>
      </c>
      <c r="I84" s="1693">
        <f>+J84+K84</f>
        <v>2128578.7275999999</v>
      </c>
      <c r="J84" s="1693">
        <f>+J93+J57</f>
        <v>2128578.7275999999</v>
      </c>
      <c r="P84" s="1710"/>
      <c r="Q84" s="1710"/>
    </row>
    <row r="85" spans="1:107" hidden="1" x14ac:dyDescent="0.2">
      <c r="P85" s="1710"/>
      <c r="Q85" s="1710"/>
    </row>
    <row r="86" spans="1:107" hidden="1" x14ac:dyDescent="0.2">
      <c r="B86" s="1702" t="s">
        <v>1307</v>
      </c>
      <c r="F86" s="1692">
        <v>129613619</v>
      </c>
      <c r="H86" s="1692">
        <v>129613619</v>
      </c>
      <c r="I86" s="1692">
        <f>SUM(I87:I89)</f>
        <v>129613619</v>
      </c>
      <c r="P86" s="1710"/>
      <c r="Q86" s="1710"/>
    </row>
    <row r="87" spans="1:107" hidden="1" x14ac:dyDescent="0.2">
      <c r="D87" s="1693" t="s">
        <v>1308</v>
      </c>
      <c r="E87" s="1693"/>
      <c r="F87" s="1693">
        <v>101443846</v>
      </c>
      <c r="G87" s="1693"/>
      <c r="H87" s="1693">
        <v>101443846</v>
      </c>
      <c r="I87" s="1693">
        <f>'Souhrn příjmů a výdajů 2018'!F6</f>
        <v>101443846</v>
      </c>
      <c r="P87" s="1710"/>
      <c r="Q87" s="1710"/>
    </row>
    <row r="88" spans="1:107" hidden="1" x14ac:dyDescent="0.2">
      <c r="D88" s="1693" t="s">
        <v>1309</v>
      </c>
      <c r="E88" s="1693"/>
      <c r="F88" s="1693">
        <v>18523900</v>
      </c>
      <c r="G88" s="1693"/>
      <c r="H88" s="1693">
        <v>18523900</v>
      </c>
      <c r="I88" s="1693">
        <f>'Souhrn příjmů a výdajů 2018'!F26</f>
        <v>18523900</v>
      </c>
      <c r="P88" s="1710"/>
      <c r="Q88" s="1710"/>
    </row>
    <row r="89" spans="1:107" hidden="1" x14ac:dyDescent="0.2">
      <c r="D89" s="1693" t="s">
        <v>1310</v>
      </c>
      <c r="E89" s="1693"/>
      <c r="F89" s="1693">
        <v>9645873</v>
      </c>
      <c r="G89" s="1693"/>
      <c r="H89" s="1693">
        <v>9645873</v>
      </c>
      <c r="I89" s="1693">
        <f>'Souhrn příjmů a výdajů 2018'!F100</f>
        <v>9645873</v>
      </c>
      <c r="P89" s="1710"/>
      <c r="Q89" s="1710"/>
    </row>
    <row r="90" spans="1:107" hidden="1" x14ac:dyDescent="0.2">
      <c r="P90" s="1710"/>
      <c r="Q90" s="1710"/>
    </row>
    <row r="91" spans="1:107" s="1694" customFormat="1" hidden="1" x14ac:dyDescent="0.2">
      <c r="A91" s="1704"/>
      <c r="B91" s="1694" t="s">
        <v>1311</v>
      </c>
      <c r="C91" s="1705"/>
      <c r="D91" s="1705"/>
      <c r="E91" s="1705"/>
      <c r="F91" s="1705">
        <v>0.14449958109726108</v>
      </c>
      <c r="G91" s="1705"/>
      <c r="H91" s="1705">
        <v>0.14412469053579932</v>
      </c>
      <c r="I91" s="1706">
        <f>+I82/I86</f>
        <v>0.14412469053579932</v>
      </c>
      <c r="J91" s="1700"/>
      <c r="K91" s="1700"/>
      <c r="L91" s="1700"/>
      <c r="M91" s="1700"/>
      <c r="N91" s="1700"/>
      <c r="O91" s="1700"/>
      <c r="P91" s="1710"/>
      <c r="Q91" s="1710"/>
      <c r="R91" s="1700"/>
      <c r="S91" s="1700"/>
      <c r="T91" s="1700"/>
      <c r="U91" s="1700"/>
      <c r="V91" s="1700"/>
      <c r="W91" s="1700"/>
      <c r="X91" s="1700"/>
      <c r="Y91" s="1700"/>
      <c r="Z91" s="1700"/>
      <c r="AA91" s="1700"/>
      <c r="AB91" s="1700"/>
      <c r="AC91" s="1700"/>
      <c r="AD91" s="1700"/>
      <c r="AE91" s="1700"/>
      <c r="AF91" s="1700"/>
      <c r="AG91" s="1700"/>
      <c r="AH91" s="1700"/>
      <c r="AI91" s="1700"/>
      <c r="AJ91" s="1700"/>
      <c r="AK91" s="1700"/>
      <c r="AL91" s="1700"/>
      <c r="AM91" s="1700"/>
      <c r="AN91" s="1700"/>
      <c r="AO91" s="1700"/>
      <c r="AP91" s="1700"/>
      <c r="AQ91" s="1700"/>
      <c r="AR91" s="1700"/>
      <c r="AS91" s="1700"/>
      <c r="AT91" s="1700"/>
      <c r="AU91" s="1700"/>
      <c r="AV91" s="1700"/>
      <c r="AW91" s="1700"/>
      <c r="AX91" s="1700"/>
      <c r="AY91" s="1700"/>
      <c r="AZ91" s="1700"/>
      <c r="BA91" s="1700"/>
      <c r="BB91" s="1700"/>
      <c r="BC91" s="1700"/>
      <c r="BD91" s="1700"/>
      <c r="BE91" s="1700"/>
      <c r="BF91" s="1700"/>
      <c r="BG91" s="1700"/>
      <c r="BH91" s="1700"/>
      <c r="BI91" s="1700"/>
      <c r="BJ91" s="1700"/>
      <c r="BK91" s="1700"/>
      <c r="BL91" s="1700"/>
      <c r="BM91" s="1700"/>
      <c r="BN91" s="1700"/>
      <c r="BO91" s="1700"/>
      <c r="BP91" s="1700"/>
      <c r="BQ91" s="1700"/>
      <c r="BR91" s="1700"/>
      <c r="BS91" s="1700"/>
      <c r="BT91" s="1700"/>
      <c r="BU91" s="1700"/>
      <c r="BV91" s="1700"/>
      <c r="BW91" s="1700"/>
      <c r="BX91" s="1700"/>
      <c r="BY91" s="1700"/>
      <c r="BZ91" s="1700"/>
      <c r="CA91" s="1700"/>
      <c r="CB91" s="1700"/>
      <c r="CC91" s="1700"/>
      <c r="CD91" s="1700"/>
      <c r="CE91" s="1700"/>
      <c r="CF91" s="1700"/>
      <c r="CG91" s="1700"/>
      <c r="CH91" s="1700"/>
      <c r="CI91" s="1700"/>
      <c r="CJ91" s="1700"/>
      <c r="CK91" s="1700"/>
      <c r="CL91" s="1700"/>
      <c r="CM91" s="1700"/>
      <c r="CN91" s="1700"/>
      <c r="CO91" s="1700"/>
      <c r="CP91" s="1700"/>
      <c r="CQ91" s="1700"/>
      <c r="CR91" s="1700"/>
      <c r="CS91" s="1700"/>
      <c r="CT91" s="1700"/>
      <c r="CU91" s="1700"/>
      <c r="CV91" s="1700"/>
      <c r="CW91" s="1700"/>
      <c r="CX91" s="1700"/>
      <c r="CY91" s="1700"/>
      <c r="DA91" s="1707"/>
      <c r="DB91" s="1708"/>
      <c r="DC91" s="1700"/>
    </row>
    <row r="92" spans="1:107" hidden="1" x14ac:dyDescent="0.2">
      <c r="P92" s="1710"/>
      <c r="Q92" s="1710"/>
    </row>
    <row r="93" spans="1:107" hidden="1" x14ac:dyDescent="0.2">
      <c r="J93" s="1707">
        <f>7843393/20</f>
        <v>392169.65</v>
      </c>
      <c r="K93" s="1707">
        <f>428571*12</f>
        <v>5142852</v>
      </c>
      <c r="L93" s="1700" t="s">
        <v>872</v>
      </c>
      <c r="P93" s="1710"/>
      <c r="Q93" s="1710"/>
    </row>
    <row r="94" spans="1:107" hidden="1" x14ac:dyDescent="0.2">
      <c r="P94" s="1710"/>
      <c r="Q94" s="1710"/>
    </row>
    <row r="95" spans="1:107" x14ac:dyDescent="0.2">
      <c r="P95" s="1710" t="s">
        <v>1511</v>
      </c>
      <c r="Q95" s="1710">
        <f>+Q80-Q81</f>
        <v>1388333.3333333335</v>
      </c>
    </row>
  </sheetData>
  <mergeCells count="2">
    <mergeCell ref="A78:B78"/>
    <mergeCell ref="A79:B79"/>
  </mergeCells>
  <phoneticPr fontId="5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2" fitToWidth="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</vt:i4>
      </vt:variant>
    </vt:vector>
  </HeadingPairs>
  <TitlesOfParts>
    <vt:vector size="37" baseType="lpstr">
      <vt:lpstr>Souhrn příjmů a výdajů 2018</vt:lpstr>
      <vt:lpstr>List4</vt:lpstr>
      <vt:lpstr>Graf</vt:lpstr>
      <vt:lpstr>Souhrn dle odborů a kap.</vt:lpstr>
      <vt:lpstr>počet zaměstnanců</vt:lpstr>
      <vt:lpstr>List2</vt:lpstr>
      <vt:lpstr>Graf_analýza nákladovost na RUD</vt:lpstr>
      <vt:lpstr>Sumář příjmů kapitol</vt:lpstr>
      <vt:lpstr>Sumář  výdaje kapitol</vt:lpstr>
      <vt:lpstr>List3</vt:lpstr>
      <vt:lpstr>TSÚ_personální náklady</vt:lpstr>
      <vt:lpstr>srovnání </vt:lpstr>
      <vt:lpstr>voda-kalkulace</vt:lpstr>
      <vt:lpstr>Konsolidace </vt:lpstr>
      <vt:lpstr>Příjmy z pronájmu</vt:lpstr>
      <vt:lpstr>TSÚ</vt:lpstr>
      <vt:lpstr>SIMU</vt:lpstr>
      <vt:lpstr>Investice  2018</vt:lpstr>
      <vt:lpstr>Opravy a udrzování</vt:lpstr>
      <vt:lpstr>5169_nákup služeb</vt:lpstr>
      <vt:lpstr>Investice celkem</vt:lpstr>
      <vt:lpstr>6111 - Programové vybavení</vt:lpstr>
      <vt:lpstr>6121 - Budovy haly a stavby</vt:lpstr>
      <vt:lpstr>6121 - Projektová dok</vt:lpstr>
      <vt:lpstr>6122 -Stroje a zařízení</vt:lpstr>
      <vt:lpstr>6123 - Dopravní prostředky</vt:lpstr>
      <vt:lpstr>6125 - Výpočetní techniky</vt:lpstr>
      <vt:lpstr>6130 - Pozemky</vt:lpstr>
      <vt:lpstr>Úvěr</vt:lpstr>
      <vt:lpstr>Cash flow - Peněžní tok</vt:lpstr>
      <vt:lpstr>Podkladová tabulka -CF</vt:lpstr>
      <vt:lpstr>výhled do 2023</vt:lpstr>
      <vt:lpstr>Výhled 2018-2022</vt:lpstr>
      <vt:lpstr>Zásobník projektů 2016-2020</vt:lpstr>
      <vt:lpstr>'Sumář  výdaje kapitol'!Názvy_tisku</vt:lpstr>
      <vt:lpstr>'Příjmy z pronájmu'!Oblast_tisku</vt:lpstr>
      <vt:lpstr>'Sumář příjmů kapitol'!Oblast_tisku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Teplá Jana</cp:lastModifiedBy>
  <cp:lastPrinted>2018-07-03T12:23:33Z</cp:lastPrinted>
  <dcterms:created xsi:type="dcterms:W3CDTF">2014-09-16T07:52:57Z</dcterms:created>
  <dcterms:modified xsi:type="dcterms:W3CDTF">2020-01-13T08:41:51Z</dcterms:modified>
</cp:coreProperties>
</file>