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arlova\Desktop\Na web\"/>
    </mc:Choice>
  </mc:AlternateContent>
  <bookViews>
    <workbookView xWindow="0" yWindow="0" windowWidth="28800" windowHeight="12435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state="hidden" r:id="rId9"/>
    <sheet name="TSÚ úpr" sheetId="117" state="hidden" r:id="rId10"/>
    <sheet name="RUD" sheetId="111" r:id="rId11"/>
    <sheet name="Odhad RUD koronavirus" sheetId="120" state="hidden" r:id="rId12"/>
    <sheet name="poplatky" sheetId="138" state="hidden" r:id="rId13"/>
    <sheet name="Cash flow" sheetId="85" r:id="rId14"/>
    <sheet name="Nákup a prodej vody" sheetId="119" state="hidden" r:id="rId15"/>
    <sheet name="PO" sheetId="137" state="hidden" r:id="rId16"/>
    <sheet name="Investice celkem  2024" sheetId="94" r:id="rId17"/>
    <sheet name="5137-DHIM" sheetId="104" r:id="rId18"/>
    <sheet name="5139-Materiál" sheetId="105" r:id="rId19"/>
    <sheet name="5153-plyn" sheetId="123" r:id="rId20"/>
    <sheet name="5154-el.energie" sheetId="125" r:id="rId21"/>
    <sheet name="5164-Nájemné" sheetId="106" r:id="rId22"/>
    <sheet name="5169_nákup služeb celkem" sheetId="87" r:id="rId23"/>
    <sheet name="5171_Opravy a udrzování celkem" sheetId="72" r:id="rId24"/>
    <sheet name="5172-progr.výbavení" sheetId="127" r:id="rId25"/>
    <sheet name="5331-Neinv.přísp.org." sheetId="107" r:id="rId26"/>
    <sheet name="plán - úvěrů a úroků" sheetId="103" state="hidden" r:id="rId27"/>
    <sheet name="srovnání " sheetId="91" state="hidden" r:id="rId28"/>
    <sheet name="voda-kalkulace" sheetId="77" state="hidden" r:id="rId29"/>
    <sheet name="Konsolidace " sheetId="76" state="hidden" r:id="rId30"/>
    <sheet name="Podkladová tabulka -CF" sheetId="92" state="hidden" r:id="rId31"/>
    <sheet name="od roku 2018" sheetId="129" state="hidden" r:id="rId32"/>
    <sheet name="Zásobník projektů 2016-2020" sheetId="84" state="hidden" r:id="rId33"/>
    <sheet name="plán - úvěrů a úroků akt." sheetId="139" state="hidden" r:id="rId34"/>
    <sheet name="plán - úvěrů a úroků akt._1" sheetId="140" r:id="rId35"/>
    <sheet name="čerpání-úvěr a úroky" sheetId="128" r:id="rId36"/>
    <sheet name="přepočet úroků" sheetId="134" state="hidden" r:id="rId37"/>
    <sheet name="výhled 2024-2028" sheetId="131" state="hidden" r:id="rId38"/>
    <sheet name="zásobník projektů 2023-2027" sheetId="132" r:id="rId39"/>
    <sheet name="zásobník projektů 2020-2024" sheetId="136" state="hidden" r:id="rId40"/>
    <sheet name="Financování" sheetId="135" state="hidden" r:id="rId41"/>
    <sheet name="zásobník projektů realizované " sheetId="133" state="hidden" r:id="rId42"/>
    <sheet name=" Propočet úroků" sheetId="108" state="hidden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celkem'!$A$2:$I$113</definedName>
    <definedName name="Z_8E849D53_8AE4_474C_8B18_4F51F16C1AF2_.wvu.Cols" localSheetId="35" hidden="1">'čerpání-úvěr a úroky'!#REF!</definedName>
    <definedName name="Z_8E849D53_8AE4_474C_8B18_4F51F16C1AF2_.wvu.Cols" localSheetId="3" hidden="1">'graf Tab.mzdy'!$S:$XFD</definedName>
    <definedName name="Z_8E849D53_8AE4_474C_8B18_4F51F16C1AF2_.wvu.Cols" localSheetId="16" hidden="1">'Investice celkem  2024'!$D:$F,'Investice celkem  2024'!$M:$R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2024'!$I:$K</definedName>
    <definedName name="Z_8E849D53_8AE4_474C_8B18_4F51F16C1AF2_.wvu.Cols" localSheetId="27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celkem'!$A$2:$I$113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7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8" hidden="1">'5139-Materiál'!$5:$6,'5139-Materiál'!$15:$17,'5139-Materiál'!$20:$20,'5139-Materiál'!$26:$27,'5139-Materiál'!$38:$38,'5139-Materiál'!$51:$52,'5139-Materiál'!$54:$55,'5139-Materiál'!$59:$59,'5139-Materiál'!$62:$63,'5139-Materiál'!$70:$72,'5139-Materiál'!$78:$79,'5139-Materiál'!$81:$84,'5139-Materiál'!$86:$87,'5139-Materiál'!$89:$90,'5139-Materiál'!$92:$93,'5139-Materiál'!$95:$97,'5139-Materiál'!$99:$100,'5139-Materiál'!$102:$103,'5139-Materiál'!$105:$106,'5139-Materiál'!$115:$116,'5139-Materiál'!$118:$119,'5139-Materiál'!$122:$122,'5139-Materiál'!$125:$127,'5139-Materiál'!$129:$131,'5139-Materiál'!$133:$134,'5139-Materiál'!$136:$137,'5139-Materiál'!$139:$141,'5139-Materiál'!$143:$144,'5139-Materiál'!$146:$148,'5139-Materiál'!$150:$151,'5139-Materiál'!$153:$154,'5139-Materiál'!$157:$157,'5139-Materiál'!$160:$162</definedName>
    <definedName name="Z_8E849D53_8AE4_474C_8B18_4F51F16C1AF2_.wvu.Rows" localSheetId="19" hidden="1">'5153-plyn'!$30:$31</definedName>
    <definedName name="Z_8E849D53_8AE4_474C_8B18_4F51F16C1AF2_.wvu.Rows" localSheetId="20" hidden="1">'5154-el.energie'!$27:$28,'5154-el.energie'!$30:$31,'5154-el.energie'!$39:$40,'5154-el.energie'!$42:$43,'5154-el.energie'!$60:$60,'5154-el.energie'!$63:$64</definedName>
    <definedName name="Z_8E849D53_8AE4_474C_8B18_4F51F16C1AF2_.wvu.Rows" localSheetId="21" hidden="1">'5164-Nájemné'!$24:$25,'5164-Nájemné'!$33:$34,'5164-Nájemné'!$36:$37,'5164-Nájemné'!$39:$40,'5164-Nájemné'!$49:$50,'5164-Nájemné'!$53:$53</definedName>
    <definedName name="Z_8E849D53_8AE4_474C_8B18_4F51F16C1AF2_.wvu.Rows" localSheetId="22" hidden="1">'5169_nákup služeb celkem'!$15:$17,'5169_nákup služeb celkem'!$63:$65,'5169_nákup služeb celkem'!$72:$72,'5169_nákup služeb celkem'!$78:$80,'5169_nákup služeb celkem'!$88:$89,'5169_nákup služeb celkem'!$101:$104,'5169_nákup služeb celkem'!$122:$123,'5169_nákup služeb celkem'!$157:$159,'5169_nákup služeb celkem'!$185:$185,'5169_nákup služeb celkem'!$188:$189,'5169_nákup služeb celkem'!$191:$192,'5169_nákup služeb celkem'!$194:$195,'5169_nákup služeb celkem'!$206:$208</definedName>
    <definedName name="Z_8E849D53_8AE4_474C_8B18_4F51F16C1AF2_.wvu.Rows" localSheetId="23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celkem'!$151:$153,'5171_Opravy a udrzování celkem'!$156:$156</definedName>
    <definedName name="Z_8E849D53_8AE4_474C_8B18_4F51F16C1AF2_.wvu.Rows" localSheetId="25" hidden="1">'5331-Neinv.přísp.org.'!$11:$11</definedName>
    <definedName name="Z_8E849D53_8AE4_474C_8B18_4F51F16C1AF2_.wvu.Rows" localSheetId="13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2024'!$12:$12,'Investice celkem  2024'!$16:$19,'Investice celkem  2024'!$36:$38,'Investice celkem  2024'!$41:$41,'Investice celkem  2024'!$43:$43,'Investice celkem  2024'!$47:$47,'Investice celkem  2024'!$49:$53,'Investice celkem  2024'!$55:$62,'Investice celkem  2024'!$65:$67,'Investice celkem  2024'!$69:$70,'Investice celkem  2024'!$74:$74,'Investice celkem  2024'!$77:$79,'Investice celkem  2024'!$81:$87,'Investice celkem  2024'!$90:$90,'Investice celkem  2024'!$95:$97,'Investice celkem  2024'!$106:$111,'Investice celkem  2024'!$115:$115,'Investice celkem  2024'!$118:$126,'Investice celkem  2024'!$128:$129,'Investice celkem  2024'!$133:$134,'Investice celkem  2024'!$137:$140,'Investice celkem  2024'!$142:$144,'Investice celkem  2024'!$146:$154,'Investice celkem  2024'!$156:$158,'Investice celkem  2024'!$160:$163,'Investice celkem  2024'!#REF!,'Investice celkem  2024'!$179:$180,'Investice celkem  2024'!$182:$185,'Investice celkem  2024'!$187:$191,'Investice celkem  2024'!$193:$193,'Investice celkem  2024'!$195:$195,'Investice celkem  2024'!$197:$197,'Investice celkem  2024'!$200:$204,'Investice celkem  2024'!$207:$218,'Investice celkem  2024'!$220:$221,'Investice celkem  2024'!$232:$232,'Investice celkem  2024'!$242:$250,'Investice celkem  2024'!$253:$255,'Investice celkem  2024'!$266:$267,'Investice celkem  2024'!$269:$270,'Investice celkem  2024'!$272:$273,'Investice celkem  2024'!$275:$278,'Investice celkem  2024'!$280:$282,'Investice celkem  2024'!$284:$286,'Investice celkem  2024'!$288:$290,'Investice celkem  2024'!$292:$294,'Investice celkem  2024'!$296:$299,'Investice celkem  2024'!$301:$304</definedName>
    <definedName name="Z_8E849D53_8AE4_474C_8B18_4F51F16C1AF2_.wvu.Rows" localSheetId="14" hidden="1">'Nákup a prodej vody'!$70:$70</definedName>
    <definedName name="Z_8E849D53_8AE4_474C_8B18_4F51F16C1AF2_.wvu.Rows" localSheetId="26" hidden="1">'plán - úvěrů a úroků'!$16:$16,'plán - úvěrů a úroků'!$43:$43,'plán - úvěrů a úroků'!$49:$55</definedName>
    <definedName name="Z_8E849D53_8AE4_474C_8B18_4F51F16C1AF2_.wvu.Rows" localSheetId="33" hidden="1">'plán - úvěrů a úroků akt.'!$15:$15,'plán - úvěrů a úroků akt.'!$46:$46,'plán - úvěrů a úroků akt.'!$52:$58</definedName>
    <definedName name="Z_8E849D53_8AE4_474C_8B18_4F51F16C1AF2_.wvu.Rows" localSheetId="34" hidden="1">'plán - úvěrů a úroků akt._1'!#REF!,'plán - úvěrů a úroků akt._1'!$55:$55,'plán - úvěrů a úroků akt._1'!$61:$67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2024'!$20:$20,'Souhrn příjmů a výdajů 2024'!$31:$31,'Souhrn příjmů a výdajů 2024'!$34:$34,'Souhrn příjmů a výdajů 2024'!$41:$41,'Souhrn příjmů a výdajů 2024'!#REF!,'Souhrn příjmů a výdajů 2024'!$55:$56,'Souhrn příjmů a výdajů 2024'!$60:$61,'Souhrn příjmů a výdajů 2024'!$66:$67,'Souhrn příjmů a výdajů 2024'!$72:$72,'Souhrn příjmů a výdajů 2024'!$80:$80,'Souhrn příjmů a výdajů 2024'!$93:$93,'Souhrn příjmů a výdajů 2024'!$96:$98,'Souhrn příjmů a výdajů 2024'!$105:$108,'Souhrn příjmů a výdajů 2024'!$134:$135,'Souhrn příjmů a výdajů 2024'!$156:$157,'Souhrn příjmů a výdajů 2024'!$164:$164,'Souhrn příjmů a výdajů 2024'!$176:$176,'Souhrn příjmů a výdajů 2024'!$178:$178,'Souhrn příjmů a výdajů 2024'!$180:$180,'Souhrn příjmů a výdajů 2024'!$182:$182,'Souhrn příjmů a výdajů 2024'!$186:$186,'Souhrn příjmů a výdajů 2024'!#REF!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7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2024-2028'!#REF!</definedName>
    <definedName name="Z_8E849D53_8AE4_474C_8B18_4F51F16C1AF2_.wvu.Rows" localSheetId="32" hidden="1">'Zásobník projektů 2016-2020'!$77:$77</definedName>
    <definedName name="Z_8E849D53_8AE4_474C_8B18_4F51F16C1AF2_.wvu.Rows" localSheetId="39" hidden="1">'zásobník projektů 2020-2024'!$151:$1048576</definedName>
    <definedName name="Z_8E849D53_8AE4_474C_8B18_4F51F16C1AF2_.wvu.Rows" localSheetId="38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N120" i="111" l="1"/>
  <c r="N121" i="111"/>
  <c r="H279" i="128"/>
  <c r="H278" i="128"/>
  <c r="H276" i="128"/>
  <c r="H277" i="128"/>
  <c r="H280" i="128"/>
  <c r="G280" i="128"/>
  <c r="F280" i="128"/>
  <c r="S23" i="85"/>
  <c r="M14" i="85"/>
  <c r="M15" i="85"/>
  <c r="F14" i="85"/>
  <c r="F15" i="85"/>
  <c r="I5" i="73"/>
  <c r="I52" i="73"/>
  <c r="I53" i="73"/>
  <c r="H6" i="127"/>
  <c r="H5" i="127"/>
  <c r="H6" i="72"/>
  <c r="H7" i="72"/>
  <c r="H23" i="87"/>
  <c r="N15" i="4" l="1"/>
  <c r="N14" i="4"/>
  <c r="N13" i="4"/>
  <c r="N11" i="4"/>
  <c r="N10" i="4"/>
  <c r="N9" i="4"/>
  <c r="R60" i="4" l="1"/>
  <c r="R39" i="4"/>
  <c r="Q39" i="4" s="1"/>
  <c r="Q29" i="4"/>
  <c r="Q30" i="4"/>
  <c r="Q33" i="4"/>
  <c r="Q40" i="4"/>
  <c r="Q41" i="4"/>
  <c r="Q43" i="4"/>
  <c r="Q44" i="4"/>
  <c r="Q47" i="4"/>
  <c r="Q48" i="4"/>
  <c r="Q49" i="4"/>
  <c r="Q50" i="4"/>
  <c r="Q51" i="4"/>
  <c r="S46" i="4"/>
  <c r="S45" i="4"/>
  <c r="S42" i="4"/>
  <c r="S38" i="4"/>
  <c r="S37" i="4"/>
  <c r="S36" i="4"/>
  <c r="R62" i="4"/>
  <c r="R61" i="4"/>
  <c r="R57" i="4"/>
  <c r="R46" i="4"/>
  <c r="R45" i="4"/>
  <c r="R42" i="4"/>
  <c r="R38" i="4"/>
  <c r="R37" i="4"/>
  <c r="R36" i="4"/>
  <c r="R35" i="4"/>
  <c r="Q35" i="4" s="1"/>
  <c r="H16" i="87"/>
  <c r="H15" i="87"/>
  <c r="H12" i="87"/>
  <c r="I12" i="87" s="1"/>
  <c r="H11" i="87"/>
  <c r="I13" i="87"/>
  <c r="H12" i="105"/>
  <c r="H16" i="105"/>
  <c r="H15" i="105"/>
  <c r="H11" i="105"/>
  <c r="Q36" i="4" l="1"/>
  <c r="Q37" i="4"/>
  <c r="Q38" i="4"/>
  <c r="Q42" i="4"/>
  <c r="Q46" i="4"/>
  <c r="Q45" i="4"/>
  <c r="H14" i="87"/>
  <c r="I14" i="87" s="1"/>
  <c r="I11" i="87"/>
  <c r="I13" i="105" l="1"/>
  <c r="I12" i="105"/>
  <c r="H14" i="105"/>
  <c r="I14" i="105" s="1"/>
  <c r="P38" i="4"/>
  <c r="P34" i="4"/>
  <c r="J18" i="87" s="1"/>
  <c r="P22" i="4"/>
  <c r="J18" i="105" s="1"/>
  <c r="O38" i="4"/>
  <c r="O34" i="4"/>
  <c r="J14" i="87" s="1"/>
  <c r="K14" i="87" s="1"/>
  <c r="O22" i="4"/>
  <c r="J14" i="105" s="1"/>
  <c r="P14" i="4"/>
  <c r="P13" i="4"/>
  <c r="P9" i="4"/>
  <c r="P72" i="4"/>
  <c r="P69" i="4"/>
  <c r="P21" i="4"/>
  <c r="P15" i="4"/>
  <c r="P12" i="4"/>
  <c r="P11" i="4"/>
  <c r="P10" i="4"/>
  <c r="P8" i="4"/>
  <c r="G227" i="73"/>
  <c r="I100" i="73"/>
  <c r="I101" i="73"/>
  <c r="I102" i="73"/>
  <c r="H79" i="73"/>
  <c r="H111" i="73"/>
  <c r="H100" i="73"/>
  <c r="H110" i="73"/>
  <c r="H52" i="73"/>
  <c r="L128" i="111"/>
  <c r="M128" i="111"/>
  <c r="L129" i="111"/>
  <c r="M129" i="111"/>
  <c r="L130" i="111"/>
  <c r="M130" i="111"/>
  <c r="S115" i="111"/>
  <c r="P52" i="4" l="1"/>
  <c r="K14" i="105"/>
  <c r="I11" i="105"/>
  <c r="P16" i="4"/>
  <c r="M13" i="85"/>
  <c r="M19" i="85"/>
  <c r="M17" i="85"/>
  <c r="H56" i="85"/>
  <c r="P55" i="4" l="1"/>
  <c r="P74" i="4" s="1"/>
  <c r="G13" i="85"/>
  <c r="G16" i="85"/>
  <c r="N6" i="85"/>
  <c r="O6" i="85"/>
  <c r="P6" i="85"/>
  <c r="Q6" i="85"/>
  <c r="N8" i="85"/>
  <c r="O8" i="85"/>
  <c r="P8" i="85"/>
  <c r="Q8" i="85"/>
  <c r="N10" i="85"/>
  <c r="O10" i="85"/>
  <c r="P10" i="85"/>
  <c r="Q10" i="85"/>
  <c r="N11" i="85"/>
  <c r="O11" i="85"/>
  <c r="P11" i="85"/>
  <c r="Q11" i="85"/>
  <c r="N18" i="134" l="1"/>
  <c r="N17" i="134"/>
  <c r="N16" i="134"/>
  <c r="N15" i="134"/>
  <c r="H251" i="128"/>
  <c r="H274" i="128"/>
  <c r="H273" i="128"/>
  <c r="H272" i="128"/>
  <c r="H271" i="128"/>
  <c r="H275" i="128" s="1"/>
  <c r="H269" i="128"/>
  <c r="H267" i="128"/>
  <c r="H266" i="128"/>
  <c r="H264" i="128"/>
  <c r="H262" i="128"/>
  <c r="H261" i="128"/>
  <c r="H259" i="128"/>
  <c r="H257" i="128"/>
  <c r="H256" i="128"/>
  <c r="F275" i="128"/>
  <c r="BG58" i="4"/>
  <c r="BG64" i="4"/>
  <c r="L14" i="94" l="1"/>
  <c r="M14" i="94" s="1"/>
  <c r="L139" i="94"/>
  <c r="L250" i="94" l="1"/>
  <c r="N50" i="140" l="1"/>
  <c r="O50" i="140" s="1"/>
  <c r="P50" i="140" s="1"/>
  <c r="Q50" i="140" s="1"/>
  <c r="R50" i="140" s="1"/>
  <c r="S50" i="140" s="1"/>
  <c r="T50" i="140" s="1"/>
  <c r="U50" i="140" s="1"/>
  <c r="H50" i="140"/>
  <c r="I50" i="140" s="1"/>
  <c r="J50" i="140" s="1"/>
  <c r="K50" i="140" s="1"/>
  <c r="L50" i="140" s="1"/>
  <c r="M50" i="140" s="1"/>
  <c r="G50" i="140"/>
  <c r="F50" i="140"/>
  <c r="I24" i="140"/>
  <c r="H24" i="140"/>
  <c r="G24" i="140"/>
  <c r="F24" i="140"/>
  <c r="G275" i="128"/>
  <c r="J40" i="140"/>
  <c r="K40" i="140" s="1"/>
  <c r="L40" i="140" s="1"/>
  <c r="M40" i="140" s="1"/>
  <c r="N40" i="140" s="1"/>
  <c r="O40" i="140" s="1"/>
  <c r="P40" i="140" s="1"/>
  <c r="Q40" i="140" s="1"/>
  <c r="R40" i="140" s="1"/>
  <c r="S40" i="140" s="1"/>
  <c r="T40" i="140" s="1"/>
  <c r="I40" i="140"/>
  <c r="G216" i="73"/>
  <c r="G215" i="73"/>
  <c r="G214" i="73"/>
  <c r="H29" i="87"/>
  <c r="G213" i="73" l="1"/>
  <c r="G211" i="73" s="1"/>
  <c r="L92" i="94"/>
  <c r="M92" i="94" s="1"/>
  <c r="L91" i="94"/>
  <c r="M91" i="94" s="1"/>
  <c r="L238" i="94" l="1"/>
  <c r="P272" i="128" l="1"/>
  <c r="P271" i="128"/>
  <c r="O276" i="128"/>
  <c r="J257" i="128"/>
  <c r="O275" i="128"/>
  <c r="O272" i="128"/>
  <c r="O273" i="128" s="1"/>
  <c r="O271" i="128"/>
  <c r="J256" i="128"/>
  <c r="P273" i="128" l="1"/>
  <c r="P274" i="128" s="1"/>
  <c r="N273" i="128"/>
  <c r="U42" i="140" l="1"/>
  <c r="M42" i="140"/>
  <c r="U41" i="140"/>
  <c r="T41" i="140"/>
  <c r="T42" i="140" s="1"/>
  <c r="S41" i="140"/>
  <c r="S42" i="140" s="1"/>
  <c r="R41" i="140"/>
  <c r="R42" i="140" s="1"/>
  <c r="Q41" i="140"/>
  <c r="Q42" i="140" s="1"/>
  <c r="P41" i="140"/>
  <c r="P42" i="140" s="1"/>
  <c r="O41" i="140"/>
  <c r="O42" i="140" s="1"/>
  <c r="N41" i="140"/>
  <c r="N42" i="140" s="1"/>
  <c r="M41" i="140"/>
  <c r="L41" i="140"/>
  <c r="L42" i="140" s="1"/>
  <c r="K41" i="140"/>
  <c r="K42" i="140" s="1"/>
  <c r="J41" i="140"/>
  <c r="J42" i="140" s="1"/>
  <c r="I41" i="140"/>
  <c r="H41" i="140"/>
  <c r="G41" i="140"/>
  <c r="F41" i="140"/>
  <c r="E41" i="140"/>
  <c r="D41" i="140"/>
  <c r="D42" i="140" s="1"/>
  <c r="D54" i="140" s="1"/>
  <c r="C41" i="140"/>
  <c r="C42" i="140" s="1"/>
  <c r="C54" i="140" s="1"/>
  <c r="B41" i="140"/>
  <c r="B42" i="140"/>
  <c r="B54" i="140" s="1"/>
  <c r="D25" i="140"/>
  <c r="C25" i="140"/>
  <c r="B25" i="140"/>
  <c r="U22" i="140"/>
  <c r="T22" i="140"/>
  <c r="S22" i="140"/>
  <c r="R22" i="140"/>
  <c r="E46" i="140"/>
  <c r="F46" i="140" s="1"/>
  <c r="G46" i="140" s="1"/>
  <c r="E45" i="140"/>
  <c r="F45" i="140" s="1"/>
  <c r="G45" i="140" s="1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F38" i="140"/>
  <c r="E28" i="140"/>
  <c r="E12" i="139"/>
  <c r="M66" i="140"/>
  <c r="M64" i="140" s="1"/>
  <c r="H66" i="140"/>
  <c r="H64" i="140" s="1"/>
  <c r="C66" i="140"/>
  <c r="C64" i="140" s="1"/>
  <c r="Q64" i="140"/>
  <c r="P64" i="140"/>
  <c r="O64" i="140"/>
  <c r="N64" i="140"/>
  <c r="L64" i="140"/>
  <c r="K64" i="140"/>
  <c r="J64" i="140"/>
  <c r="I64" i="140"/>
  <c r="G64" i="140"/>
  <c r="F64" i="140"/>
  <c r="E64" i="140"/>
  <c r="D64" i="140"/>
  <c r="B64" i="140"/>
  <c r="E58" i="140"/>
  <c r="F58" i="140" s="1"/>
  <c r="G58" i="140" s="1"/>
  <c r="H58" i="140" s="1"/>
  <c r="I58" i="140" s="1"/>
  <c r="J58" i="140" s="1"/>
  <c r="K58" i="140" s="1"/>
  <c r="L58" i="140" s="1"/>
  <c r="M58" i="140" s="1"/>
  <c r="N58" i="140" s="1"/>
  <c r="O58" i="140" s="1"/>
  <c r="P58" i="140" s="1"/>
  <c r="Q58" i="140" s="1"/>
  <c r="D51" i="140"/>
  <c r="D59" i="140" s="1"/>
  <c r="C51" i="140"/>
  <c r="C59" i="140" s="1"/>
  <c r="B51" i="140"/>
  <c r="B59" i="140" s="1"/>
  <c r="E49" i="140"/>
  <c r="F49" i="140" s="1"/>
  <c r="G22" i="140" s="1"/>
  <c r="E47" i="140"/>
  <c r="F47" i="140" s="1"/>
  <c r="G47" i="140" s="1"/>
  <c r="H47" i="140" s="1"/>
  <c r="I47" i="140" s="1"/>
  <c r="J47" i="140" s="1"/>
  <c r="K47" i="140" s="1"/>
  <c r="L47" i="140" s="1"/>
  <c r="M47" i="140" s="1"/>
  <c r="N47" i="140" s="1"/>
  <c r="O47" i="140" s="1"/>
  <c r="P47" i="140" s="1"/>
  <c r="Q47" i="140" s="1"/>
  <c r="R47" i="140" s="1"/>
  <c r="S18" i="140" s="1"/>
  <c r="S25" i="140" s="1"/>
  <c r="B18" i="134"/>
  <c r="P18" i="134" s="1"/>
  <c r="M18" i="134"/>
  <c r="M17" i="134"/>
  <c r="M16" i="134"/>
  <c r="M15" i="134"/>
  <c r="O15" i="134" s="1"/>
  <c r="P15" i="134" s="1"/>
  <c r="L18" i="134"/>
  <c r="L17" i="134"/>
  <c r="L15" i="134"/>
  <c r="H270" i="128"/>
  <c r="G270" i="128"/>
  <c r="F270" i="128"/>
  <c r="I128" i="111"/>
  <c r="J128" i="111"/>
  <c r="K128" i="111"/>
  <c r="I129" i="111"/>
  <c r="J129" i="111"/>
  <c r="K129" i="111"/>
  <c r="I130" i="111"/>
  <c r="J130" i="111"/>
  <c r="K130" i="111"/>
  <c r="K120" i="111"/>
  <c r="K121" i="111"/>
  <c r="CW35" i="4"/>
  <c r="J34" i="4"/>
  <c r="I11" i="107"/>
  <c r="I153" i="72"/>
  <c r="I152" i="72"/>
  <c r="I151" i="72"/>
  <c r="I144" i="72"/>
  <c r="I140" i="72"/>
  <c r="I136" i="72"/>
  <c r="I132" i="72"/>
  <c r="I127" i="72"/>
  <c r="I102" i="72"/>
  <c r="I101" i="72"/>
  <c r="I82" i="72"/>
  <c r="I75" i="72"/>
  <c r="I74" i="72"/>
  <c r="I67" i="72"/>
  <c r="I63" i="72"/>
  <c r="I59" i="72"/>
  <c r="I52" i="72"/>
  <c r="I51" i="72"/>
  <c r="I46" i="72"/>
  <c r="I34" i="72"/>
  <c r="I33" i="72"/>
  <c r="I29" i="72"/>
  <c r="I10" i="72"/>
  <c r="I208" i="87"/>
  <c r="I207" i="87"/>
  <c r="I206" i="87"/>
  <c r="I200" i="87"/>
  <c r="I195" i="87"/>
  <c r="I194" i="87"/>
  <c r="I192" i="87"/>
  <c r="I191" i="87"/>
  <c r="I189" i="87"/>
  <c r="I188" i="87"/>
  <c r="I186" i="87"/>
  <c r="I185" i="87"/>
  <c r="I171" i="87"/>
  <c r="I159" i="87"/>
  <c r="I158" i="87"/>
  <c r="I157" i="87"/>
  <c r="I155" i="87"/>
  <c r="I154" i="87"/>
  <c r="I134" i="87"/>
  <c r="I132" i="87"/>
  <c r="I107" i="87"/>
  <c r="I104" i="87"/>
  <c r="I103" i="87"/>
  <c r="I102" i="87"/>
  <c r="I101" i="87"/>
  <c r="I99" i="87"/>
  <c r="I94" i="87"/>
  <c r="I90" i="87"/>
  <c r="I89" i="87"/>
  <c r="I88" i="87"/>
  <c r="I87" i="87"/>
  <c r="I84" i="87"/>
  <c r="I83" i="87"/>
  <c r="I80" i="87"/>
  <c r="I79" i="87"/>
  <c r="I78" i="87"/>
  <c r="I76" i="87"/>
  <c r="I73" i="87"/>
  <c r="I72" i="87"/>
  <c r="I65" i="87"/>
  <c r="I64" i="87"/>
  <c r="I63" i="87"/>
  <c r="I35" i="87"/>
  <c r="I32" i="87"/>
  <c r="I26" i="87"/>
  <c r="I23" i="87"/>
  <c r="I17" i="87"/>
  <c r="I16" i="87"/>
  <c r="I15" i="87"/>
  <c r="I56" i="106"/>
  <c r="I54" i="106"/>
  <c r="I53" i="106"/>
  <c r="I50" i="106"/>
  <c r="I49" i="106"/>
  <c r="I40" i="106"/>
  <c r="I39" i="106"/>
  <c r="I36" i="106"/>
  <c r="I18" i="106"/>
  <c r="I16" i="106"/>
  <c r="I5" i="106"/>
  <c r="I64" i="125"/>
  <c r="I63" i="125"/>
  <c r="I61" i="125"/>
  <c r="I60" i="125"/>
  <c r="I57" i="125"/>
  <c r="I54" i="125"/>
  <c r="I47" i="125"/>
  <c r="I7" i="125"/>
  <c r="I31" i="123"/>
  <c r="I30" i="123"/>
  <c r="I7" i="123"/>
  <c r="I162" i="105"/>
  <c r="I161" i="105"/>
  <c r="I160" i="105"/>
  <c r="I158" i="105"/>
  <c r="I154" i="105"/>
  <c r="I153" i="105"/>
  <c r="I151" i="105"/>
  <c r="I150" i="105"/>
  <c r="I148" i="105"/>
  <c r="I147" i="105"/>
  <c r="I146" i="105"/>
  <c r="I144" i="105"/>
  <c r="I143" i="105"/>
  <c r="I141" i="105"/>
  <c r="I140" i="105"/>
  <c r="I139" i="105"/>
  <c r="I137" i="105"/>
  <c r="I136" i="105"/>
  <c r="I134" i="105"/>
  <c r="I133" i="105"/>
  <c r="I131" i="105"/>
  <c r="I130" i="105"/>
  <c r="I129" i="105"/>
  <c r="I127" i="105"/>
  <c r="I126" i="105"/>
  <c r="I125" i="105"/>
  <c r="I123" i="105"/>
  <c r="I119" i="105"/>
  <c r="I118" i="105"/>
  <c r="I116" i="105"/>
  <c r="I115" i="105"/>
  <c r="I113" i="105"/>
  <c r="I106" i="105"/>
  <c r="I105" i="105"/>
  <c r="I103" i="105"/>
  <c r="I102" i="105"/>
  <c r="I100" i="105"/>
  <c r="I99" i="105"/>
  <c r="I97" i="105"/>
  <c r="I96" i="105"/>
  <c r="I95" i="105"/>
  <c r="I93" i="105"/>
  <c r="I92" i="105"/>
  <c r="I90" i="105"/>
  <c r="I89" i="105"/>
  <c r="I87" i="105"/>
  <c r="I86" i="105"/>
  <c r="I84" i="105"/>
  <c r="I83" i="105"/>
  <c r="I82" i="105"/>
  <c r="I81" i="105"/>
  <c r="I79" i="105"/>
  <c r="I78" i="105"/>
  <c r="I76" i="105"/>
  <c r="I72" i="105"/>
  <c r="I71" i="105"/>
  <c r="I70" i="105"/>
  <c r="I68" i="105"/>
  <c r="I63" i="105"/>
  <c r="I62" i="105"/>
  <c r="I60" i="105"/>
  <c r="I55" i="105"/>
  <c r="I54" i="105"/>
  <c r="I52" i="105"/>
  <c r="I51" i="105"/>
  <c r="I49" i="105"/>
  <c r="I38" i="105"/>
  <c r="I36" i="105"/>
  <c r="I27" i="105"/>
  <c r="I26" i="105"/>
  <c r="I21" i="105"/>
  <c r="I20" i="105"/>
  <c r="I17" i="105"/>
  <c r="I6" i="105"/>
  <c r="I5" i="105"/>
  <c r="I66" i="104"/>
  <c r="I62" i="104"/>
  <c r="I57" i="104"/>
  <c r="I56" i="104"/>
  <c r="I55" i="104"/>
  <c r="I53" i="104"/>
  <c r="I52" i="104"/>
  <c r="I50" i="104"/>
  <c r="I49" i="104"/>
  <c r="I47" i="104"/>
  <c r="I41" i="104"/>
  <c r="I40" i="104"/>
  <c r="I39" i="104"/>
  <c r="I35" i="104"/>
  <c r="I30" i="104"/>
  <c r="I29" i="104"/>
  <c r="I23" i="104"/>
  <c r="I22" i="104"/>
  <c r="I16" i="104"/>
  <c r="I12" i="104"/>
  <c r="I11" i="104"/>
  <c r="I9" i="104"/>
  <c r="I6" i="104"/>
  <c r="I5" i="104"/>
  <c r="M304" i="94"/>
  <c r="M303" i="94"/>
  <c r="M299" i="94"/>
  <c r="M298" i="94"/>
  <c r="M294" i="94"/>
  <c r="M293" i="94"/>
  <c r="M292" i="94"/>
  <c r="M290" i="94"/>
  <c r="M289" i="94"/>
  <c r="M288" i="94"/>
  <c r="M286" i="94"/>
  <c r="M285" i="94"/>
  <c r="M284" i="94"/>
  <c r="M282" i="94"/>
  <c r="M281" i="94"/>
  <c r="M280" i="94"/>
  <c r="M278" i="94"/>
  <c r="M277" i="94"/>
  <c r="M270" i="94"/>
  <c r="M269" i="94"/>
  <c r="M261" i="94"/>
  <c r="M257" i="94"/>
  <c r="M236" i="94"/>
  <c r="M176" i="94"/>
  <c r="M171" i="94"/>
  <c r="M158" i="94"/>
  <c r="M153" i="94"/>
  <c r="M152" i="94"/>
  <c r="M151" i="94"/>
  <c r="M150" i="94"/>
  <c r="M149" i="94"/>
  <c r="M148" i="94"/>
  <c r="M147" i="94"/>
  <c r="M146" i="94"/>
  <c r="M135" i="94"/>
  <c r="M133" i="94"/>
  <c r="M132" i="94"/>
  <c r="M127" i="94"/>
  <c r="M126" i="94"/>
  <c r="M116" i="94"/>
  <c r="M115" i="94"/>
  <c r="M114" i="94"/>
  <c r="M111" i="94"/>
  <c r="M109" i="94"/>
  <c r="M97" i="94"/>
  <c r="M96" i="94"/>
  <c r="M95" i="94"/>
  <c r="M79" i="94"/>
  <c r="M70" i="94"/>
  <c r="M69" i="94"/>
  <c r="M63" i="94"/>
  <c r="M62" i="94"/>
  <c r="M44" i="94"/>
  <c r="M31" i="94"/>
  <c r="M26" i="94"/>
  <c r="M21" i="94"/>
  <c r="I188" i="73"/>
  <c r="I186" i="73"/>
  <c r="I183" i="73"/>
  <c r="I132" i="73"/>
  <c r="I110" i="73"/>
  <c r="I104" i="73"/>
  <c r="I93" i="73"/>
  <c r="I92" i="73"/>
  <c r="I91" i="73"/>
  <c r="I89" i="73"/>
  <c r="I87" i="73"/>
  <c r="I86" i="73"/>
  <c r="I85" i="73"/>
  <c r="I84" i="73"/>
  <c r="I82" i="73"/>
  <c r="I78" i="73"/>
  <c r="I77" i="73"/>
  <c r="I73" i="73"/>
  <c r="I29" i="73"/>
  <c r="I57" i="1"/>
  <c r="O18" i="134" l="1"/>
  <c r="Q18" i="140"/>
  <c r="I18" i="140"/>
  <c r="J18" i="140"/>
  <c r="R18" i="140"/>
  <c r="R25" i="140" s="1"/>
  <c r="G38" i="140"/>
  <c r="H38" i="140" s="1"/>
  <c r="I38" i="140" s="1"/>
  <c r="K18" i="140"/>
  <c r="L18" i="140"/>
  <c r="M18" i="140"/>
  <c r="N18" i="140"/>
  <c r="O18" i="140"/>
  <c r="H18" i="140"/>
  <c r="P18" i="140"/>
  <c r="H45" i="140"/>
  <c r="I45" i="140" s="1"/>
  <c r="J45" i="140" s="1"/>
  <c r="K45" i="140" s="1"/>
  <c r="L45" i="140" s="1"/>
  <c r="M45" i="140" s="1"/>
  <c r="N45" i="140" s="1"/>
  <c r="O45" i="140" s="1"/>
  <c r="P45" i="140" s="1"/>
  <c r="Q45" i="140" s="1"/>
  <c r="R45" i="140" s="1"/>
  <c r="S45" i="140" s="1"/>
  <c r="T45" i="140" s="1"/>
  <c r="U45" i="140" s="1"/>
  <c r="H14" i="140"/>
  <c r="H16" i="140"/>
  <c r="H46" i="140"/>
  <c r="B55" i="140"/>
  <c r="C55" i="140"/>
  <c r="D55" i="140"/>
  <c r="S47" i="140"/>
  <c r="T18" i="140" s="1"/>
  <c r="T25" i="140" s="1"/>
  <c r="L251" i="94"/>
  <c r="M251" i="94" s="1"/>
  <c r="M250" i="94"/>
  <c r="L110" i="94"/>
  <c r="M110" i="94" s="1"/>
  <c r="L108" i="94"/>
  <c r="M108" i="94" s="1"/>
  <c r="L170" i="94"/>
  <c r="M170" i="94" s="1"/>
  <c r="L168" i="94"/>
  <c r="M168" i="94" s="1"/>
  <c r="L167" i="94"/>
  <c r="M167" i="94" s="1"/>
  <c r="G265" i="128"/>
  <c r="F265" i="128"/>
  <c r="H265" i="128"/>
  <c r="F111" i="73"/>
  <c r="F123" i="73"/>
  <c r="G49" i="140" l="1"/>
  <c r="H49" i="140"/>
  <c r="H22" i="140"/>
  <c r="H25" i="140" s="1"/>
  <c r="H42" i="140" s="1"/>
  <c r="I46" i="140"/>
  <c r="I16" i="140"/>
  <c r="J38" i="140"/>
  <c r="F51" i="140"/>
  <c r="T47" i="140"/>
  <c r="U18" i="140" s="1"/>
  <c r="U25" i="140" s="1"/>
  <c r="H70" i="73"/>
  <c r="I70" i="73" s="1"/>
  <c r="H32" i="73"/>
  <c r="I32" i="73" s="1"/>
  <c r="H75" i="73"/>
  <c r="I75" i="73" s="1"/>
  <c r="H67" i="73"/>
  <c r="I67" i="73" s="1"/>
  <c r="H66" i="73"/>
  <c r="I66" i="73" s="1"/>
  <c r="H64" i="73"/>
  <c r="I64" i="73" s="1"/>
  <c r="H39" i="73"/>
  <c r="I39" i="73" s="1"/>
  <c r="H26" i="73"/>
  <c r="I26" i="73" s="1"/>
  <c r="H22" i="73"/>
  <c r="I22" i="73" s="1"/>
  <c r="H21" i="73"/>
  <c r="I21" i="73" s="1"/>
  <c r="I54" i="1"/>
  <c r="I16" i="1"/>
  <c r="I49" i="140" l="1"/>
  <c r="I22" i="140"/>
  <c r="I25" i="140" s="1"/>
  <c r="I42" i="140" s="1"/>
  <c r="J46" i="140"/>
  <c r="J16" i="140"/>
  <c r="K38" i="140"/>
  <c r="F59" i="140"/>
  <c r="G51" i="140"/>
  <c r="U47" i="140"/>
  <c r="I29" i="87"/>
  <c r="H28" i="87"/>
  <c r="I28" i="87" s="1"/>
  <c r="J22" i="140" l="1"/>
  <c r="J25" i="140" s="1"/>
  <c r="J49" i="140"/>
  <c r="K46" i="140"/>
  <c r="K16" i="140"/>
  <c r="L38" i="140"/>
  <c r="G59" i="140"/>
  <c r="H51" i="140"/>
  <c r="H30" i="87"/>
  <c r="I30" i="87" s="1"/>
  <c r="J51" i="4"/>
  <c r="J30" i="87"/>
  <c r="I110" i="1"/>
  <c r="I111" i="1"/>
  <c r="H115" i="73" s="1"/>
  <c r="I115" i="73" s="1"/>
  <c r="J259" i="128"/>
  <c r="J258" i="128"/>
  <c r="E41" i="139"/>
  <c r="E38" i="139"/>
  <c r="F38" i="139" s="1"/>
  <c r="G38" i="139" s="1"/>
  <c r="H38" i="139" s="1"/>
  <c r="I38" i="139" s="1"/>
  <c r="J38" i="139" s="1"/>
  <c r="K38" i="139" s="1"/>
  <c r="L38" i="139" s="1"/>
  <c r="M38" i="139" s="1"/>
  <c r="N38" i="139" s="1"/>
  <c r="O38" i="139" s="1"/>
  <c r="P38" i="139" s="1"/>
  <c r="Q38" i="139" s="1"/>
  <c r="R38" i="139" s="1"/>
  <c r="S38" i="139" s="1"/>
  <c r="T38" i="139" s="1"/>
  <c r="U38" i="139" s="1"/>
  <c r="E40" i="139"/>
  <c r="E37" i="139"/>
  <c r="E36" i="139"/>
  <c r="E35" i="139"/>
  <c r="U33" i="139"/>
  <c r="T33" i="139"/>
  <c r="S33" i="139"/>
  <c r="R33" i="139"/>
  <c r="Q33" i="139"/>
  <c r="P33" i="139"/>
  <c r="O33" i="139"/>
  <c r="N33" i="139"/>
  <c r="M33" i="139"/>
  <c r="L33" i="139"/>
  <c r="K33" i="139"/>
  <c r="J33" i="139"/>
  <c r="I33" i="139"/>
  <c r="H33" i="139"/>
  <c r="G33" i="139"/>
  <c r="D33" i="139"/>
  <c r="C33" i="139"/>
  <c r="C45" i="139" s="1"/>
  <c r="B33" i="139"/>
  <c r="B45" i="139" s="1"/>
  <c r="D45" i="139"/>
  <c r="K222" i="128"/>
  <c r="K223" i="128"/>
  <c r="K221" i="128"/>
  <c r="K220" i="128"/>
  <c r="K219" i="128"/>
  <c r="J223" i="128"/>
  <c r="J222" i="128"/>
  <c r="J221" i="128"/>
  <c r="J220" i="128"/>
  <c r="J219" i="128"/>
  <c r="K144" i="128"/>
  <c r="K148" i="128"/>
  <c r="J148" i="128"/>
  <c r="K147" i="128"/>
  <c r="J147" i="128"/>
  <c r="K146" i="128"/>
  <c r="J146" i="128"/>
  <c r="K145" i="128"/>
  <c r="J145" i="128"/>
  <c r="J144" i="128"/>
  <c r="J73" i="128"/>
  <c r="J74" i="128"/>
  <c r="J75" i="128"/>
  <c r="J76" i="128"/>
  <c r="J72" i="128"/>
  <c r="K72" i="128"/>
  <c r="Q55" i="139"/>
  <c r="P55" i="139"/>
  <c r="O55" i="139"/>
  <c r="N55" i="139"/>
  <c r="L55" i="139"/>
  <c r="K55" i="139"/>
  <c r="J55" i="139"/>
  <c r="I55" i="139"/>
  <c r="G55" i="139"/>
  <c r="F55" i="139"/>
  <c r="E55" i="139"/>
  <c r="D55" i="139"/>
  <c r="B55" i="139"/>
  <c r="E49" i="139"/>
  <c r="F49" i="139" s="1"/>
  <c r="G49" i="139" s="1"/>
  <c r="H49" i="139" s="1"/>
  <c r="I49" i="139" s="1"/>
  <c r="J49" i="139" s="1"/>
  <c r="K49" i="139" s="1"/>
  <c r="L49" i="139" s="1"/>
  <c r="M49" i="139" s="1"/>
  <c r="N49" i="139" s="1"/>
  <c r="O49" i="139" s="1"/>
  <c r="P49" i="139" s="1"/>
  <c r="Q49" i="139" s="1"/>
  <c r="C42" i="139"/>
  <c r="C50" i="139" s="1"/>
  <c r="B42" i="139"/>
  <c r="B50" i="139" s="1"/>
  <c r="D42" i="139"/>
  <c r="D50" i="139" s="1"/>
  <c r="R11" i="139"/>
  <c r="Q11" i="139"/>
  <c r="P11" i="139"/>
  <c r="O11" i="139"/>
  <c r="N11" i="139"/>
  <c r="M11" i="139"/>
  <c r="L11" i="139"/>
  <c r="K11" i="139"/>
  <c r="J11" i="139"/>
  <c r="I11" i="139"/>
  <c r="H11" i="139"/>
  <c r="K22" i="140" l="1"/>
  <c r="K25" i="140" s="1"/>
  <c r="K49" i="140"/>
  <c r="L22" i="140" s="1"/>
  <c r="L16" i="140"/>
  <c r="L25" i="140" s="1"/>
  <c r="L46" i="140"/>
  <c r="M38" i="140"/>
  <c r="L49" i="140"/>
  <c r="I51" i="140"/>
  <c r="H59" i="140"/>
  <c r="I107" i="1"/>
  <c r="K30" i="87"/>
  <c r="F41" i="139"/>
  <c r="G41" i="139" s="1"/>
  <c r="H41" i="139" s="1"/>
  <c r="I41" i="139" s="1"/>
  <c r="J41" i="139" s="1"/>
  <c r="K41" i="139" s="1"/>
  <c r="L41" i="139" s="1"/>
  <c r="M41" i="139" s="1"/>
  <c r="N41" i="139" s="1"/>
  <c r="O41" i="139" s="1"/>
  <c r="P41" i="139" s="1"/>
  <c r="Q41" i="139" s="1"/>
  <c r="R41" i="139" s="1"/>
  <c r="B46" i="139"/>
  <c r="C46" i="139"/>
  <c r="F36" i="139"/>
  <c r="J224" i="128"/>
  <c r="J77" i="128"/>
  <c r="J149" i="128"/>
  <c r="K149" i="128"/>
  <c r="D46" i="139"/>
  <c r="H128" i="72"/>
  <c r="I128" i="72" s="1"/>
  <c r="H86" i="72"/>
  <c r="I86" i="72" s="1"/>
  <c r="M49" i="140" l="1"/>
  <c r="N22" i="140" s="1"/>
  <c r="M22" i="140"/>
  <c r="M16" i="140"/>
  <c r="M25" i="140" s="1"/>
  <c r="M46" i="140"/>
  <c r="N38" i="140"/>
  <c r="N49" i="140" s="1"/>
  <c r="O22" i="140" s="1"/>
  <c r="J51" i="140"/>
  <c r="I59" i="140"/>
  <c r="C57" i="139"/>
  <c r="C55" i="139" s="1"/>
  <c r="E42" i="139"/>
  <c r="E50" i="139" s="1"/>
  <c r="R42" i="139"/>
  <c r="S41" i="139"/>
  <c r="G36" i="139"/>
  <c r="K17" i="134"/>
  <c r="K18" i="134"/>
  <c r="K15" i="134"/>
  <c r="G260" i="128"/>
  <c r="F260" i="128"/>
  <c r="H116" i="73"/>
  <c r="I116" i="73" s="1"/>
  <c r="H114" i="73"/>
  <c r="I114" i="73" s="1"/>
  <c r="F209" i="73"/>
  <c r="F207" i="73" s="1"/>
  <c r="E209" i="73"/>
  <c r="E207" i="73" s="1"/>
  <c r="D209" i="73"/>
  <c r="D207" i="73" s="1"/>
  <c r="M11" i="85"/>
  <c r="M10" i="85"/>
  <c r="M8" i="85"/>
  <c r="M6" i="85"/>
  <c r="E6" i="85"/>
  <c r="F6" i="85"/>
  <c r="G6" i="85"/>
  <c r="H6" i="85"/>
  <c r="J18" i="134"/>
  <c r="J17" i="134"/>
  <c r="J16" i="134"/>
  <c r="J15" i="134"/>
  <c r="G255" i="128"/>
  <c r="F255" i="128"/>
  <c r="H254" i="128"/>
  <c r="H252" i="128"/>
  <c r="H246" i="128"/>
  <c r="C130" i="111"/>
  <c r="C129" i="111"/>
  <c r="C128" i="111"/>
  <c r="H17" i="134"/>
  <c r="H18" i="134"/>
  <c r="I18" i="134"/>
  <c r="I17" i="134"/>
  <c r="I16" i="134"/>
  <c r="I15" i="134"/>
  <c r="H7" i="85"/>
  <c r="H8" i="85"/>
  <c r="H10" i="85"/>
  <c r="H11" i="85"/>
  <c r="D30" i="132"/>
  <c r="E44" i="132"/>
  <c r="D76" i="131"/>
  <c r="D75" i="131"/>
  <c r="D110" i="131"/>
  <c r="K74" i="128"/>
  <c r="K75" i="128"/>
  <c r="K76" i="128"/>
  <c r="K73" i="128"/>
  <c r="H128" i="111"/>
  <c r="H129" i="111"/>
  <c r="H130" i="111"/>
  <c r="G250" i="128"/>
  <c r="F250" i="128"/>
  <c r="H247" i="128"/>
  <c r="H249" i="128"/>
  <c r="G128" i="111"/>
  <c r="G129" i="111"/>
  <c r="G130" i="111"/>
  <c r="N46" i="140" l="1"/>
  <c r="N16" i="140"/>
  <c r="N25" i="140" s="1"/>
  <c r="O38" i="140"/>
  <c r="O49" i="140" s="1"/>
  <c r="P22" i="140" s="1"/>
  <c r="P25" i="140" s="1"/>
  <c r="K51" i="140"/>
  <c r="J59" i="140"/>
  <c r="H57" i="139"/>
  <c r="H55" i="139" s="1"/>
  <c r="H250" i="128"/>
  <c r="K77" i="128"/>
  <c r="H36" i="139"/>
  <c r="S42" i="139"/>
  <c r="T41" i="139"/>
  <c r="H255" i="128"/>
  <c r="H260" i="128"/>
  <c r="H112" i="73"/>
  <c r="I112" i="73" s="1"/>
  <c r="H94" i="72"/>
  <c r="I94" i="72" s="1"/>
  <c r="O16" i="140" l="1"/>
  <c r="O25" i="140" s="1"/>
  <c r="P38" i="140"/>
  <c r="L51" i="140"/>
  <c r="K59" i="140"/>
  <c r="T42" i="139"/>
  <c r="U41" i="139"/>
  <c r="U42" i="139" s="1"/>
  <c r="I36" i="139"/>
  <c r="G245" i="128"/>
  <c r="F245" i="128"/>
  <c r="H241" i="128"/>
  <c r="H244" i="128"/>
  <c r="H242" i="128"/>
  <c r="O129" i="111"/>
  <c r="P129" i="111" s="1"/>
  <c r="D129" i="111"/>
  <c r="E129" i="111"/>
  <c r="F129" i="111"/>
  <c r="D130" i="111"/>
  <c r="O130" i="111" s="1"/>
  <c r="P130" i="111" s="1"/>
  <c r="E130" i="111"/>
  <c r="F130" i="111"/>
  <c r="D128" i="111"/>
  <c r="E128" i="111"/>
  <c r="F128" i="111"/>
  <c r="I56" i="85"/>
  <c r="J56" i="85"/>
  <c r="K56" i="85"/>
  <c r="L56" i="85"/>
  <c r="I19" i="85"/>
  <c r="J19" i="85"/>
  <c r="K19" i="85"/>
  <c r="L19" i="85"/>
  <c r="I17" i="85"/>
  <c r="J17" i="85"/>
  <c r="K17" i="85"/>
  <c r="L17" i="85"/>
  <c r="G7" i="85"/>
  <c r="G8" i="85"/>
  <c r="G10" i="85"/>
  <c r="G11" i="85"/>
  <c r="F20" i="137"/>
  <c r="G20" i="137"/>
  <c r="H20" i="137"/>
  <c r="I20" i="137"/>
  <c r="J20" i="137"/>
  <c r="K20" i="137"/>
  <c r="L20" i="137"/>
  <c r="M20" i="137"/>
  <c r="N20" i="137"/>
  <c r="O20" i="137"/>
  <c r="P20" i="137"/>
  <c r="E20" i="137"/>
  <c r="Q97" i="111"/>
  <c r="S97" i="111" s="1"/>
  <c r="K59" i="1"/>
  <c r="H16" i="134"/>
  <c r="H15" i="134"/>
  <c r="G240" i="128"/>
  <c r="F240" i="128"/>
  <c r="H237" i="128"/>
  <c r="J237" i="128" s="1"/>
  <c r="H236" i="128"/>
  <c r="H239" i="128"/>
  <c r="E33" i="85"/>
  <c r="F33" i="85"/>
  <c r="D33" i="85"/>
  <c r="H53" i="73"/>
  <c r="D19" i="85"/>
  <c r="U22" i="85"/>
  <c r="U9" i="85"/>
  <c r="U15" i="85"/>
  <c r="R17" i="85"/>
  <c r="H17" i="85"/>
  <c r="O17" i="85"/>
  <c r="T17" i="85"/>
  <c r="P17" i="85"/>
  <c r="S7" i="85"/>
  <c r="D56" i="85"/>
  <c r="F16" i="85"/>
  <c r="U16" i="85" s="1"/>
  <c r="F13" i="85"/>
  <c r="U13" i="85" s="1"/>
  <c r="D11" i="85"/>
  <c r="E11" i="85"/>
  <c r="F12" i="85"/>
  <c r="P17" i="137"/>
  <c r="O17" i="137"/>
  <c r="N17" i="137"/>
  <c r="M17" i="137"/>
  <c r="L17" i="137"/>
  <c r="K17" i="137"/>
  <c r="J17" i="137"/>
  <c r="I17" i="137"/>
  <c r="H17" i="137"/>
  <c r="G17" i="137"/>
  <c r="F17" i="137"/>
  <c r="E17" i="137"/>
  <c r="Q16" i="137"/>
  <c r="Q15" i="137"/>
  <c r="Q14" i="137"/>
  <c r="Q13" i="137"/>
  <c r="Q12" i="137"/>
  <c r="Q11" i="137"/>
  <c r="Q10" i="137"/>
  <c r="G18" i="134"/>
  <c r="G17" i="134"/>
  <c r="G16" i="134"/>
  <c r="G15" i="134"/>
  <c r="F18" i="134"/>
  <c r="F17" i="134"/>
  <c r="F15" i="134"/>
  <c r="H231" i="128"/>
  <c r="H225" i="128"/>
  <c r="H232" i="128"/>
  <c r="H233" i="128"/>
  <c r="H234" i="128"/>
  <c r="G235" i="128"/>
  <c r="F235" i="128"/>
  <c r="U55" i="85"/>
  <c r="U54" i="85"/>
  <c r="U53" i="85"/>
  <c r="U30" i="85"/>
  <c r="U29" i="85"/>
  <c r="U20" i="85"/>
  <c r="E56" i="135"/>
  <c r="E57" i="135"/>
  <c r="E58" i="135"/>
  <c r="E59" i="135"/>
  <c r="E60" i="135"/>
  <c r="E55" i="135"/>
  <c r="E46" i="135"/>
  <c r="E47" i="135"/>
  <c r="E48" i="135"/>
  <c r="E49" i="135"/>
  <c r="E50" i="135"/>
  <c r="E51" i="135"/>
  <c r="E52" i="135"/>
  <c r="E45" i="135"/>
  <c r="E23" i="135"/>
  <c r="E24" i="135"/>
  <c r="E25" i="135"/>
  <c r="E26" i="135"/>
  <c r="E27" i="135"/>
  <c r="E28" i="135"/>
  <c r="E29" i="135"/>
  <c r="E30" i="135"/>
  <c r="E31" i="135"/>
  <c r="E22" i="135"/>
  <c r="E35" i="135"/>
  <c r="E36" i="135"/>
  <c r="E37" i="135"/>
  <c r="E38" i="135"/>
  <c r="E39" i="135"/>
  <c r="E40" i="135"/>
  <c r="E41" i="135"/>
  <c r="E34" i="135"/>
  <c r="D41" i="135"/>
  <c r="B35" i="135"/>
  <c r="C35" i="135"/>
  <c r="C33" i="135" s="1"/>
  <c r="B36" i="135"/>
  <c r="C36" i="135"/>
  <c r="B37" i="135"/>
  <c r="C37" i="135"/>
  <c r="B38" i="135"/>
  <c r="C38" i="135"/>
  <c r="B39" i="135"/>
  <c r="C39" i="135"/>
  <c r="B40" i="135"/>
  <c r="D40" i="135" s="1"/>
  <c r="C40" i="135"/>
  <c r="B41" i="135"/>
  <c r="C41" i="135"/>
  <c r="C34" i="135"/>
  <c r="B34" i="135"/>
  <c r="B33" i="135" s="1"/>
  <c r="B23" i="135"/>
  <c r="C23" i="135"/>
  <c r="B27" i="135"/>
  <c r="C27" i="135"/>
  <c r="B28" i="135"/>
  <c r="C28" i="135"/>
  <c r="B29" i="135"/>
  <c r="C29" i="135"/>
  <c r="B30" i="135"/>
  <c r="C22" i="135"/>
  <c r="B56" i="135"/>
  <c r="C56" i="135"/>
  <c r="C57" i="135"/>
  <c r="B58" i="135"/>
  <c r="C58" i="135"/>
  <c r="B59" i="135"/>
  <c r="B54" i="135" s="1"/>
  <c r="C59" i="135"/>
  <c r="C55" i="135"/>
  <c r="B55" i="135"/>
  <c r="B47" i="135"/>
  <c r="B48" i="135"/>
  <c r="C48" i="135"/>
  <c r="B49" i="135"/>
  <c r="B50" i="135"/>
  <c r="D50" i="135" s="1"/>
  <c r="C50" i="135"/>
  <c r="B51" i="135"/>
  <c r="C51" i="135"/>
  <c r="B52" i="135"/>
  <c r="C46" i="135"/>
  <c r="B46" i="135"/>
  <c r="C45" i="135"/>
  <c r="B45" i="135"/>
  <c r="I169" i="131"/>
  <c r="H169" i="131"/>
  <c r="G169" i="131"/>
  <c r="F169" i="131"/>
  <c r="E169" i="131"/>
  <c r="D13" i="131"/>
  <c r="E13" i="131" s="1"/>
  <c r="D12" i="131"/>
  <c r="E12" i="131" s="1"/>
  <c r="D11" i="131"/>
  <c r="D10" i="131"/>
  <c r="D9" i="131"/>
  <c r="D8" i="131"/>
  <c r="D7" i="131"/>
  <c r="E7" i="131" s="1"/>
  <c r="E18" i="134"/>
  <c r="E17" i="134"/>
  <c r="E16" i="134"/>
  <c r="E15" i="134"/>
  <c r="E14" i="134"/>
  <c r="D203" i="73"/>
  <c r="D205" i="73" s="1"/>
  <c r="H229" i="128"/>
  <c r="H228" i="128"/>
  <c r="H227" i="128"/>
  <c r="H226" i="128"/>
  <c r="K257" i="128" s="1"/>
  <c r="G230" i="128"/>
  <c r="F230" i="128"/>
  <c r="H235" i="73"/>
  <c r="H234" i="73"/>
  <c r="H233" i="73"/>
  <c r="H232" i="73"/>
  <c r="H231" i="73"/>
  <c r="D235" i="73"/>
  <c r="D229" i="131" s="1"/>
  <c r="D234" i="73"/>
  <c r="D228" i="131" s="1"/>
  <c r="D233" i="73"/>
  <c r="D227" i="131" s="1"/>
  <c r="D232" i="73"/>
  <c r="D226" i="131" s="1"/>
  <c r="D231" i="73"/>
  <c r="D225" i="131" s="1"/>
  <c r="L27" i="85" l="1"/>
  <c r="L31" i="85" s="1"/>
  <c r="L52" i="85" s="1"/>
  <c r="L57" i="85" s="1"/>
  <c r="L59" i="85" s="1"/>
  <c r="K27" i="85"/>
  <c r="K31" i="85" s="1"/>
  <c r="K52" i="85" s="1"/>
  <c r="K57" i="85" s="1"/>
  <c r="K59" i="85" s="1"/>
  <c r="J27" i="85"/>
  <c r="J31" i="85" s="1"/>
  <c r="J52" i="85" s="1"/>
  <c r="J57" i="85" s="1"/>
  <c r="J59" i="85" s="1"/>
  <c r="Q15" i="134"/>
  <c r="P49" i="140"/>
  <c r="Q22" i="140" s="1"/>
  <c r="Q25" i="140" s="1"/>
  <c r="M51" i="140"/>
  <c r="L59" i="140"/>
  <c r="K258" i="128"/>
  <c r="Q17" i="137"/>
  <c r="K259" i="128"/>
  <c r="J229" i="128"/>
  <c r="I27" i="85"/>
  <c r="I31" i="85" s="1"/>
  <c r="I52" i="85" s="1"/>
  <c r="I57" i="85" s="1"/>
  <c r="I59" i="85" s="1"/>
  <c r="K256" i="128"/>
  <c r="O128" i="111"/>
  <c r="P128" i="111" s="1"/>
  <c r="M57" i="139"/>
  <c r="M55" i="139" s="1"/>
  <c r="J36" i="139"/>
  <c r="H230" i="128"/>
  <c r="H245" i="128"/>
  <c r="B44" i="135"/>
  <c r="G50" i="135"/>
  <c r="F20" i="134"/>
  <c r="G20" i="134"/>
  <c r="H240" i="128"/>
  <c r="E20" i="134"/>
  <c r="H20" i="134"/>
  <c r="Q17" i="85"/>
  <c r="U12" i="85"/>
  <c r="N17" i="85"/>
  <c r="S17" i="85"/>
  <c r="G17" i="85"/>
  <c r="U33" i="85"/>
  <c r="U21" i="85"/>
  <c r="U23" i="85"/>
  <c r="U24" i="85"/>
  <c r="H235" i="128"/>
  <c r="F13" i="131"/>
  <c r="G13" i="131" s="1"/>
  <c r="H13" i="131" s="1"/>
  <c r="I13" i="131" s="1"/>
  <c r="H230" i="73"/>
  <c r="D230" i="73"/>
  <c r="H25" i="73"/>
  <c r="I25" i="73" s="1"/>
  <c r="H28" i="73"/>
  <c r="I28" i="73" s="1"/>
  <c r="H27" i="73"/>
  <c r="I27" i="73" s="1"/>
  <c r="H23" i="73"/>
  <c r="I23" i="73" s="1"/>
  <c r="H20" i="73"/>
  <c r="I20" i="73" s="1"/>
  <c r="H19" i="73"/>
  <c r="I19" i="73" s="1"/>
  <c r="H18" i="73"/>
  <c r="I18" i="73" s="1"/>
  <c r="H17" i="73"/>
  <c r="I17" i="73" s="1"/>
  <c r="H16" i="73"/>
  <c r="I16" i="73" s="1"/>
  <c r="H14" i="73"/>
  <c r="I14" i="73" s="1"/>
  <c r="H13" i="73"/>
  <c r="I13" i="73" s="1"/>
  <c r="H12" i="73"/>
  <c r="I12" i="73" s="1"/>
  <c r="H11" i="73"/>
  <c r="I11" i="73" s="1"/>
  <c r="H10" i="73"/>
  <c r="I10" i="73" s="1"/>
  <c r="H9" i="73"/>
  <c r="I9" i="73" s="1"/>
  <c r="H8" i="73"/>
  <c r="I8" i="73" s="1"/>
  <c r="H7" i="73"/>
  <c r="I7" i="73" s="1"/>
  <c r="B14" i="134"/>
  <c r="B17" i="134"/>
  <c r="B16" i="134"/>
  <c r="B15" i="134"/>
  <c r="R4" i="134"/>
  <c r="R5" i="134"/>
  <c r="R6" i="134"/>
  <c r="R7" i="134"/>
  <c r="R8" i="134"/>
  <c r="R9" i="134"/>
  <c r="R15" i="134"/>
  <c r="R16" i="134"/>
  <c r="R17" i="134"/>
  <c r="R24" i="134"/>
  <c r="R25" i="134"/>
  <c r="R26" i="134"/>
  <c r="R33" i="134"/>
  <c r="R34" i="134"/>
  <c r="R35" i="134"/>
  <c r="H220" i="128"/>
  <c r="H221" i="128"/>
  <c r="H222" i="128"/>
  <c r="H223" i="128"/>
  <c r="H219" i="128"/>
  <c r="H215" i="128"/>
  <c r="G224" i="128"/>
  <c r="F224" i="128"/>
  <c r="G218" i="128"/>
  <c r="F218" i="128"/>
  <c r="I24" i="1"/>
  <c r="H24" i="73" s="1"/>
  <c r="I24" i="73" s="1"/>
  <c r="B25" i="134" l="1"/>
  <c r="B34" i="134" s="1"/>
  <c r="P16" i="134"/>
  <c r="P17" i="134"/>
  <c r="O17" i="134"/>
  <c r="M59" i="140"/>
  <c r="N51" i="140"/>
  <c r="O131" i="111"/>
  <c r="K36" i="139"/>
  <c r="U25" i="85"/>
  <c r="H224" i="128"/>
  <c r="K15" i="1"/>
  <c r="C148" i="132"/>
  <c r="D138" i="132"/>
  <c r="F136" i="132"/>
  <c r="F135" i="132"/>
  <c r="E133" i="132"/>
  <c r="E138" i="132" s="1"/>
  <c r="F131" i="132"/>
  <c r="D127" i="132"/>
  <c r="F126" i="132"/>
  <c r="F127" i="132" s="1"/>
  <c r="C149" i="132" s="1"/>
  <c r="E126" i="132"/>
  <c r="E127" i="132" s="1"/>
  <c r="F125" i="132"/>
  <c r="F124" i="132"/>
  <c r="E120" i="132"/>
  <c r="D120" i="132"/>
  <c r="F119" i="132"/>
  <c r="B115" i="132"/>
  <c r="D113" i="132"/>
  <c r="D112" i="132"/>
  <c r="E112" i="132" s="1"/>
  <c r="F112" i="132" s="1"/>
  <c r="D111" i="132"/>
  <c r="F111" i="132" s="1"/>
  <c r="D110" i="132"/>
  <c r="E110" i="132" s="1"/>
  <c r="F109" i="132"/>
  <c r="F108" i="132"/>
  <c r="B96" i="132"/>
  <c r="B86" i="132"/>
  <c r="B84" i="132"/>
  <c r="B75" i="132"/>
  <c r="E63" i="132"/>
  <c r="D63" i="132"/>
  <c r="F58" i="132"/>
  <c r="F57" i="132"/>
  <c r="F63" i="132" s="1"/>
  <c r="C72" i="132" s="1"/>
  <c r="D52" i="132"/>
  <c r="F50" i="132"/>
  <c r="E50" i="132"/>
  <c r="C52" i="135" s="1"/>
  <c r="F47" i="132"/>
  <c r="E47" i="132" s="1"/>
  <c r="C49" i="135" s="1"/>
  <c r="F46" i="132"/>
  <c r="E45" i="132"/>
  <c r="F44" i="132"/>
  <c r="F38" i="132"/>
  <c r="C73" i="132" s="1"/>
  <c r="E38" i="132"/>
  <c r="D38" i="132"/>
  <c r="E30" i="132"/>
  <c r="B30" i="132"/>
  <c r="F28" i="132"/>
  <c r="F27" i="132"/>
  <c r="F26" i="132"/>
  <c r="F25" i="132"/>
  <c r="F24" i="132"/>
  <c r="F23" i="132"/>
  <c r="F21" i="132"/>
  <c r="B17" i="132"/>
  <c r="E15" i="132"/>
  <c r="D11" i="132"/>
  <c r="B26" i="135" s="1"/>
  <c r="D10" i="132"/>
  <c r="D9" i="132"/>
  <c r="B24" i="135" s="1"/>
  <c r="F8" i="132"/>
  <c r="D7" i="132"/>
  <c r="E6" i="132"/>
  <c r="F6" i="132" s="1"/>
  <c r="G212" i="128"/>
  <c r="H209" i="128"/>
  <c r="H201" i="128"/>
  <c r="F207" i="128" s="1"/>
  <c r="F206" i="128"/>
  <c r="F210" i="128"/>
  <c r="H216" i="128" s="1"/>
  <c r="H126" i="72"/>
  <c r="I126" i="72" s="1"/>
  <c r="H125" i="72"/>
  <c r="I125" i="72" s="1"/>
  <c r="H124" i="72"/>
  <c r="I124" i="72" s="1"/>
  <c r="H123" i="72"/>
  <c r="I123" i="72" s="1"/>
  <c r="H122" i="72"/>
  <c r="I122" i="72" s="1"/>
  <c r="H121" i="72"/>
  <c r="I121" i="72" s="1"/>
  <c r="H120" i="72"/>
  <c r="I120" i="72" s="1"/>
  <c r="H119" i="72"/>
  <c r="I119" i="72" s="1"/>
  <c r="H118" i="72"/>
  <c r="I118" i="72" s="1"/>
  <c r="H117" i="72"/>
  <c r="I117" i="72" s="1"/>
  <c r="H116" i="72"/>
  <c r="I116" i="72" s="1"/>
  <c r="H115" i="72"/>
  <c r="I115" i="72" s="1"/>
  <c r="H114" i="72"/>
  <c r="I114" i="72" s="1"/>
  <c r="H113" i="72"/>
  <c r="I113" i="72" s="1"/>
  <c r="H112" i="72"/>
  <c r="I112" i="72" s="1"/>
  <c r="H111" i="72"/>
  <c r="I111" i="72" s="1"/>
  <c r="H110" i="72"/>
  <c r="I110" i="72" s="1"/>
  <c r="H109" i="72"/>
  <c r="I109" i="72" s="1"/>
  <c r="H108" i="72"/>
  <c r="I108" i="72" s="1"/>
  <c r="H107" i="72"/>
  <c r="I107" i="72" s="1"/>
  <c r="H106" i="72"/>
  <c r="I106" i="72" s="1"/>
  <c r="H105" i="72"/>
  <c r="I105" i="72" s="1"/>
  <c r="H104" i="72"/>
  <c r="I104" i="72" s="1"/>
  <c r="Q17" i="134" l="1"/>
  <c r="E18" i="140" s="1"/>
  <c r="N59" i="140"/>
  <c r="O51" i="140"/>
  <c r="F113" i="132"/>
  <c r="E11" i="132"/>
  <c r="F15" i="132"/>
  <c r="C30" i="135"/>
  <c r="E10" i="132"/>
  <c r="B25" i="135"/>
  <c r="E113" i="132"/>
  <c r="F45" i="132"/>
  <c r="F52" i="132" s="1"/>
  <c r="C71" i="132" s="1"/>
  <c r="C47" i="135"/>
  <c r="E115" i="132"/>
  <c r="B145" i="132" s="1"/>
  <c r="F7" i="132"/>
  <c r="B22" i="135"/>
  <c r="B92" i="132"/>
  <c r="L36" i="139"/>
  <c r="F30" i="132"/>
  <c r="C70" i="132" s="1"/>
  <c r="H210" i="128"/>
  <c r="H207" i="128"/>
  <c r="H213" i="128"/>
  <c r="E52" i="132"/>
  <c r="E9" i="132"/>
  <c r="F110" i="132"/>
  <c r="F115" i="132" s="1"/>
  <c r="D115" i="132"/>
  <c r="B144" i="132" s="1"/>
  <c r="F133" i="132"/>
  <c r="F138" i="132" s="1"/>
  <c r="C150" i="132" s="1"/>
  <c r="D17" i="132"/>
  <c r="B66" i="132" s="1"/>
  <c r="S51" i="140" l="1"/>
  <c r="R51" i="140"/>
  <c r="O59" i="140"/>
  <c r="Q51" i="140"/>
  <c r="P51" i="140"/>
  <c r="F11" i="132"/>
  <c r="C26" i="135"/>
  <c r="E17" i="132"/>
  <c r="B67" i="132" s="1"/>
  <c r="B68" i="132" s="1"/>
  <c r="B77" i="132" s="1"/>
  <c r="B94" i="132" s="1"/>
  <c r="C24" i="135"/>
  <c r="F10" i="132"/>
  <c r="C25" i="135"/>
  <c r="M36" i="139"/>
  <c r="B147" i="132"/>
  <c r="B146" i="132"/>
  <c r="F9" i="132"/>
  <c r="F17" i="132" s="1"/>
  <c r="B69" i="132" s="1"/>
  <c r="P59" i="140" l="1"/>
  <c r="Q59" i="140"/>
  <c r="N36" i="139"/>
  <c r="L104" i="94"/>
  <c r="M104" i="94" s="1"/>
  <c r="U51" i="140" l="1"/>
  <c r="T51" i="140"/>
  <c r="O36" i="139"/>
  <c r="D62" i="131"/>
  <c r="D92" i="131"/>
  <c r="D91" i="131"/>
  <c r="D90" i="131"/>
  <c r="D88" i="131"/>
  <c r="D86" i="131"/>
  <c r="D85" i="131"/>
  <c r="D84" i="131"/>
  <c r="D83" i="131"/>
  <c r="C153" i="136"/>
  <c r="E143" i="136"/>
  <c r="D143" i="136"/>
  <c r="F141" i="136"/>
  <c r="F140" i="136"/>
  <c r="F138" i="136"/>
  <c r="E138" i="136"/>
  <c r="F136" i="136"/>
  <c r="F143" i="136" s="1"/>
  <c r="C155" i="136" s="1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B120" i="136"/>
  <c r="D118" i="136"/>
  <c r="D117" i="136"/>
  <c r="F117" i="136" s="1"/>
  <c r="E116" i="136"/>
  <c r="D116" i="136"/>
  <c r="D120" i="136" s="1"/>
  <c r="B149" i="136" s="1"/>
  <c r="F115" i="136"/>
  <c r="F114" i="136"/>
  <c r="B103" i="136"/>
  <c r="B101" i="136"/>
  <c r="B92" i="136"/>
  <c r="B86" i="136"/>
  <c r="B84" i="136"/>
  <c r="B75" i="136"/>
  <c r="E63" i="136"/>
  <c r="D63" i="136"/>
  <c r="F59" i="136"/>
  <c r="F58" i="136"/>
  <c r="F57" i="136"/>
  <c r="F56" i="136"/>
  <c r="F63" i="136" s="1"/>
  <c r="C72" i="136" s="1"/>
  <c r="D51" i="136"/>
  <c r="F49" i="136"/>
  <c r="E49" i="136"/>
  <c r="F47" i="136"/>
  <c r="E47" i="136" s="1"/>
  <c r="F46" i="136"/>
  <c r="F45" i="136"/>
  <c r="E44" i="136"/>
  <c r="F44" i="136" s="1"/>
  <c r="F51" i="136" s="1"/>
  <c r="C71" i="136" s="1"/>
  <c r="F43" i="136"/>
  <c r="E43" i="136"/>
  <c r="E51" i="136" s="1"/>
  <c r="F37" i="136"/>
  <c r="C73" i="136" s="1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B18" i="136"/>
  <c r="F16" i="136"/>
  <c r="E16" i="136"/>
  <c r="E14" i="136"/>
  <c r="F14" i="136" s="1"/>
  <c r="D14" i="136"/>
  <c r="D11" i="136"/>
  <c r="E10" i="136"/>
  <c r="F10" i="136" s="1"/>
  <c r="D10" i="136"/>
  <c r="E9" i="136"/>
  <c r="D9" i="136"/>
  <c r="F9" i="136" s="1"/>
  <c r="D8" i="136"/>
  <c r="F8" i="136" s="1"/>
  <c r="D7" i="136"/>
  <c r="D18" i="136" s="1"/>
  <c r="B66" i="136" s="1"/>
  <c r="F6" i="136"/>
  <c r="E6" i="136"/>
  <c r="F7" i="136" l="1"/>
  <c r="E11" i="136"/>
  <c r="F11" i="136" s="1"/>
  <c r="F18" i="136" s="1"/>
  <c r="B69" i="136" s="1"/>
  <c r="E118" i="136"/>
  <c r="F118" i="136" s="1"/>
  <c r="E18" i="136"/>
  <c r="B67" i="136" s="1"/>
  <c r="B68" i="136" s="1"/>
  <c r="B77" i="136" s="1"/>
  <c r="B94" i="136" s="1"/>
  <c r="F116" i="136"/>
  <c r="F120" i="136" s="1"/>
  <c r="O42" i="139"/>
  <c r="P36" i="139"/>
  <c r="J46" i="103"/>
  <c r="B151" i="136" l="1"/>
  <c r="B152" i="136"/>
  <c r="E120" i="136"/>
  <c r="B150" i="136" s="1"/>
  <c r="P42" i="139"/>
  <c r="Q36" i="139"/>
  <c r="Q42" i="139" s="1"/>
  <c r="O50" i="139"/>
  <c r="L134" i="94"/>
  <c r="M134" i="94" s="1"/>
  <c r="P50" i="139" l="1"/>
  <c r="Q50" i="139"/>
  <c r="BD66" i="4"/>
  <c r="H90" i="73"/>
  <c r="I90" i="73" s="1"/>
  <c r="H99" i="73"/>
  <c r="I99" i="73" s="1"/>
  <c r="D89" i="131" l="1"/>
  <c r="D98" i="131"/>
  <c r="L13" i="94"/>
  <c r="M13" i="94" s="1"/>
  <c r="L12" i="94"/>
  <c r="M12" i="94" s="1"/>
  <c r="L11" i="94"/>
  <c r="M11" i="94" s="1"/>
  <c r="L10" i="94"/>
  <c r="M10" i="94" s="1"/>
  <c r="L9" i="94"/>
  <c r="M9" i="94" s="1"/>
  <c r="L8" i="94"/>
  <c r="M8" i="94" s="1"/>
  <c r="L7" i="94"/>
  <c r="M7" i="94" s="1"/>
  <c r="L6" i="94"/>
  <c r="M6" i="94" l="1"/>
  <c r="L15" i="94"/>
  <c r="U66" i="4"/>
  <c r="E49" i="75"/>
  <c r="E50" i="75"/>
  <c r="E51" i="75"/>
  <c r="E52" i="75"/>
  <c r="E53" i="75"/>
  <c r="C53" i="75" s="1"/>
  <c r="E54" i="75"/>
  <c r="E55" i="75"/>
  <c r="C55" i="75" s="1"/>
  <c r="E56" i="75"/>
  <c r="E57" i="75"/>
  <c r="C54" i="75"/>
  <c r="L100" i="94" l="1"/>
  <c r="M100" i="94" s="1"/>
  <c r="L99" i="94"/>
  <c r="M99" i="94" s="1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E73" i="4"/>
  <c r="EE65" i="4"/>
  <c r="EF66" i="4"/>
  <c r="EE66" i="4" s="1"/>
  <c r="ED70" i="4"/>
  <c r="EF8" i="4"/>
  <c r="EE8" i="4" s="1"/>
  <c r="EF9" i="4"/>
  <c r="EE9" i="4" s="1"/>
  <c r="EF10" i="4"/>
  <c r="EE10" i="4" s="1"/>
  <c r="EF11" i="4"/>
  <c r="EE11" i="4" s="1"/>
  <c r="EF12" i="4"/>
  <c r="EE12" i="4" s="1"/>
  <c r="EF13" i="4"/>
  <c r="EE13" i="4" s="1"/>
  <c r="EF14" i="4"/>
  <c r="EE14" i="4" s="1"/>
  <c r="EF15" i="4"/>
  <c r="EE15" i="4" s="1"/>
  <c r="EF17" i="4"/>
  <c r="EE17" i="4" s="1"/>
  <c r="EF18" i="4"/>
  <c r="EE18" i="4" s="1"/>
  <c r="EF19" i="4"/>
  <c r="EF24" i="4"/>
  <c r="EF25" i="4"/>
  <c r="EF29" i="4"/>
  <c r="EF33" i="4"/>
  <c r="EF39" i="4"/>
  <c r="EF40" i="4"/>
  <c r="EF41" i="4"/>
  <c r="EF43" i="4"/>
  <c r="EF48" i="4"/>
  <c r="EF49" i="4"/>
  <c r="EF50" i="4"/>
  <c r="EF57" i="4"/>
  <c r="EF58" i="4"/>
  <c r="EF59" i="4"/>
  <c r="EF60" i="4"/>
  <c r="EF61" i="4"/>
  <c r="EF62" i="4"/>
  <c r="EF63" i="4"/>
  <c r="EF64" i="4"/>
  <c r="EF67" i="4"/>
  <c r="EF68" i="4"/>
  <c r="EE68" i="4" s="1"/>
  <c r="EF72" i="4"/>
  <c r="U44" i="4"/>
  <c r="H6" i="107" s="1"/>
  <c r="I6" i="107" s="1"/>
  <c r="DA34" i="4"/>
  <c r="DB34" i="4"/>
  <c r="H170" i="87"/>
  <c r="I170" i="87" s="1"/>
  <c r="H169" i="87"/>
  <c r="I169" i="87" s="1"/>
  <c r="H168" i="87"/>
  <c r="I168" i="87" s="1"/>
  <c r="H167" i="87"/>
  <c r="I167" i="87" s="1"/>
  <c r="H166" i="87"/>
  <c r="I166" i="87" s="1"/>
  <c r="H165" i="87"/>
  <c r="I165" i="87" s="1"/>
  <c r="H164" i="87"/>
  <c r="I164" i="87" s="1"/>
  <c r="L140" i="94"/>
  <c r="M140" i="94" s="1"/>
  <c r="C11" i="75" l="1"/>
  <c r="EF16" i="4"/>
  <c r="EF69" i="4"/>
  <c r="L138" i="94"/>
  <c r="M138" i="94" s="1"/>
  <c r="L137" i="94"/>
  <c r="M137" i="94" s="1"/>
  <c r="V18" i="134" l="1"/>
  <c r="V19" i="134" s="1"/>
  <c r="L234" i="94" l="1"/>
  <c r="M234" i="94" s="1"/>
  <c r="L233" i="94"/>
  <c r="M233" i="94" s="1"/>
  <c r="DK34" i="4" l="1"/>
  <c r="DK59" i="4"/>
  <c r="L59" i="4" l="1"/>
  <c r="L37" i="94" l="1"/>
  <c r="M37" i="94" s="1"/>
  <c r="L36" i="94"/>
  <c r="M36" i="94" s="1"/>
  <c r="AB59" i="4"/>
  <c r="L28" i="94"/>
  <c r="M28" i="94" s="1"/>
  <c r="L27" i="94"/>
  <c r="M27" i="94" s="1"/>
  <c r="H31" i="87" l="1"/>
  <c r="I31" i="87" s="1"/>
  <c r="W34" i="4"/>
  <c r="W52" i="4" s="1"/>
  <c r="W72" i="4"/>
  <c r="W69" i="4"/>
  <c r="W16" i="4"/>
  <c r="C28" i="134"/>
  <c r="C19" i="134"/>
  <c r="K26" i="103"/>
  <c r="Q27" i="134"/>
  <c r="F22" i="140" s="1"/>
  <c r="H205" i="128"/>
  <c r="F211" i="128" s="1"/>
  <c r="J24" i="103"/>
  <c r="C37" i="134"/>
  <c r="Q32" i="134"/>
  <c r="Q23" i="134"/>
  <c r="Q18" i="134"/>
  <c r="E22" i="140" s="1"/>
  <c r="Q10" i="134"/>
  <c r="J25" i="103" s="1"/>
  <c r="V8" i="134"/>
  <c r="V7" i="134"/>
  <c r="G206" i="128"/>
  <c r="H204" i="128"/>
  <c r="L222" i="128" s="1"/>
  <c r="H203" i="128"/>
  <c r="H202" i="128"/>
  <c r="F208" i="128" s="1"/>
  <c r="G200" i="128"/>
  <c r="F200" i="128"/>
  <c r="H199" i="128"/>
  <c r="H197" i="128"/>
  <c r="H196" i="128"/>
  <c r="H195" i="128"/>
  <c r="G191" i="128"/>
  <c r="F191" i="128"/>
  <c r="H190" i="128"/>
  <c r="H189" i="128"/>
  <c r="H188" i="128"/>
  <c r="H187" i="128"/>
  <c r="H186" i="128"/>
  <c r="G185" i="128"/>
  <c r="F185" i="128"/>
  <c r="H184" i="128"/>
  <c r="H183" i="128"/>
  <c r="H182" i="128"/>
  <c r="H181" i="128"/>
  <c r="H180" i="128"/>
  <c r="G179" i="128"/>
  <c r="F179" i="128"/>
  <c r="H178" i="128"/>
  <c r="H177" i="128"/>
  <c r="H176" i="128"/>
  <c r="H175" i="128"/>
  <c r="H174" i="128"/>
  <c r="G173" i="128"/>
  <c r="F173" i="128"/>
  <c r="H170" i="128"/>
  <c r="G167" i="128"/>
  <c r="G161" i="128"/>
  <c r="G155" i="128"/>
  <c r="H152" i="128"/>
  <c r="G149" i="128"/>
  <c r="F149" i="128"/>
  <c r="H148" i="128"/>
  <c r="H147" i="128"/>
  <c r="H146" i="128"/>
  <c r="H145" i="128"/>
  <c r="H144" i="128"/>
  <c r="G143" i="128"/>
  <c r="F143" i="128"/>
  <c r="H142" i="128"/>
  <c r="H141" i="128"/>
  <c r="H140" i="128"/>
  <c r="H139" i="128"/>
  <c r="H138" i="128"/>
  <c r="G137" i="128"/>
  <c r="F137" i="128"/>
  <c r="H136" i="128"/>
  <c r="H135" i="128"/>
  <c r="H134" i="128"/>
  <c r="H133" i="128"/>
  <c r="H132" i="128"/>
  <c r="G131" i="128"/>
  <c r="F131" i="128"/>
  <c r="H130" i="128"/>
  <c r="H129" i="128"/>
  <c r="H128" i="128"/>
  <c r="H127" i="128"/>
  <c r="H126" i="128"/>
  <c r="G125" i="128"/>
  <c r="F125" i="128"/>
  <c r="H124" i="128"/>
  <c r="H123" i="128"/>
  <c r="H122" i="128"/>
  <c r="H121" i="128"/>
  <c r="H120" i="128"/>
  <c r="G119" i="128"/>
  <c r="F119" i="128"/>
  <c r="H118" i="128"/>
  <c r="H117" i="128"/>
  <c r="H116" i="128"/>
  <c r="H115" i="128"/>
  <c r="H114" i="128"/>
  <c r="G113" i="128"/>
  <c r="F113" i="128"/>
  <c r="H112" i="128"/>
  <c r="H111" i="128"/>
  <c r="H110" i="128"/>
  <c r="H109" i="128"/>
  <c r="H108" i="128"/>
  <c r="G107" i="128"/>
  <c r="F107" i="128"/>
  <c r="H106" i="128"/>
  <c r="H105" i="128"/>
  <c r="H104" i="128"/>
  <c r="H103" i="128"/>
  <c r="H102" i="128"/>
  <c r="G101" i="128"/>
  <c r="F101" i="128"/>
  <c r="H100" i="128"/>
  <c r="H99" i="128"/>
  <c r="H98" i="128"/>
  <c r="H97" i="128"/>
  <c r="H96" i="128"/>
  <c r="G95" i="128"/>
  <c r="F95" i="128"/>
  <c r="H94" i="128"/>
  <c r="H93" i="128"/>
  <c r="H92" i="128"/>
  <c r="H91" i="128"/>
  <c r="H90" i="128"/>
  <c r="G89" i="128"/>
  <c r="F89" i="128"/>
  <c r="H88" i="128"/>
  <c r="H87" i="128"/>
  <c r="H86" i="128"/>
  <c r="H85" i="128"/>
  <c r="H84" i="128"/>
  <c r="G83" i="128"/>
  <c r="F83" i="128"/>
  <c r="H82" i="128"/>
  <c r="H81" i="128"/>
  <c r="H80" i="128"/>
  <c r="H79" i="128"/>
  <c r="H78" i="128"/>
  <c r="G77" i="128"/>
  <c r="F77" i="128"/>
  <c r="H76" i="128"/>
  <c r="H75" i="128"/>
  <c r="H74" i="128"/>
  <c r="H73" i="128"/>
  <c r="H72" i="128"/>
  <c r="G71" i="128"/>
  <c r="F71" i="128"/>
  <c r="H70" i="128"/>
  <c r="H69" i="128"/>
  <c r="H68" i="128"/>
  <c r="H67" i="128"/>
  <c r="H66" i="128"/>
  <c r="G65" i="128"/>
  <c r="F65" i="128"/>
  <c r="H64" i="128"/>
  <c r="H63" i="128"/>
  <c r="H62" i="128"/>
  <c r="H61" i="128"/>
  <c r="H60" i="128"/>
  <c r="G59" i="128"/>
  <c r="F59" i="128"/>
  <c r="H58" i="128"/>
  <c r="H57" i="128"/>
  <c r="H56" i="128"/>
  <c r="H55" i="128"/>
  <c r="H54" i="128"/>
  <c r="G53" i="128"/>
  <c r="F53" i="128"/>
  <c r="H52" i="128"/>
  <c r="H51" i="128"/>
  <c r="H50" i="128"/>
  <c r="H49" i="128"/>
  <c r="H48" i="128"/>
  <c r="G47" i="128"/>
  <c r="F47" i="128"/>
  <c r="H46" i="128"/>
  <c r="H45" i="128"/>
  <c r="H44" i="128"/>
  <c r="H43" i="128"/>
  <c r="H42" i="128"/>
  <c r="G41" i="128"/>
  <c r="F41" i="128"/>
  <c r="H40" i="128"/>
  <c r="H39" i="128"/>
  <c r="H38" i="128"/>
  <c r="H37" i="128"/>
  <c r="H36" i="128"/>
  <c r="G35" i="128"/>
  <c r="F35" i="128"/>
  <c r="H34" i="128"/>
  <c r="H33" i="128"/>
  <c r="H32" i="128"/>
  <c r="H31" i="128"/>
  <c r="H30" i="128"/>
  <c r="G29" i="128"/>
  <c r="F29" i="128"/>
  <c r="H28" i="128"/>
  <c r="H27" i="128"/>
  <c r="H26" i="128"/>
  <c r="H25" i="128"/>
  <c r="H24" i="128"/>
  <c r="G23" i="128"/>
  <c r="F23" i="128"/>
  <c r="H22" i="128"/>
  <c r="H21" i="128"/>
  <c r="H20" i="128"/>
  <c r="H19" i="128"/>
  <c r="H18" i="128"/>
  <c r="G17" i="128"/>
  <c r="F17" i="128"/>
  <c r="H16" i="128"/>
  <c r="H15" i="128"/>
  <c r="H14" i="128"/>
  <c r="H13" i="128"/>
  <c r="H12" i="128"/>
  <c r="G11" i="128"/>
  <c r="F11" i="128"/>
  <c r="F158" i="128" l="1"/>
  <c r="F151" i="128"/>
  <c r="L145" i="128"/>
  <c r="L146" i="128"/>
  <c r="K224" i="128"/>
  <c r="F150" i="128"/>
  <c r="L144" i="128"/>
  <c r="F153" i="128"/>
  <c r="H153" i="128" s="1"/>
  <c r="F159" i="128" s="1"/>
  <c r="L147" i="128"/>
  <c r="F154" i="128"/>
  <c r="H154" i="128" s="1"/>
  <c r="L148" i="128"/>
  <c r="L72" i="128"/>
  <c r="L73" i="128"/>
  <c r="L74" i="128"/>
  <c r="L76" i="128"/>
  <c r="L75" i="128"/>
  <c r="H191" i="128"/>
  <c r="H185" i="128"/>
  <c r="H217" i="128"/>
  <c r="H211" i="128"/>
  <c r="H179" i="128"/>
  <c r="H214" i="128"/>
  <c r="H208" i="128"/>
  <c r="F212" i="128"/>
  <c r="H23" i="128"/>
  <c r="H119" i="128"/>
  <c r="H17" i="128"/>
  <c r="H65" i="128"/>
  <c r="E3" i="134"/>
  <c r="H113" i="128"/>
  <c r="H107" i="128"/>
  <c r="H101" i="128"/>
  <c r="H59" i="128"/>
  <c r="H53" i="128"/>
  <c r="H47" i="128"/>
  <c r="H95" i="128"/>
  <c r="H143" i="128"/>
  <c r="H200" i="128"/>
  <c r="H89" i="128"/>
  <c r="H137" i="128"/>
  <c r="H41" i="128"/>
  <c r="H35" i="128"/>
  <c r="H83" i="128"/>
  <c r="H131" i="128"/>
  <c r="H29" i="128"/>
  <c r="H77" i="128"/>
  <c r="H125" i="128"/>
  <c r="H71" i="128"/>
  <c r="H206" i="128"/>
  <c r="H33" i="87"/>
  <c r="I33" i="87" s="1"/>
  <c r="J33" i="87"/>
  <c r="W55" i="4"/>
  <c r="W74" i="4" s="1"/>
  <c r="H11" i="128"/>
  <c r="Q9" i="134"/>
  <c r="C11" i="134"/>
  <c r="Q8" i="134"/>
  <c r="Q7" i="134"/>
  <c r="Q14" i="134"/>
  <c r="B26" i="134"/>
  <c r="H158" i="128"/>
  <c r="H164" i="128"/>
  <c r="H151" i="128"/>
  <c r="H149" i="128"/>
  <c r="E12" i="140" l="1"/>
  <c r="E44" i="140" s="1"/>
  <c r="E51" i="140" s="1"/>
  <c r="E13" i="139"/>
  <c r="L221" i="128"/>
  <c r="F157" i="128"/>
  <c r="F160" i="128"/>
  <c r="L149" i="128"/>
  <c r="F155" i="128"/>
  <c r="L77" i="128"/>
  <c r="H150" i="128"/>
  <c r="H212" i="128"/>
  <c r="H218" i="128"/>
  <c r="E23" i="139"/>
  <c r="G25" i="134"/>
  <c r="K33" i="87"/>
  <c r="Q6" i="134"/>
  <c r="Q5" i="134"/>
  <c r="Q4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20" i="134"/>
  <c r="N20" i="134"/>
  <c r="L20" i="134"/>
  <c r="B24" i="134"/>
  <c r="K20" i="134"/>
  <c r="J20" i="134"/>
  <c r="I20" i="134"/>
  <c r="O20" i="134"/>
  <c r="R28" i="85" s="1"/>
  <c r="H159" i="128"/>
  <c r="F165" i="128" s="1"/>
  <c r="H171" i="128" s="1"/>
  <c r="H160" i="128"/>
  <c r="F166" i="128" s="1"/>
  <c r="H157" i="128"/>
  <c r="F163" i="128" s="1"/>
  <c r="H169" i="128" s="1"/>
  <c r="E24" i="134" l="1"/>
  <c r="G24" i="134"/>
  <c r="F24" i="134"/>
  <c r="E59" i="140"/>
  <c r="F156" i="128"/>
  <c r="H155" i="128"/>
  <c r="J23" i="103"/>
  <c r="P20" i="134"/>
  <c r="U28" i="85" s="1"/>
  <c r="M25" i="134"/>
  <c r="J34" i="134"/>
  <c r="P25" i="134"/>
  <c r="J25" i="134"/>
  <c r="Q16" i="134"/>
  <c r="Q11" i="134"/>
  <c r="B12" i="134" s="1"/>
  <c r="Q26" i="134"/>
  <c r="F18" i="140" s="1"/>
  <c r="K24" i="134"/>
  <c r="H24" i="134"/>
  <c r="L24" i="134"/>
  <c r="J24" i="134"/>
  <c r="I24" i="134"/>
  <c r="P24" i="134"/>
  <c r="O24" i="134"/>
  <c r="B33" i="134"/>
  <c r="M24" i="134"/>
  <c r="N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H172" i="128"/>
  <c r="H166" i="128"/>
  <c r="H163" i="128"/>
  <c r="L220" i="128" s="1"/>
  <c r="H165" i="128"/>
  <c r="E16" i="140" l="1"/>
  <c r="Q19" i="134"/>
  <c r="B20" i="134" s="1"/>
  <c r="E14" i="140"/>
  <c r="E25" i="140" s="1"/>
  <c r="E42" i="140" s="1"/>
  <c r="L223" i="128"/>
  <c r="H156" i="128"/>
  <c r="F161" i="128"/>
  <c r="Q25" i="134"/>
  <c r="F16" i="140" s="1"/>
  <c r="G34" i="134"/>
  <c r="M34" i="134"/>
  <c r="P34" i="134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G18" i="140" s="1"/>
  <c r="E17" i="139" l="1"/>
  <c r="F14" i="140"/>
  <c r="F25" i="140" s="1"/>
  <c r="F42" i="140" s="1"/>
  <c r="F162" i="128"/>
  <c r="H161" i="128"/>
  <c r="Q28" i="134"/>
  <c r="Q34" i="134"/>
  <c r="Q33" i="134"/>
  <c r="E20" i="139" l="1"/>
  <c r="E33" i="139" s="1"/>
  <c r="G16" i="140"/>
  <c r="F17" i="139"/>
  <c r="G14" i="140"/>
  <c r="G25" i="140" s="1"/>
  <c r="G42" i="140" s="1"/>
  <c r="F33" i="139"/>
  <c r="F37" i="139"/>
  <c r="H162" i="128"/>
  <c r="H168" i="128"/>
  <c r="H173" i="128" s="1"/>
  <c r="F167" i="128"/>
  <c r="B29" i="134"/>
  <c r="Q37" i="134"/>
  <c r="D123" i="111"/>
  <c r="E123" i="111"/>
  <c r="F123" i="111"/>
  <c r="G123" i="111"/>
  <c r="H123" i="111"/>
  <c r="I123" i="111"/>
  <c r="J123" i="111"/>
  <c r="K123" i="111"/>
  <c r="K125" i="111" s="1"/>
  <c r="L123" i="111"/>
  <c r="M123" i="111"/>
  <c r="N123" i="111"/>
  <c r="D124" i="111"/>
  <c r="E124" i="111"/>
  <c r="F124" i="111"/>
  <c r="G124" i="111"/>
  <c r="H124" i="111"/>
  <c r="I124" i="111"/>
  <c r="J124" i="111"/>
  <c r="K124" i="111"/>
  <c r="L124" i="111"/>
  <c r="M124" i="111"/>
  <c r="N124" i="111"/>
  <c r="C124" i="111"/>
  <c r="C123" i="111"/>
  <c r="D107" i="111"/>
  <c r="E107" i="111"/>
  <c r="F107" i="111"/>
  <c r="G107" i="111"/>
  <c r="H107" i="111"/>
  <c r="H109" i="111" s="1"/>
  <c r="I107" i="111"/>
  <c r="J107" i="111"/>
  <c r="K107" i="111"/>
  <c r="L107" i="111"/>
  <c r="M107" i="111"/>
  <c r="N107" i="111"/>
  <c r="D108" i="111"/>
  <c r="E108" i="111"/>
  <c r="F108" i="111"/>
  <c r="G108" i="111"/>
  <c r="H108" i="111"/>
  <c r="I108" i="111"/>
  <c r="J108" i="111"/>
  <c r="K108" i="111"/>
  <c r="L108" i="111"/>
  <c r="M108" i="111"/>
  <c r="N108" i="111"/>
  <c r="C108" i="111"/>
  <c r="C107" i="111"/>
  <c r="C103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O97" i="111"/>
  <c r="L89" i="94"/>
  <c r="M89" i="94" s="1"/>
  <c r="N125" i="111" l="1"/>
  <c r="M125" i="111"/>
  <c r="L125" i="111"/>
  <c r="N109" i="111"/>
  <c r="F109" i="111"/>
  <c r="J109" i="111"/>
  <c r="M109" i="111"/>
  <c r="E109" i="111"/>
  <c r="I109" i="111"/>
  <c r="L109" i="111"/>
  <c r="D109" i="111"/>
  <c r="G37" i="139"/>
  <c r="F42" i="139"/>
  <c r="F50" i="139" s="1"/>
  <c r="H167" i="128"/>
  <c r="L219" i="128"/>
  <c r="L224" i="128" s="1"/>
  <c r="B38" i="134"/>
  <c r="J125" i="111"/>
  <c r="K109" i="111"/>
  <c r="I125" i="111"/>
  <c r="H125" i="111"/>
  <c r="P101" i="111"/>
  <c r="G109" i="111"/>
  <c r="G125" i="111"/>
  <c r="E125" i="111"/>
  <c r="D125" i="111"/>
  <c r="C125" i="111"/>
  <c r="C109" i="111"/>
  <c r="O124" i="111"/>
  <c r="E18" i="83"/>
  <c r="F125" i="111"/>
  <c r="O107" i="111"/>
  <c r="O103" i="111"/>
  <c r="L169" i="94"/>
  <c r="M169" i="94" s="1"/>
  <c r="H37" i="139" l="1"/>
  <c r="G42" i="139"/>
  <c r="G50" i="139" s="1"/>
  <c r="H75" i="105"/>
  <c r="I75" i="105" s="1"/>
  <c r="H43" i="72"/>
  <c r="I43" i="72" s="1"/>
  <c r="I37" i="139" l="1"/>
  <c r="H42" i="139"/>
  <c r="H50" i="139" s="1"/>
  <c r="H21" i="127"/>
  <c r="I21" i="127" s="1"/>
  <c r="H20" i="127"/>
  <c r="I20" i="127" s="1"/>
  <c r="H18" i="127"/>
  <c r="I18" i="127" s="1"/>
  <c r="H17" i="127"/>
  <c r="I17" i="127" s="1"/>
  <c r="H15" i="127"/>
  <c r="I15" i="127" s="1"/>
  <c r="H14" i="127"/>
  <c r="I14" i="127" s="1"/>
  <c r="H12" i="127"/>
  <c r="I12" i="127" s="1"/>
  <c r="H11" i="127"/>
  <c r="I11" i="127" s="1"/>
  <c r="H9" i="127"/>
  <c r="I9" i="127" s="1"/>
  <c r="H8" i="127"/>
  <c r="I8" i="127" s="1"/>
  <c r="J37" i="139" l="1"/>
  <c r="I42" i="139"/>
  <c r="I50" i="139" s="1"/>
  <c r="H10" i="107"/>
  <c r="I10" i="107" s="1"/>
  <c r="H9" i="107"/>
  <c r="I9" i="107" s="1"/>
  <c r="H8" i="107"/>
  <c r="I8" i="107" s="1"/>
  <c r="H7" i="107"/>
  <c r="I7" i="107" s="1"/>
  <c r="H43" i="125"/>
  <c r="I43" i="125" s="1"/>
  <c r="H42" i="125"/>
  <c r="I42" i="125" s="1"/>
  <c r="H34" i="123"/>
  <c r="I34" i="123" s="1"/>
  <c r="H33" i="123"/>
  <c r="I33" i="123" s="1"/>
  <c r="H34" i="106"/>
  <c r="I34" i="106" s="1"/>
  <c r="H33" i="106"/>
  <c r="I33" i="106" s="1"/>
  <c r="H40" i="125"/>
  <c r="I40" i="125" s="1"/>
  <c r="H39" i="125"/>
  <c r="I39" i="125" s="1"/>
  <c r="H5" i="107"/>
  <c r="I5" i="107" s="1"/>
  <c r="H31" i="106"/>
  <c r="I31" i="106" s="1"/>
  <c r="H30" i="106"/>
  <c r="I30" i="106" s="1"/>
  <c r="H37" i="125"/>
  <c r="I37" i="125" s="1"/>
  <c r="H36" i="125"/>
  <c r="I36" i="125" s="1"/>
  <c r="H28" i="123"/>
  <c r="I28" i="123" s="1"/>
  <c r="H27" i="123"/>
  <c r="I27" i="123" s="1"/>
  <c r="H34" i="125"/>
  <c r="I34" i="125" s="1"/>
  <c r="H33" i="125"/>
  <c r="I33" i="125" s="1"/>
  <c r="H31" i="125"/>
  <c r="I31" i="125" s="1"/>
  <c r="H30" i="125"/>
  <c r="I30" i="125" s="1"/>
  <c r="H28" i="125"/>
  <c r="I28" i="125" s="1"/>
  <c r="H27" i="125"/>
  <c r="I27" i="125" s="1"/>
  <c r="H25" i="125"/>
  <c r="I25" i="125" s="1"/>
  <c r="H24" i="125"/>
  <c r="I24" i="125" s="1"/>
  <c r="H25" i="123"/>
  <c r="I25" i="123" s="1"/>
  <c r="H22" i="125"/>
  <c r="I22" i="125" s="1"/>
  <c r="H21" i="125"/>
  <c r="I21" i="125" s="1"/>
  <c r="H22" i="123"/>
  <c r="I22" i="123" s="1"/>
  <c r="H21" i="123"/>
  <c r="I21" i="123" s="1"/>
  <c r="H16" i="125"/>
  <c r="I16" i="125" s="1"/>
  <c r="H15" i="125"/>
  <c r="I15" i="125" s="1"/>
  <c r="H16" i="123"/>
  <c r="I16" i="123" s="1"/>
  <c r="H15" i="123"/>
  <c r="I15" i="123" s="1"/>
  <c r="H13" i="125"/>
  <c r="I13" i="125" s="1"/>
  <c r="H12" i="125"/>
  <c r="I12" i="125" s="1"/>
  <c r="H13" i="123"/>
  <c r="I13" i="123" s="1"/>
  <c r="H12" i="123"/>
  <c r="I12" i="123" s="1"/>
  <c r="H10" i="125"/>
  <c r="I10" i="125" s="1"/>
  <c r="H9" i="125"/>
  <c r="I9" i="125" s="1"/>
  <c r="H10" i="123"/>
  <c r="I10" i="123" s="1"/>
  <c r="H9" i="123"/>
  <c r="I9" i="123" s="1"/>
  <c r="H19" i="125"/>
  <c r="I19" i="125" s="1"/>
  <c r="H18" i="125"/>
  <c r="I18" i="125" s="1"/>
  <c r="H19" i="123"/>
  <c r="I19" i="123" s="1"/>
  <c r="H18" i="123"/>
  <c r="I18" i="123" s="1"/>
  <c r="H6" i="125"/>
  <c r="I6" i="125" s="1"/>
  <c r="H5" i="125"/>
  <c r="I5" i="125" s="1"/>
  <c r="H5" i="123"/>
  <c r="I5" i="123" s="1"/>
  <c r="H6" i="123"/>
  <c r="I6" i="123" s="1"/>
  <c r="I16" i="105"/>
  <c r="I15" i="105"/>
  <c r="L85" i="94"/>
  <c r="M85" i="94" s="1"/>
  <c r="L83" i="94"/>
  <c r="M83" i="94" s="1"/>
  <c r="L82" i="94"/>
  <c r="M82" i="94" s="1"/>
  <c r="L81" i="94"/>
  <c r="M81" i="94" s="1"/>
  <c r="K37" i="139" l="1"/>
  <c r="J42" i="139"/>
  <c r="J50" i="139" s="1"/>
  <c r="H199" i="87"/>
  <c r="I199" i="87" s="1"/>
  <c r="H198" i="87"/>
  <c r="I198" i="87" s="1"/>
  <c r="H197" i="87"/>
  <c r="I197" i="87" s="1"/>
  <c r="H57" i="106"/>
  <c r="I57" i="106" s="1"/>
  <c r="L276" i="94"/>
  <c r="M276" i="94" s="1"/>
  <c r="L275" i="94"/>
  <c r="M275" i="94" s="1"/>
  <c r="H151" i="87"/>
  <c r="I151" i="87" s="1"/>
  <c r="H150" i="87"/>
  <c r="I150" i="87" s="1"/>
  <c r="H149" i="87"/>
  <c r="I149" i="87" s="1"/>
  <c r="H148" i="87"/>
  <c r="I148" i="87" s="1"/>
  <c r="H147" i="87"/>
  <c r="I147" i="87" s="1"/>
  <c r="H122" i="105"/>
  <c r="I122" i="105" s="1"/>
  <c r="H121" i="105"/>
  <c r="I121" i="105" s="1"/>
  <c r="L273" i="94"/>
  <c r="M273" i="94" s="1"/>
  <c r="L272" i="94"/>
  <c r="M272" i="94" s="1"/>
  <c r="H182" i="87"/>
  <c r="I182" i="87" s="1"/>
  <c r="H181" i="87"/>
  <c r="I181" i="87" s="1"/>
  <c r="H180" i="87"/>
  <c r="I180" i="87" s="1"/>
  <c r="H178" i="87"/>
  <c r="I178" i="87" s="1"/>
  <c r="H177" i="87"/>
  <c r="I177" i="87" s="1"/>
  <c r="H175" i="87"/>
  <c r="I175" i="87" s="1"/>
  <c r="H174" i="87"/>
  <c r="I174" i="87" s="1"/>
  <c r="H173" i="87"/>
  <c r="I173" i="87" s="1"/>
  <c r="H153" i="87"/>
  <c r="I153" i="87" s="1"/>
  <c r="L264" i="94"/>
  <c r="M264" i="94" s="1"/>
  <c r="L263" i="94"/>
  <c r="M263" i="94" s="1"/>
  <c r="H120" i="87"/>
  <c r="I120" i="87" s="1"/>
  <c r="H119" i="87"/>
  <c r="I119" i="87" s="1"/>
  <c r="L87" i="94"/>
  <c r="M87" i="94" s="1"/>
  <c r="L88" i="94"/>
  <c r="M88" i="94" s="1"/>
  <c r="L37" i="139" l="1"/>
  <c r="K42" i="139"/>
  <c r="K50" i="139" s="1"/>
  <c r="H204" i="87"/>
  <c r="I204" i="87" s="1"/>
  <c r="H157" i="105"/>
  <c r="I157" i="105" s="1"/>
  <c r="H156" i="105"/>
  <c r="I156" i="105" s="1"/>
  <c r="H65" i="104"/>
  <c r="I65" i="104" s="1"/>
  <c r="H64" i="104"/>
  <c r="I64" i="104" s="1"/>
  <c r="H45" i="72"/>
  <c r="I45" i="72" s="1"/>
  <c r="H44" i="72"/>
  <c r="I44" i="72" s="1"/>
  <c r="H71" i="87"/>
  <c r="I71" i="87" s="1"/>
  <c r="H59" i="105"/>
  <c r="I59" i="105" s="1"/>
  <c r="H58" i="105"/>
  <c r="I58" i="105" s="1"/>
  <c r="H61" i="104"/>
  <c r="I61" i="104" s="1"/>
  <c r="H60" i="104"/>
  <c r="I60" i="104" s="1"/>
  <c r="H59" i="104"/>
  <c r="I59" i="104" s="1"/>
  <c r="H55" i="87"/>
  <c r="I55" i="87" s="1"/>
  <c r="H54" i="87"/>
  <c r="I54" i="87" s="1"/>
  <c r="H53" i="87"/>
  <c r="I53" i="87" s="1"/>
  <c r="H52" i="87"/>
  <c r="I52" i="87" s="1"/>
  <c r="H51" i="87"/>
  <c r="I51" i="87" s="1"/>
  <c r="H50" i="87"/>
  <c r="I50" i="87" s="1"/>
  <c r="H15" i="106"/>
  <c r="I15" i="106" s="1"/>
  <c r="H14" i="106"/>
  <c r="I14" i="106" s="1"/>
  <c r="H42" i="105"/>
  <c r="I42" i="105" s="1"/>
  <c r="H41" i="105"/>
  <c r="I41" i="105" s="1"/>
  <c r="H40" i="105"/>
  <c r="I40" i="105" s="1"/>
  <c r="H38" i="104"/>
  <c r="I38" i="104" s="1"/>
  <c r="H37" i="104"/>
  <c r="I37" i="104" s="1"/>
  <c r="H48" i="87"/>
  <c r="I48" i="87" s="1"/>
  <c r="H47" i="87"/>
  <c r="I47" i="87" s="1"/>
  <c r="H17" i="72"/>
  <c r="I17" i="72" s="1"/>
  <c r="H16" i="72"/>
  <c r="I16" i="72" s="1"/>
  <c r="H45" i="87"/>
  <c r="I45" i="87" s="1"/>
  <c r="H44" i="87"/>
  <c r="I44" i="87" s="1"/>
  <c r="H12" i="106"/>
  <c r="I12" i="106" s="1"/>
  <c r="H11" i="106"/>
  <c r="I11" i="106" s="1"/>
  <c r="H35" i="105"/>
  <c r="I35" i="105" s="1"/>
  <c r="H33" i="104"/>
  <c r="I33" i="104" s="1"/>
  <c r="H32" i="104"/>
  <c r="I32" i="104" s="1"/>
  <c r="H42" i="87"/>
  <c r="I42" i="87" s="1"/>
  <c r="H41" i="87"/>
  <c r="I41" i="87" s="1"/>
  <c r="H33" i="105"/>
  <c r="I33" i="105" s="1"/>
  <c r="H32" i="105"/>
  <c r="I32" i="105" s="1"/>
  <c r="H34" i="87"/>
  <c r="I34" i="87" s="1"/>
  <c r="H14" i="72"/>
  <c r="I14" i="72" s="1"/>
  <c r="H13" i="72"/>
  <c r="I13" i="72" s="1"/>
  <c r="H39" i="87"/>
  <c r="I39" i="87" s="1"/>
  <c r="H38" i="87"/>
  <c r="I38" i="87" s="1"/>
  <c r="H37" i="87"/>
  <c r="I37" i="87" s="1"/>
  <c r="H30" i="105"/>
  <c r="I30" i="105" s="1"/>
  <c r="H29" i="105"/>
  <c r="I29" i="105" s="1"/>
  <c r="H27" i="104"/>
  <c r="I27" i="104" s="1"/>
  <c r="H26" i="104"/>
  <c r="I26" i="104" s="1"/>
  <c r="H25" i="104"/>
  <c r="I25" i="104" s="1"/>
  <c r="H11" i="72"/>
  <c r="I11" i="72" s="1"/>
  <c r="H9" i="72"/>
  <c r="I9" i="72" s="1"/>
  <c r="H25" i="87"/>
  <c r="I25" i="87" s="1"/>
  <c r="H24" i="105"/>
  <c r="I24" i="105" s="1"/>
  <c r="H23" i="105"/>
  <c r="I23" i="105" s="1"/>
  <c r="H19" i="104"/>
  <c r="I19" i="104" s="1"/>
  <c r="H18" i="104"/>
  <c r="I18" i="104" s="1"/>
  <c r="L25" i="94"/>
  <c r="M25" i="94" s="1"/>
  <c r="L24" i="94"/>
  <c r="M24" i="94" s="1"/>
  <c r="L23" i="94"/>
  <c r="M23" i="94" s="1"/>
  <c r="L22" i="94"/>
  <c r="M22" i="94" s="1"/>
  <c r="I6" i="127"/>
  <c r="I5" i="127"/>
  <c r="I7" i="72"/>
  <c r="I6" i="72"/>
  <c r="H22" i="87"/>
  <c r="I22" i="87" s="1"/>
  <c r="H21" i="87"/>
  <c r="I21" i="87" s="1"/>
  <c r="H20" i="87"/>
  <c r="I20" i="87" s="1"/>
  <c r="H19" i="105"/>
  <c r="I19" i="105" s="1"/>
  <c r="H15" i="104"/>
  <c r="I15" i="104" s="1"/>
  <c r="H14" i="104"/>
  <c r="I14" i="104" s="1"/>
  <c r="H9" i="87"/>
  <c r="I9" i="87" s="1"/>
  <c r="H8" i="87"/>
  <c r="I8" i="87" s="1"/>
  <c r="H9" i="106"/>
  <c r="I9" i="106" s="1"/>
  <c r="H8" i="106"/>
  <c r="I8" i="106" s="1"/>
  <c r="H9" i="105"/>
  <c r="I9" i="105" s="1"/>
  <c r="H8" i="105"/>
  <c r="I8" i="105" s="1"/>
  <c r="H8" i="104"/>
  <c r="I8" i="104" s="1"/>
  <c r="H184" i="87"/>
  <c r="I184" i="87" s="1"/>
  <c r="H157" i="72"/>
  <c r="I157" i="72" s="1"/>
  <c r="H145" i="87"/>
  <c r="I145" i="87" s="1"/>
  <c r="H144" i="87"/>
  <c r="I144" i="87" s="1"/>
  <c r="H143" i="72"/>
  <c r="I143" i="72" s="1"/>
  <c r="H162" i="87"/>
  <c r="I162" i="87" s="1"/>
  <c r="H161" i="87"/>
  <c r="I161" i="87" s="1"/>
  <c r="H59" i="125"/>
  <c r="I59" i="125" s="1"/>
  <c r="H131" i="72"/>
  <c r="I131" i="72" s="1"/>
  <c r="H141" i="87"/>
  <c r="I141" i="87" s="1"/>
  <c r="H140" i="87"/>
  <c r="I140" i="87" s="1"/>
  <c r="H56" i="125"/>
  <c r="I56" i="125" s="1"/>
  <c r="L232" i="94"/>
  <c r="M232" i="94" s="1"/>
  <c r="L231" i="94"/>
  <c r="M231" i="94" s="1"/>
  <c r="L230" i="94"/>
  <c r="M230" i="94" s="1"/>
  <c r="CG34" i="4"/>
  <c r="M37" i="139" l="1"/>
  <c r="L42" i="139"/>
  <c r="L50" i="139" s="1"/>
  <c r="H129" i="72"/>
  <c r="I129" i="72" s="1"/>
  <c r="L29" i="94"/>
  <c r="M29" i="94" s="1"/>
  <c r="H138" i="87"/>
  <c r="I138" i="87" s="1"/>
  <c r="H135" i="87"/>
  <c r="I135" i="87" s="1"/>
  <c r="H52" i="106"/>
  <c r="I52" i="106" s="1"/>
  <c r="CG30" i="4"/>
  <c r="H37" i="106"/>
  <c r="I37" i="106" s="1"/>
  <c r="H51" i="125"/>
  <c r="I51" i="125" s="1"/>
  <c r="H50" i="125"/>
  <c r="I50" i="125" s="1"/>
  <c r="H49" i="125"/>
  <c r="I49" i="125" s="1"/>
  <c r="H21" i="104"/>
  <c r="I21" i="104" s="1"/>
  <c r="L175" i="94"/>
  <c r="M175" i="94" s="1"/>
  <c r="L174" i="94"/>
  <c r="M174" i="94" s="1"/>
  <c r="L173" i="94"/>
  <c r="M173" i="94" s="1"/>
  <c r="H100" i="72"/>
  <c r="I100" i="72" s="1"/>
  <c r="H99" i="72"/>
  <c r="I99" i="72" s="1"/>
  <c r="H131" i="87"/>
  <c r="I131" i="87" s="1"/>
  <c r="H130" i="87"/>
  <c r="I130" i="87" s="1"/>
  <c r="H129" i="87"/>
  <c r="I129" i="87" s="1"/>
  <c r="H128" i="87"/>
  <c r="I128" i="87" s="1"/>
  <c r="H46" i="125"/>
  <c r="I46" i="125" s="1"/>
  <c r="H67" i="105"/>
  <c r="I67" i="105" s="1"/>
  <c r="H66" i="105"/>
  <c r="I66" i="105" s="1"/>
  <c r="H65" i="105"/>
  <c r="I65" i="105" s="1"/>
  <c r="H117" i="87"/>
  <c r="I117" i="87" s="1"/>
  <c r="H116" i="87"/>
  <c r="I116" i="87" s="1"/>
  <c r="H115" i="87"/>
  <c r="I115" i="87" s="1"/>
  <c r="H91" i="72"/>
  <c r="I91" i="72" s="1"/>
  <c r="H90" i="72"/>
  <c r="I90" i="72" s="1"/>
  <c r="H89" i="72"/>
  <c r="I89" i="72" s="1"/>
  <c r="H88" i="72"/>
  <c r="I88" i="72" s="1"/>
  <c r="H97" i="72"/>
  <c r="I97" i="72" s="1"/>
  <c r="H96" i="72"/>
  <c r="I96" i="72" s="1"/>
  <c r="H126" i="87"/>
  <c r="I126" i="87" s="1"/>
  <c r="H125" i="87"/>
  <c r="I125" i="87" s="1"/>
  <c r="H123" i="87"/>
  <c r="I123" i="87" s="1"/>
  <c r="H122" i="87"/>
  <c r="I122" i="87" s="1"/>
  <c r="H93" i="72"/>
  <c r="I93" i="72" s="1"/>
  <c r="H81" i="72"/>
  <c r="I81" i="72" s="1"/>
  <c r="H80" i="72"/>
  <c r="I80" i="72" s="1"/>
  <c r="H77" i="72"/>
  <c r="I77" i="72" s="1"/>
  <c r="H110" i="87"/>
  <c r="I110" i="87" s="1"/>
  <c r="H109" i="87"/>
  <c r="I109" i="87" s="1"/>
  <c r="H113" i="87"/>
  <c r="I113" i="87" s="1"/>
  <c r="H112" i="87"/>
  <c r="I112" i="87" s="1"/>
  <c r="H84" i="72"/>
  <c r="I84" i="72" s="1"/>
  <c r="H73" i="72"/>
  <c r="I73" i="72" s="1"/>
  <c r="H106" i="87"/>
  <c r="I106" i="87" s="1"/>
  <c r="H147" i="72"/>
  <c r="I147" i="72" s="1"/>
  <c r="H146" i="72"/>
  <c r="I146" i="72" s="1"/>
  <c r="H203" i="87"/>
  <c r="I203" i="87" s="1"/>
  <c r="H202" i="87"/>
  <c r="I202" i="87" s="1"/>
  <c r="H70" i="72"/>
  <c r="I70" i="72" s="1"/>
  <c r="H69" i="72"/>
  <c r="I69" i="72" s="1"/>
  <c r="H66" i="72"/>
  <c r="I66" i="72" s="1"/>
  <c r="H65" i="72"/>
  <c r="I65" i="72" s="1"/>
  <c r="H98" i="87"/>
  <c r="I98" i="87" s="1"/>
  <c r="H97" i="87"/>
  <c r="I97" i="87" s="1"/>
  <c r="H96" i="87"/>
  <c r="I96" i="87" s="1"/>
  <c r="H28" i="106"/>
  <c r="I28" i="106" s="1"/>
  <c r="H27" i="106"/>
  <c r="I27" i="106" s="1"/>
  <c r="H62" i="72"/>
  <c r="I62" i="72" s="1"/>
  <c r="H61" i="72"/>
  <c r="I61" i="72" s="1"/>
  <c r="H93" i="87"/>
  <c r="I93" i="87" s="1"/>
  <c r="H92" i="87"/>
  <c r="I92" i="87" s="1"/>
  <c r="H25" i="106"/>
  <c r="I25" i="106" s="1"/>
  <c r="H24" i="106"/>
  <c r="I24" i="106" s="1"/>
  <c r="H21" i="106"/>
  <c r="I21" i="106" s="1"/>
  <c r="L78" i="94"/>
  <c r="M78" i="94" s="1"/>
  <c r="L77" i="94"/>
  <c r="M77" i="94" s="1"/>
  <c r="H82" i="87"/>
  <c r="I82" i="87" s="1"/>
  <c r="H55" i="72"/>
  <c r="I55" i="72" s="1"/>
  <c r="H54" i="72"/>
  <c r="I54" i="72" s="1"/>
  <c r="H74" i="105"/>
  <c r="I74" i="105" s="1"/>
  <c r="L113" i="94"/>
  <c r="M113" i="94" s="1"/>
  <c r="H48" i="72"/>
  <c r="I48" i="72" s="1"/>
  <c r="H75" i="87"/>
  <c r="I75" i="87" s="1"/>
  <c r="H70" i="87"/>
  <c r="I70" i="87" s="1"/>
  <c r="H57" i="105"/>
  <c r="I57" i="105" s="1"/>
  <c r="L75" i="94"/>
  <c r="M75" i="94" s="1"/>
  <c r="L74" i="94"/>
  <c r="M74" i="94" s="1"/>
  <c r="L73" i="94"/>
  <c r="M73" i="94" s="1"/>
  <c r="L72" i="94"/>
  <c r="M72" i="94" s="1"/>
  <c r="L67" i="94"/>
  <c r="M67" i="94" s="1"/>
  <c r="L66" i="94"/>
  <c r="M66" i="94" s="1"/>
  <c r="L65" i="94"/>
  <c r="M65" i="94" s="1"/>
  <c r="H28" i="72"/>
  <c r="I28" i="72" s="1"/>
  <c r="H26" i="72"/>
  <c r="I26" i="72" s="1"/>
  <c r="H61" i="87"/>
  <c r="I61" i="87" s="1"/>
  <c r="H60" i="87"/>
  <c r="I60" i="87" s="1"/>
  <c r="H48" i="105"/>
  <c r="I48" i="105" s="1"/>
  <c r="H47" i="105"/>
  <c r="I47" i="105" s="1"/>
  <c r="H46" i="104"/>
  <c r="I46" i="104" s="1"/>
  <c r="L61" i="94"/>
  <c r="M61" i="94" s="1"/>
  <c r="L60" i="94"/>
  <c r="M60" i="94" s="1"/>
  <c r="H41" i="72"/>
  <c r="I41" i="72" s="1"/>
  <c r="H40" i="72"/>
  <c r="I40" i="72" s="1"/>
  <c r="H38" i="72"/>
  <c r="I38" i="72" s="1"/>
  <c r="H37" i="72"/>
  <c r="I37" i="72" s="1"/>
  <c r="H36" i="72"/>
  <c r="I36" i="72" s="1"/>
  <c r="H68" i="87"/>
  <c r="I68" i="87" s="1"/>
  <c r="H67" i="87"/>
  <c r="I67" i="87" s="1"/>
  <c r="H32" i="72"/>
  <c r="I32" i="72" s="1"/>
  <c r="H24" i="72"/>
  <c r="I24" i="72" s="1"/>
  <c r="H23" i="72"/>
  <c r="I23" i="72" s="1"/>
  <c r="H22" i="72"/>
  <c r="I22" i="72" s="1"/>
  <c r="H21" i="72"/>
  <c r="I21" i="72" s="1"/>
  <c r="H20" i="72"/>
  <c r="I20" i="72" s="1"/>
  <c r="H19" i="72"/>
  <c r="I19" i="72" s="1"/>
  <c r="H58" i="87"/>
  <c r="I58" i="87" s="1"/>
  <c r="H57" i="87"/>
  <c r="I57" i="87" s="1"/>
  <c r="H19" i="106"/>
  <c r="I19" i="106" s="1"/>
  <c r="H45" i="105"/>
  <c r="I45" i="105" s="1"/>
  <c r="H44" i="105"/>
  <c r="I44" i="105" s="1"/>
  <c r="H44" i="104"/>
  <c r="I44" i="104" s="1"/>
  <c r="H43" i="104"/>
  <c r="I43" i="104" s="1"/>
  <c r="H5" i="72"/>
  <c r="I5" i="72" s="1"/>
  <c r="H67" i="104"/>
  <c r="I67" i="104" s="1"/>
  <c r="H19" i="87"/>
  <c r="I19" i="87" s="1"/>
  <c r="L30" i="94"/>
  <c r="M30" i="94" s="1"/>
  <c r="H6" i="87"/>
  <c r="I6" i="87" s="1"/>
  <c r="H5" i="87"/>
  <c r="I5" i="87" s="1"/>
  <c r="H6" i="106"/>
  <c r="I6" i="106" s="1"/>
  <c r="N37" i="139" l="1"/>
  <c r="N42" i="139" s="1"/>
  <c r="N50" i="139" s="1"/>
  <c r="M42" i="139"/>
  <c r="M50" i="139" s="1"/>
  <c r="H137" i="87"/>
  <c r="I137" i="87" s="1"/>
  <c r="H136" i="87"/>
  <c r="I136" i="87" s="1"/>
  <c r="H112" i="105"/>
  <c r="I112" i="105" s="1"/>
  <c r="H111" i="105"/>
  <c r="I111" i="105" s="1"/>
  <c r="H110" i="105"/>
  <c r="I110" i="105" s="1"/>
  <c r="H109" i="105"/>
  <c r="I109" i="105" s="1"/>
  <c r="H108" i="105"/>
  <c r="I108" i="105" s="1"/>
  <c r="H53" i="125"/>
  <c r="I53" i="125" s="1"/>
  <c r="H51" i="106"/>
  <c r="I51" i="106" s="1"/>
  <c r="H48" i="106"/>
  <c r="I48" i="106" s="1"/>
  <c r="H47" i="106"/>
  <c r="I47" i="106" s="1"/>
  <c r="H46" i="106"/>
  <c r="I46" i="106" s="1"/>
  <c r="H45" i="106"/>
  <c r="I45" i="106" s="1"/>
  <c r="H44" i="106"/>
  <c r="I44" i="106" s="1"/>
  <c r="H43" i="106"/>
  <c r="I43" i="106" s="1"/>
  <c r="H42" i="106"/>
  <c r="I42" i="106" s="1"/>
  <c r="H156" i="72"/>
  <c r="I156" i="72" s="1"/>
  <c r="H155" i="72"/>
  <c r="I155" i="72" s="1"/>
  <c r="H139" i="72"/>
  <c r="I139" i="72" s="1"/>
  <c r="H138" i="72"/>
  <c r="I138" i="72" s="1"/>
  <c r="L267" i="94"/>
  <c r="M267" i="94" s="1"/>
  <c r="L266" i="94"/>
  <c r="M266" i="94" s="1"/>
  <c r="L297" i="94"/>
  <c r="M297" i="94" s="1"/>
  <c r="L296" i="94"/>
  <c r="M296" i="94" s="1"/>
  <c r="L256" i="94"/>
  <c r="M256" i="94" s="1"/>
  <c r="L255" i="94"/>
  <c r="M255" i="94" s="1"/>
  <c r="L254" i="94"/>
  <c r="M254" i="94" s="1"/>
  <c r="L253" i="94"/>
  <c r="M253" i="94" s="1"/>
  <c r="L252" i="94"/>
  <c r="M252" i="94" s="1"/>
  <c r="L249" i="94"/>
  <c r="M249" i="94" s="1"/>
  <c r="L248" i="94"/>
  <c r="M248" i="94" s="1"/>
  <c r="L247" i="94"/>
  <c r="M247" i="94" s="1"/>
  <c r="L246" i="94"/>
  <c r="M246" i="94" s="1"/>
  <c r="L245" i="94"/>
  <c r="M245" i="94" s="1"/>
  <c r="L244" i="94"/>
  <c r="M244" i="94" s="1"/>
  <c r="L243" i="94"/>
  <c r="M243" i="94" s="1"/>
  <c r="L242" i="94"/>
  <c r="M242" i="94" s="1"/>
  <c r="L241" i="94"/>
  <c r="M241" i="94" s="1"/>
  <c r="L260" i="94"/>
  <c r="M260" i="94" s="1"/>
  <c r="L259" i="94"/>
  <c r="M259" i="94" s="1"/>
  <c r="L302" i="94"/>
  <c r="M302" i="94" s="1"/>
  <c r="L301" i="94"/>
  <c r="M301" i="94" s="1"/>
  <c r="L227" i="94"/>
  <c r="M227" i="94" s="1"/>
  <c r="L154" i="94"/>
  <c r="M154" i="94" s="1"/>
  <c r="L165" i="94"/>
  <c r="M165" i="94" s="1"/>
  <c r="L164" i="94"/>
  <c r="M164" i="94" s="1"/>
  <c r="L163" i="94"/>
  <c r="M163" i="94" s="1"/>
  <c r="L162" i="94"/>
  <c r="M162" i="94" s="1"/>
  <c r="L161" i="94"/>
  <c r="M161" i="94" s="1"/>
  <c r="L160" i="94"/>
  <c r="M160" i="94" s="1"/>
  <c r="L143" i="94"/>
  <c r="M143" i="94" s="1"/>
  <c r="L142" i="94"/>
  <c r="M142" i="94" s="1"/>
  <c r="L131" i="94"/>
  <c r="M131" i="94" s="1"/>
  <c r="L130" i="94"/>
  <c r="M130" i="94" s="1"/>
  <c r="L129" i="94"/>
  <c r="M129" i="94" s="1"/>
  <c r="L123" i="94"/>
  <c r="M123" i="94" s="1"/>
  <c r="L122" i="94"/>
  <c r="M122" i="94" s="1"/>
  <c r="L121" i="94"/>
  <c r="M121" i="94" s="1"/>
  <c r="L120" i="94"/>
  <c r="M120" i="94" s="1"/>
  <c r="L119" i="94"/>
  <c r="M119" i="94" s="1"/>
  <c r="L118" i="94"/>
  <c r="M118" i="94" s="1"/>
  <c r="L157" i="94"/>
  <c r="M157" i="94" s="1"/>
  <c r="L156" i="94"/>
  <c r="M156" i="94" s="1"/>
  <c r="L103" i="94"/>
  <c r="M103" i="94" s="1"/>
  <c r="M238" i="94"/>
  <c r="L239" i="94"/>
  <c r="M239" i="94" s="1"/>
  <c r="L59" i="94"/>
  <c r="M59" i="94" s="1"/>
  <c r="L58" i="94"/>
  <c r="M58" i="94" s="1"/>
  <c r="L57" i="94"/>
  <c r="M57" i="94" s="1"/>
  <c r="L56" i="94"/>
  <c r="M56" i="94" s="1"/>
  <c r="L55" i="94"/>
  <c r="M55" i="94" s="1"/>
  <c r="L54" i="94"/>
  <c r="M54" i="94" s="1"/>
  <c r="L53" i="94"/>
  <c r="M53" i="94" s="1"/>
  <c r="L52" i="94"/>
  <c r="M52" i="94" s="1"/>
  <c r="L51" i="94"/>
  <c r="M51" i="94" s="1"/>
  <c r="L50" i="94"/>
  <c r="M50" i="94" s="1"/>
  <c r="L49" i="94"/>
  <c r="M49" i="94" s="1"/>
  <c r="L48" i="94"/>
  <c r="M48" i="94" s="1"/>
  <c r="L47" i="94"/>
  <c r="M47" i="94" s="1"/>
  <c r="L46" i="94"/>
  <c r="M46" i="94" s="1"/>
  <c r="L34" i="94"/>
  <c r="M34" i="94" s="1"/>
  <c r="L33" i="94"/>
  <c r="M33" i="94" s="1"/>
  <c r="L43" i="94"/>
  <c r="M43" i="94" s="1"/>
  <c r="L42" i="94"/>
  <c r="M42" i="94" s="1"/>
  <c r="L41" i="94"/>
  <c r="M41" i="94" s="1"/>
  <c r="L40" i="94"/>
  <c r="M40" i="94" s="1"/>
  <c r="H139" i="87" l="1"/>
  <c r="I139" i="87" s="1"/>
  <c r="L64" i="94"/>
  <c r="M64" i="94" s="1"/>
  <c r="H55" i="106"/>
  <c r="I55" i="106" s="1"/>
  <c r="C119" i="111" l="1"/>
  <c r="D119" i="111"/>
  <c r="E119" i="111"/>
  <c r="F119" i="111"/>
  <c r="G119" i="111"/>
  <c r="H119" i="111"/>
  <c r="G121" i="111" l="1"/>
  <c r="G120" i="111"/>
  <c r="H121" i="111"/>
  <c r="H120" i="111"/>
  <c r="E120" i="111"/>
  <c r="E121" i="111"/>
  <c r="F120" i="111"/>
  <c r="F121" i="111"/>
  <c r="D121" i="111"/>
  <c r="D120" i="111"/>
  <c r="C120" i="111"/>
  <c r="C121" i="111"/>
  <c r="L46" i="4"/>
  <c r="DN30" i="4"/>
  <c r="DI58" i="4"/>
  <c r="BJ34" i="4" l="1"/>
  <c r="AN35" i="4"/>
  <c r="AN34" i="4"/>
  <c r="AN26" i="4"/>
  <c r="AN22" i="4"/>
  <c r="M32" i="4"/>
  <c r="M31" i="4"/>
  <c r="M28" i="4"/>
  <c r="M27" i="4"/>
  <c r="M26" i="4"/>
  <c r="M22" i="4"/>
  <c r="M21" i="4"/>
  <c r="DN35" i="4" l="1"/>
  <c r="DN34" i="4"/>
  <c r="CX35" i="4"/>
  <c r="CX34" i="4"/>
  <c r="CR35" i="4"/>
  <c r="CR34" i="4"/>
  <c r="CQ34" i="4"/>
  <c r="CQ25" i="4"/>
  <c r="CK47" i="4"/>
  <c r="CL35" i="4"/>
  <c r="CL34" i="4"/>
  <c r="CK25" i="4"/>
  <c r="CH34" i="4"/>
  <c r="CD58" i="4"/>
  <c r="CD35" i="4"/>
  <c r="CE35" i="4"/>
  <c r="CE34" i="4"/>
  <c r="CD34" i="4"/>
  <c r="CE22" i="4"/>
  <c r="CD22" i="4"/>
  <c r="CA35" i="4"/>
  <c r="BZ35" i="4"/>
  <c r="BZ34" i="4"/>
  <c r="CA34" i="4"/>
  <c r="BX35" i="4"/>
  <c r="BX34" i="4"/>
  <c r="BW35" i="4"/>
  <c r="BV35" i="4"/>
  <c r="BV34" i="4"/>
  <c r="BW34" i="4"/>
  <c r="BT35" i="4"/>
  <c r="BT34" i="4"/>
  <c r="BS34" i="4"/>
  <c r="BQ35" i="4"/>
  <c r="BP34" i="4"/>
  <c r="BQ34" i="4"/>
  <c r="BN35" i="4"/>
  <c r="BN34" i="4"/>
  <c r="BM34" i="4"/>
  <c r="BK35" i="4"/>
  <c r="BK34" i="4"/>
  <c r="BD35" i="4"/>
  <c r="BE35" i="4"/>
  <c r="BE34" i="4"/>
  <c r="BD34" i="4"/>
  <c r="BA35" i="4"/>
  <c r="BB35" i="4"/>
  <c r="BB34" i="4"/>
  <c r="BA34" i="4"/>
  <c r="BB30" i="4"/>
  <c r="BA30" i="4"/>
  <c r="AY35" i="4"/>
  <c r="AX35" i="4"/>
  <c r="AY34" i="4"/>
  <c r="AX34" i="4"/>
  <c r="AX30" i="4"/>
  <c r="AR58" i="4"/>
  <c r="AR59" i="4"/>
  <c r="AR35" i="4"/>
  <c r="AS35" i="4"/>
  <c r="AS34" i="4"/>
  <c r="AR34" i="4"/>
  <c r="AR23" i="4"/>
  <c r="AS22" i="4"/>
  <c r="AR22" i="4"/>
  <c r="AP35" i="4"/>
  <c r="AP34" i="4"/>
  <c r="AO58" i="4"/>
  <c r="AO34" i="4"/>
  <c r="AN58" i="4"/>
  <c r="AN61" i="4"/>
  <c r="AI58" i="4"/>
  <c r="AJ35" i="4"/>
  <c r="AI34" i="4"/>
  <c r="AI28" i="4"/>
  <c r="AI22" i="4"/>
  <c r="AI21" i="4"/>
  <c r="AL46" i="4"/>
  <c r="AL34" i="4"/>
  <c r="AA35" i="4"/>
  <c r="AA34" i="4"/>
  <c r="AA22" i="4"/>
  <c r="AA21" i="4"/>
  <c r="AG35" i="4"/>
  <c r="AF35" i="4"/>
  <c r="AG34" i="4"/>
  <c r="AF34" i="4"/>
  <c r="AF30" i="4"/>
  <c r="AF22" i="4"/>
  <c r="AF21" i="4"/>
  <c r="R34" i="4"/>
  <c r="Q34" i="4" s="1"/>
  <c r="M59" i="4"/>
  <c r="M38" i="4"/>
  <c r="M37" i="4"/>
  <c r="M36" i="4"/>
  <c r="M35" i="4"/>
  <c r="M34" i="4"/>
  <c r="L35" i="4"/>
  <c r="L30" i="4"/>
  <c r="BM44" i="4" l="1"/>
  <c r="BN44" i="4"/>
  <c r="EF44" i="4" s="1"/>
  <c r="EE44" i="4" s="1"/>
  <c r="BH43" i="4"/>
  <c r="BG43" i="4"/>
  <c r="BA50" i="4"/>
  <c r="BB50" i="4"/>
  <c r="BB25" i="4"/>
  <c r="BA25" i="4"/>
  <c r="BE30" i="4"/>
  <c r="EF30" i="4" s="1"/>
  <c r="O9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CH35" i="4"/>
  <c r="CG25" i="4"/>
  <c r="CG22" i="4"/>
  <c r="CG21" i="4"/>
  <c r="I24" i="103" l="1"/>
  <c r="L34" i="4"/>
  <c r="L29" i="4"/>
  <c r="M66" i="4"/>
  <c r="L33" i="4"/>
  <c r="H29" i="4"/>
  <c r="DY59" i="4"/>
  <c r="DY58" i="4"/>
  <c r="DX59" i="4"/>
  <c r="DX58" i="4"/>
  <c r="DV59" i="4"/>
  <c r="DV58" i="4"/>
  <c r="DW34" i="4"/>
  <c r="DV34" i="4"/>
  <c r="DW25" i="4"/>
  <c r="DV25" i="4"/>
  <c r="DN59" i="4"/>
  <c r="DM34" i="4"/>
  <c r="DM22" i="4"/>
  <c r="DK22" i="4"/>
  <c r="DI34" i="4"/>
  <c r="DH34" i="4"/>
  <c r="DG34" i="4"/>
  <c r="DE34" i="4"/>
  <c r="DD34" i="4"/>
  <c r="CY34" i="4"/>
  <c r="CW58" i="4"/>
  <c r="CU35" i="4"/>
  <c r="CT35" i="4"/>
  <c r="CT69" i="4"/>
  <c r="CU69" i="4"/>
  <c r="CT72" i="4"/>
  <c r="CU72" i="4"/>
  <c r="CQ72" i="4"/>
  <c r="CR72" i="4"/>
  <c r="CR69" i="4"/>
  <c r="CQ59" i="4"/>
  <c r="CO35" i="4"/>
  <c r="CN35" i="4"/>
  <c r="CK59" i="4"/>
  <c r="CK58" i="4"/>
  <c r="CI41" i="4"/>
  <c r="CI25" i="4"/>
  <c r="CG64" i="4"/>
  <c r="CH46" i="4"/>
  <c r="CG46" i="4"/>
  <c r="CG23" i="4"/>
  <c r="CH23" i="4"/>
  <c r="EF23" i="4" s="1"/>
  <c r="CH22" i="4"/>
  <c r="CB59" i="4"/>
  <c r="CB34" i="4"/>
  <c r="CB33" i="4"/>
  <c r="BZ59" i="4"/>
  <c r="BX44" i="4"/>
  <c r="BV59" i="4"/>
  <c r="BV58" i="4"/>
  <c r="BV44" i="4"/>
  <c r="BS44" i="4"/>
  <c r="BP59" i="4"/>
  <c r="BP58" i="4"/>
  <c r="BJ59" i="4"/>
  <c r="BJ58" i="4"/>
  <c r="BK28" i="4"/>
  <c r="BK22" i="4"/>
  <c r="BK21" i="4"/>
  <c r="BJ28" i="4"/>
  <c r="BJ25" i="4"/>
  <c r="BJ24" i="4"/>
  <c r="BJ23" i="4"/>
  <c r="BJ22" i="4"/>
  <c r="BJ21" i="4"/>
  <c r="BG30" i="4"/>
  <c r="BG25" i="4"/>
  <c r="BG24" i="4"/>
  <c r="BG23" i="4"/>
  <c r="BD59" i="4"/>
  <c r="BD44" i="4"/>
  <c r="BD30" i="4"/>
  <c r="AX50" i="4"/>
  <c r="AX25" i="4"/>
  <c r="AU59" i="4"/>
  <c r="AU50" i="4"/>
  <c r="AU25" i="4"/>
  <c r="AP25" i="4"/>
  <c r="AN60" i="4"/>
  <c r="AN38" i="4"/>
  <c r="AN36" i="4"/>
  <c r="AN32" i="4"/>
  <c r="AN29" i="4"/>
  <c r="AN28" i="4"/>
  <c r="AN25" i="4"/>
  <c r="AN23" i="4"/>
  <c r="AN21" i="4"/>
  <c r="AN19" i="4"/>
  <c r="AL59" i="4"/>
  <c r="AL58" i="4"/>
  <c r="AL25" i="4"/>
  <c r="AL24" i="4"/>
  <c r="AL23" i="4"/>
  <c r="AI25" i="4"/>
  <c r="AI24" i="4"/>
  <c r="AI23" i="4"/>
  <c r="AF59" i="4"/>
  <c r="AF58" i="4"/>
  <c r="AF25" i="4"/>
  <c r="AF24" i="4"/>
  <c r="AF23" i="4"/>
  <c r="AD48" i="4"/>
  <c r="AD46" i="4"/>
  <c r="AD38" i="4"/>
  <c r="AD34" i="4"/>
  <c r="AD30" i="4"/>
  <c r="AD22" i="4"/>
  <c r="AD21" i="4"/>
  <c r="AC34" i="4"/>
  <c r="AC27" i="4"/>
  <c r="AB46" i="4"/>
  <c r="AB38" i="4"/>
  <c r="AB37" i="4"/>
  <c r="AB36" i="4"/>
  <c r="AB35" i="4"/>
  <c r="AB34" i="4"/>
  <c r="AB32" i="4"/>
  <c r="AB30" i="4"/>
  <c r="AB28" i="4"/>
  <c r="AB27" i="4"/>
  <c r="AB25" i="4"/>
  <c r="AB24" i="4"/>
  <c r="AB23" i="4"/>
  <c r="AB22" i="4"/>
  <c r="AB21" i="4"/>
  <c r="AB20" i="4"/>
  <c r="AA59" i="4"/>
  <c r="AA58" i="4"/>
  <c r="AA25" i="4"/>
  <c r="AA24" i="4"/>
  <c r="AA23" i="4"/>
  <c r="Z36" i="4"/>
  <c r="Z34" i="4"/>
  <c r="Z22" i="4"/>
  <c r="Z20" i="4"/>
  <c r="O21" i="4"/>
  <c r="N48" i="4"/>
  <c r="N42" i="4"/>
  <c r="N38" i="4"/>
  <c r="N37" i="4"/>
  <c r="N34" i="4"/>
  <c r="N32" i="4"/>
  <c r="N30" i="4"/>
  <c r="N28" i="4"/>
  <c r="N26" i="4"/>
  <c r="N22" i="4"/>
  <c r="N21" i="4"/>
  <c r="N20" i="4"/>
  <c r="L49" i="4"/>
  <c r="L43" i="4"/>
  <c r="Y46" i="4"/>
  <c r="Y45" i="4"/>
  <c r="Y42" i="4"/>
  <c r="Y38" i="4"/>
  <c r="Y37" i="4"/>
  <c r="Y36" i="4"/>
  <c r="Y35" i="4"/>
  <c r="Y34" i="4"/>
  <c r="Y32" i="4"/>
  <c r="Y28" i="4"/>
  <c r="Y26" i="4"/>
  <c r="Y22" i="4"/>
  <c r="Y21" i="4"/>
  <c r="Y20" i="4"/>
  <c r="Y19" i="4"/>
  <c r="X34" i="4"/>
  <c r="V46" i="4"/>
  <c r="V42" i="4"/>
  <c r="V38" i="4"/>
  <c r="V37" i="4"/>
  <c r="V36" i="4"/>
  <c r="V35" i="4"/>
  <c r="V34" i="4"/>
  <c r="V32" i="4"/>
  <c r="V28" i="4"/>
  <c r="V26" i="4"/>
  <c r="V22" i="4"/>
  <c r="V21" i="4"/>
  <c r="V19" i="4"/>
  <c r="EF45" i="4"/>
  <c r="EF42" i="4"/>
  <c r="EF37" i="4"/>
  <c r="EF36" i="4"/>
  <c r="S32" i="4"/>
  <c r="EF32" i="4" s="1"/>
  <c r="S31" i="4"/>
  <c r="EF31" i="4" s="1"/>
  <c r="R32" i="4"/>
  <c r="R31" i="4"/>
  <c r="S28" i="4"/>
  <c r="S27" i="4"/>
  <c r="EF27" i="4" s="1"/>
  <c r="S26" i="4"/>
  <c r="EF26" i="4" s="1"/>
  <c r="S22" i="4"/>
  <c r="S21" i="4"/>
  <c r="S20" i="4"/>
  <c r="EF20" i="4" s="1"/>
  <c r="R28" i="4"/>
  <c r="R27" i="4"/>
  <c r="R26" i="4"/>
  <c r="R25" i="4"/>
  <c r="Q25" i="4" s="1"/>
  <c r="R24" i="4"/>
  <c r="Q24" i="4" s="1"/>
  <c r="R23" i="4"/>
  <c r="Q23" i="4" s="1"/>
  <c r="R22" i="4"/>
  <c r="R21" i="4"/>
  <c r="R20" i="4"/>
  <c r="N12" i="4"/>
  <c r="N8" i="4"/>
  <c r="O15" i="4"/>
  <c r="O14" i="4"/>
  <c r="O13" i="4"/>
  <c r="O12" i="4"/>
  <c r="O11" i="4"/>
  <c r="O10" i="4"/>
  <c r="O8" i="4"/>
  <c r="BJ15" i="4"/>
  <c r="BJ14" i="4"/>
  <c r="BJ13" i="4"/>
  <c r="BJ12" i="4"/>
  <c r="BJ11" i="4"/>
  <c r="BJ10" i="4"/>
  <c r="BJ9" i="4"/>
  <c r="BJ8" i="4"/>
  <c r="AC15" i="4"/>
  <c r="AC14" i="4"/>
  <c r="AC13" i="4"/>
  <c r="AC12" i="4"/>
  <c r="AC11" i="4"/>
  <c r="AC10" i="4"/>
  <c r="AC9" i="4"/>
  <c r="AC8" i="4"/>
  <c r="AB15" i="4"/>
  <c r="AB14" i="4"/>
  <c r="AB13" i="4"/>
  <c r="AB12" i="4"/>
  <c r="AB11" i="4"/>
  <c r="AB10" i="4"/>
  <c r="AB9" i="4"/>
  <c r="AB8" i="4"/>
  <c r="Z15" i="4"/>
  <c r="Z14" i="4"/>
  <c r="Z13" i="4"/>
  <c r="Z12" i="4"/>
  <c r="Z11" i="4"/>
  <c r="Z10" i="4"/>
  <c r="Z9" i="4"/>
  <c r="Z8" i="4"/>
  <c r="V15" i="4"/>
  <c r="V14" i="4"/>
  <c r="V13" i="4"/>
  <c r="V12" i="4"/>
  <c r="V11" i="4"/>
  <c r="V10" i="4"/>
  <c r="V9" i="4"/>
  <c r="V8" i="4"/>
  <c r="AN15" i="4"/>
  <c r="AN14" i="4"/>
  <c r="AN13" i="4"/>
  <c r="AN12" i="4"/>
  <c r="AN11" i="4"/>
  <c r="AN10" i="4"/>
  <c r="AN9" i="4"/>
  <c r="AN8" i="4"/>
  <c r="Y15" i="4"/>
  <c r="Y14" i="4"/>
  <c r="Y13" i="4"/>
  <c r="Y12" i="4"/>
  <c r="Y11" i="4"/>
  <c r="Y10" i="4"/>
  <c r="Y9" i="4"/>
  <c r="Y8" i="4"/>
  <c r="T15" i="4"/>
  <c r="T14" i="4"/>
  <c r="T13" i="4"/>
  <c r="T12" i="4"/>
  <c r="T11" i="4"/>
  <c r="T10" i="4"/>
  <c r="T9" i="4"/>
  <c r="T8" i="4"/>
  <c r="R15" i="4"/>
  <c r="R14" i="4"/>
  <c r="R13" i="4"/>
  <c r="R12" i="4"/>
  <c r="R11" i="4"/>
  <c r="R10" i="4"/>
  <c r="R9" i="4"/>
  <c r="R8" i="4"/>
  <c r="Q32" i="4" l="1"/>
  <c r="Q28" i="4"/>
  <c r="Q21" i="4"/>
  <c r="Q26" i="4"/>
  <c r="Q27" i="4"/>
  <c r="Q22" i="4"/>
  <c r="Q31" i="4"/>
  <c r="R52" i="4"/>
  <c r="Q20" i="4"/>
  <c r="EF28" i="4"/>
  <c r="EF46" i="4"/>
  <c r="EF22" i="4"/>
  <c r="EF21" i="4"/>
  <c r="D14" i="85"/>
  <c r="U14" i="85" s="1"/>
  <c r="F11" i="85"/>
  <c r="U11" i="85" s="1"/>
  <c r="F10" i="85"/>
  <c r="E10" i="85"/>
  <c r="F8" i="85"/>
  <c r="E8" i="85"/>
  <c r="F7" i="85"/>
  <c r="E7" i="85"/>
  <c r="D10" i="85"/>
  <c r="D8" i="85"/>
  <c r="U8" i="85" s="1"/>
  <c r="D7" i="85"/>
  <c r="D6" i="85"/>
  <c r="U10" i="85" l="1"/>
  <c r="U7" i="85"/>
  <c r="E17" i="85"/>
  <c r="F17" i="85"/>
  <c r="D17" i="85"/>
  <c r="U6" i="85"/>
  <c r="B6" i="135"/>
  <c r="B12" i="135"/>
  <c r="B8" i="135" s="1"/>
  <c r="H6" i="135"/>
  <c r="D60" i="135"/>
  <c r="U17" i="85" l="1"/>
  <c r="H62" i="73"/>
  <c r="I62" i="73" s="1"/>
  <c r="H83" i="73"/>
  <c r="I83" i="73" s="1"/>
  <c r="D82" i="131" l="1"/>
  <c r="D58" i="131"/>
  <c r="Q114" i="111"/>
  <c r="Q115" i="111"/>
  <c r="Q116" i="111"/>
  <c r="Q117" i="111"/>
  <c r="Q118" i="111"/>
  <c r="S118" i="111" s="1"/>
  <c r="Q113" i="111"/>
  <c r="E10" i="135"/>
  <c r="E11" i="135" s="1"/>
  <c r="F11" i="135"/>
  <c r="D62" i="75" l="1"/>
  <c r="I40" i="1"/>
  <c r="I39" i="1"/>
  <c r="G51" i="135" l="1"/>
  <c r="C10" i="135"/>
  <c r="D10" i="135" s="1"/>
  <c r="C9" i="135"/>
  <c r="C31" i="135"/>
  <c r="C21" i="135" s="1"/>
  <c r="V23" i="135"/>
  <c r="V24" i="135"/>
  <c r="V25" i="135"/>
  <c r="V26" i="135"/>
  <c r="I28" i="135"/>
  <c r="B31" i="135"/>
  <c r="I29" i="135"/>
  <c r="V38" i="135"/>
  <c r="V39" i="135"/>
  <c r="I46" i="135"/>
  <c r="I47" i="135"/>
  <c r="I48" i="135"/>
  <c r="V51" i="135"/>
  <c r="I52" i="135"/>
  <c r="V58" i="135"/>
  <c r="V59" i="135"/>
  <c r="I34" i="135"/>
  <c r="I31" i="103"/>
  <c r="I18" i="103"/>
  <c r="I33" i="103" s="1"/>
  <c r="I31" i="135" l="1"/>
  <c r="B21" i="135"/>
  <c r="D5" i="85"/>
  <c r="D26" i="131"/>
  <c r="E26" i="131" s="1"/>
  <c r="F26" i="131" s="1"/>
  <c r="G26" i="131" s="1"/>
  <c r="H26" i="131" s="1"/>
  <c r="I26" i="131" s="1"/>
  <c r="D109" i="131"/>
  <c r="I21" i="103"/>
  <c r="I19" i="103"/>
  <c r="C54" i="135"/>
  <c r="G25" i="135"/>
  <c r="G27" i="135"/>
  <c r="G36" i="135"/>
  <c r="D35" i="135"/>
  <c r="G26" i="135"/>
  <c r="G24" i="135"/>
  <c r="G59" i="135"/>
  <c r="G45" i="135"/>
  <c r="G52" i="135"/>
  <c r="D37" i="135"/>
  <c r="G30" i="135"/>
  <c r="G23" i="135"/>
  <c r="G34" i="135"/>
  <c r="G35" i="135"/>
  <c r="D27" i="135"/>
  <c r="G55" i="135"/>
  <c r="G57" i="135"/>
  <c r="D45" i="135"/>
  <c r="G49" i="135"/>
  <c r="G56" i="135"/>
  <c r="G29" i="135"/>
  <c r="G39" i="135"/>
  <c r="G48" i="135"/>
  <c r="G31" i="135"/>
  <c r="G38" i="135"/>
  <c r="G47" i="135"/>
  <c r="G58" i="135"/>
  <c r="D30" i="135"/>
  <c r="G28" i="135"/>
  <c r="G37" i="135"/>
  <c r="G46" i="135"/>
  <c r="C44" i="135"/>
  <c r="D49" i="135"/>
  <c r="D38" i="135"/>
  <c r="D56" i="135"/>
  <c r="D57" i="135"/>
  <c r="D22" i="135"/>
  <c r="D28" i="135"/>
  <c r="D34" i="135"/>
  <c r="D33" i="135" s="1"/>
  <c r="D55" i="135"/>
  <c r="D36" i="135"/>
  <c r="D47" i="135"/>
  <c r="D51" i="135"/>
  <c r="D31" i="135"/>
  <c r="I45" i="135"/>
  <c r="D29" i="135"/>
  <c r="V27" i="135"/>
  <c r="D26" i="135"/>
  <c r="V30" i="135"/>
  <c r="D25" i="135"/>
  <c r="D39" i="135"/>
  <c r="D52" i="135"/>
  <c r="I50" i="135"/>
  <c r="V35" i="135"/>
  <c r="I49" i="135"/>
  <c r="D24" i="135"/>
  <c r="V36" i="135"/>
  <c r="D23" i="135"/>
  <c r="D46" i="135"/>
  <c r="I37" i="135"/>
  <c r="D48" i="135"/>
  <c r="D58" i="135"/>
  <c r="D59" i="135"/>
  <c r="J14" i="103"/>
  <c r="D21" i="135" l="1"/>
  <c r="I13" i="103"/>
  <c r="B5" i="135"/>
  <c r="B4" i="135" s="1"/>
  <c r="D54" i="135"/>
  <c r="B62" i="135"/>
  <c r="C62" i="135"/>
  <c r="D44" i="135"/>
  <c r="I17" i="103"/>
  <c r="I12" i="103"/>
  <c r="I22" i="103"/>
  <c r="I36" i="103" s="1"/>
  <c r="I32" i="103" l="1"/>
  <c r="J13" i="103"/>
  <c r="J17" i="103"/>
  <c r="I14" i="103"/>
  <c r="I29" i="103" s="1"/>
  <c r="C4" i="135"/>
  <c r="D62" i="135"/>
  <c r="I39" i="103" l="1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9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6" i="103"/>
  <c r="K29" i="103" l="1"/>
  <c r="K36" i="103"/>
  <c r="L36" i="103" s="1"/>
  <c r="M36" i="103" s="1"/>
  <c r="N36" i="103" s="1"/>
  <c r="O36" i="103" s="1"/>
  <c r="P36" i="103" s="1"/>
  <c r="Q36" i="103" s="1"/>
  <c r="R36" i="103" s="1"/>
  <c r="S36" i="103" s="1"/>
  <c r="T36" i="103" s="1"/>
  <c r="U36" i="103" s="1"/>
  <c r="V36" i="103" s="1"/>
  <c r="W36" i="103" s="1"/>
  <c r="W24" i="103"/>
  <c r="L12" i="103"/>
  <c r="L29" i="103" s="1"/>
  <c r="M17" i="103"/>
  <c r="W39" i="103" l="1"/>
  <c r="P17" i="103"/>
  <c r="N17" i="103"/>
  <c r="X24" i="103"/>
  <c r="X36" i="103" s="1"/>
  <c r="M12" i="103" l="1"/>
  <c r="Y24" i="103"/>
  <c r="Y36" i="103" s="1"/>
  <c r="X29" i="103"/>
  <c r="X39" i="103"/>
  <c r="O17" i="103"/>
  <c r="N12" i="103" l="1"/>
  <c r="Z24" i="103"/>
  <c r="Z29" i="103" s="1"/>
  <c r="Y29" i="103"/>
  <c r="Z36" i="103"/>
  <c r="Z39" i="103" s="1"/>
  <c r="Y39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9" i="103" s="1"/>
  <c r="N91" i="111" l="1"/>
  <c r="N92" i="111"/>
  <c r="N93" i="111" l="1"/>
  <c r="O32" i="94"/>
  <c r="M72" i="4"/>
  <c r="M16" i="4"/>
  <c r="L32" i="94" l="1"/>
  <c r="M32" i="94" s="1"/>
  <c r="M69" i="4"/>
  <c r="S32" i="94" s="1"/>
  <c r="T32" i="94" l="1"/>
  <c r="T307" i="94"/>
  <c r="M52" i="4" l="1"/>
  <c r="M55" i="4" s="1"/>
  <c r="M74" i="4" s="1"/>
  <c r="H55" i="73" l="1"/>
  <c r="I55" i="73" s="1"/>
  <c r="D51" i="131" l="1"/>
  <c r="D19" i="131" l="1"/>
  <c r="F109" i="131"/>
  <c r="G109" i="131" s="1"/>
  <c r="H109" i="131" s="1"/>
  <c r="D131" i="131"/>
  <c r="D130" i="131"/>
  <c r="S41" i="1" l="1"/>
  <c r="S42" i="1" s="1"/>
  <c r="H81" i="73"/>
  <c r="I81" i="73" s="1"/>
  <c r="D81" i="131" l="1"/>
  <c r="H101" i="73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G68" i="133" l="1"/>
  <c r="B105" i="133" s="1"/>
  <c r="D99" i="13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G59" i="133" l="1"/>
  <c r="B104" i="133" s="1"/>
  <c r="B103" i="133" l="1"/>
  <c r="H202" i="131" l="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F12" i="13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V17" i="103"/>
  <c r="V29" i="103" s="1"/>
  <c r="H21" i="103"/>
  <c r="H19" i="103"/>
  <c r="H17" i="103"/>
  <c r="H22" i="103"/>
  <c r="H29" i="103" s="1"/>
  <c r="H18" i="103"/>
  <c r="H13" i="103"/>
  <c r="L155" i="94" l="1"/>
  <c r="M155" i="94" s="1"/>
  <c r="S117" i="94" l="1"/>
  <c r="O117" i="94"/>
  <c r="L117" i="94" l="1"/>
  <c r="M117" i="94" s="1"/>
  <c r="T117" i="94" l="1"/>
  <c r="K91" i="111"/>
  <c r="L91" i="111"/>
  <c r="K92" i="111"/>
  <c r="L92" i="111"/>
  <c r="L93" i="111" l="1"/>
  <c r="K93" i="111"/>
  <c r="H152" i="87" l="1"/>
  <c r="I152" i="87" s="1"/>
  <c r="H49" i="87" l="1"/>
  <c r="I49" i="87" s="1"/>
  <c r="H98" i="72"/>
  <c r="I98" i="72" s="1"/>
  <c r="H95" i="72"/>
  <c r="I95" i="72" s="1"/>
  <c r="B34" i="106" l="1"/>
  <c r="H35" i="106" l="1"/>
  <c r="I35" i="106" s="1"/>
  <c r="H32" i="123"/>
  <c r="I32" i="123" s="1"/>
  <c r="H35" i="123"/>
  <c r="I35" i="123" s="1"/>
  <c r="H44" i="125"/>
  <c r="I44" i="125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U117" i="111" s="1"/>
  <c r="O116" i="111"/>
  <c r="U116" i="111" s="1"/>
  <c r="O115" i="111"/>
  <c r="U115" i="111" s="1"/>
  <c r="O114" i="111"/>
  <c r="U114" i="111" s="1"/>
  <c r="O113" i="111"/>
  <c r="U113" i="111" s="1"/>
  <c r="K55" i="72"/>
  <c r="K94" i="87"/>
  <c r="H209" i="87"/>
  <c r="I209" i="87" s="1"/>
  <c r="H205" i="87"/>
  <c r="I205" i="87" s="1"/>
  <c r="H201" i="87"/>
  <c r="I201" i="87" s="1"/>
  <c r="H196" i="87"/>
  <c r="I196" i="87" s="1"/>
  <c r="H193" i="87"/>
  <c r="I193" i="87" s="1"/>
  <c r="H190" i="87"/>
  <c r="I190" i="87" s="1"/>
  <c r="H187" i="87"/>
  <c r="I187" i="87" s="1"/>
  <c r="H183" i="87"/>
  <c r="I183" i="87" s="1"/>
  <c r="H179" i="87"/>
  <c r="I179" i="87" s="1"/>
  <c r="H176" i="87"/>
  <c r="I176" i="87" s="1"/>
  <c r="H172" i="87"/>
  <c r="I172" i="87" s="1"/>
  <c r="H163" i="87"/>
  <c r="I163" i="87" s="1"/>
  <c r="H160" i="87"/>
  <c r="I160" i="87" s="1"/>
  <c r="H156" i="87"/>
  <c r="I156" i="87" s="1"/>
  <c r="H146" i="87"/>
  <c r="I146" i="87" s="1"/>
  <c r="H133" i="87"/>
  <c r="I133" i="87" s="1"/>
  <c r="H127" i="87"/>
  <c r="I127" i="87" s="1"/>
  <c r="H124" i="87"/>
  <c r="I124" i="87" s="1"/>
  <c r="H121" i="87"/>
  <c r="I121" i="87" s="1"/>
  <c r="H118" i="87"/>
  <c r="I118" i="87" s="1"/>
  <c r="H114" i="87"/>
  <c r="I114" i="87" s="1"/>
  <c r="H111" i="87"/>
  <c r="I111" i="87" s="1"/>
  <c r="H108" i="87"/>
  <c r="I108" i="87" s="1"/>
  <c r="H105" i="87"/>
  <c r="I105" i="87" s="1"/>
  <c r="H100" i="87"/>
  <c r="I100" i="87" s="1"/>
  <c r="H95" i="87"/>
  <c r="I95" i="87" s="1"/>
  <c r="H85" i="87"/>
  <c r="I85" i="87" s="1"/>
  <c r="H81" i="87"/>
  <c r="I81" i="87" s="1"/>
  <c r="H77" i="87"/>
  <c r="I77" i="87" s="1"/>
  <c r="H74" i="87"/>
  <c r="I74" i="87" s="1"/>
  <c r="H69" i="87"/>
  <c r="I69" i="87" s="1"/>
  <c r="H66" i="87"/>
  <c r="I66" i="87" s="1"/>
  <c r="H62" i="87"/>
  <c r="I62" i="87" s="1"/>
  <c r="H59" i="87"/>
  <c r="I59" i="87" s="1"/>
  <c r="H56" i="87"/>
  <c r="I56" i="87" s="1"/>
  <c r="H46" i="87"/>
  <c r="I46" i="87" s="1"/>
  <c r="H43" i="87"/>
  <c r="I43" i="87" s="1"/>
  <c r="H40" i="87"/>
  <c r="I40" i="87" s="1"/>
  <c r="H36" i="87"/>
  <c r="I36" i="87" s="1"/>
  <c r="H27" i="87"/>
  <c r="I27" i="87" s="1"/>
  <c r="H24" i="87"/>
  <c r="I24" i="87" s="1"/>
  <c r="H18" i="87"/>
  <c r="I18" i="87" s="1"/>
  <c r="H10" i="87"/>
  <c r="I10" i="87" s="1"/>
  <c r="H7" i="87"/>
  <c r="K25" i="106"/>
  <c r="H58" i="106"/>
  <c r="I58" i="106" s="1"/>
  <c r="H41" i="106"/>
  <c r="I41" i="106" s="1"/>
  <c r="H38" i="106"/>
  <c r="I38" i="106" s="1"/>
  <c r="H32" i="106"/>
  <c r="I32" i="106" s="1"/>
  <c r="H29" i="106"/>
  <c r="I29" i="106" s="1"/>
  <c r="H26" i="106"/>
  <c r="I26" i="106" s="1"/>
  <c r="H20" i="106"/>
  <c r="I20" i="106" s="1"/>
  <c r="H17" i="106"/>
  <c r="I17" i="106" s="1"/>
  <c r="H13" i="106"/>
  <c r="I13" i="106" s="1"/>
  <c r="H10" i="106"/>
  <c r="I10" i="106" s="1"/>
  <c r="H7" i="106"/>
  <c r="I7" i="106" s="1"/>
  <c r="H29" i="123"/>
  <c r="I29" i="123" s="1"/>
  <c r="H23" i="123"/>
  <c r="I23" i="123" s="1"/>
  <c r="H20" i="123"/>
  <c r="I20" i="123" s="1"/>
  <c r="H14" i="123"/>
  <c r="I14" i="123" s="1"/>
  <c r="H11" i="123"/>
  <c r="I11" i="123" s="1"/>
  <c r="H8" i="123"/>
  <c r="I8" i="123" s="1"/>
  <c r="K22" i="104"/>
  <c r="K38" i="104"/>
  <c r="K39" i="104"/>
  <c r="K40" i="104"/>
  <c r="K62" i="104"/>
  <c r="K66" i="104"/>
  <c r="L177" i="94"/>
  <c r="M177" i="94" s="1"/>
  <c r="L159" i="94"/>
  <c r="M159" i="94" s="1"/>
  <c r="L101" i="94"/>
  <c r="M101" i="94" s="1"/>
  <c r="L98" i="94"/>
  <c r="M98" i="94" s="1"/>
  <c r="L80" i="94"/>
  <c r="M80" i="94" s="1"/>
  <c r="L76" i="94"/>
  <c r="M76" i="94" s="1"/>
  <c r="L71" i="94"/>
  <c r="M71" i="94" s="1"/>
  <c r="L68" i="94"/>
  <c r="M68" i="94" s="1"/>
  <c r="L45" i="94"/>
  <c r="M45" i="94" s="1"/>
  <c r="L35" i="94"/>
  <c r="M35" i="94" s="1"/>
  <c r="H65" i="125"/>
  <c r="I65" i="125" s="1"/>
  <c r="H62" i="125"/>
  <c r="I62" i="125" s="1"/>
  <c r="H58" i="125"/>
  <c r="I58" i="125" s="1"/>
  <c r="H55" i="125"/>
  <c r="I55" i="125" s="1"/>
  <c r="H52" i="125"/>
  <c r="I52" i="125" s="1"/>
  <c r="H41" i="125"/>
  <c r="I41" i="125" s="1"/>
  <c r="H38" i="125"/>
  <c r="I38" i="125" s="1"/>
  <c r="H35" i="125"/>
  <c r="I35" i="125" s="1"/>
  <c r="H32" i="125"/>
  <c r="I32" i="125" s="1"/>
  <c r="H29" i="125"/>
  <c r="I29" i="125" s="1"/>
  <c r="H26" i="125"/>
  <c r="I26" i="125" s="1"/>
  <c r="H23" i="125"/>
  <c r="I23" i="125" s="1"/>
  <c r="H20" i="125"/>
  <c r="I20" i="125" s="1"/>
  <c r="H17" i="125"/>
  <c r="I17" i="125" s="1"/>
  <c r="H14" i="125"/>
  <c r="I14" i="125" s="1"/>
  <c r="H11" i="125"/>
  <c r="I11" i="125" s="1"/>
  <c r="H8" i="125"/>
  <c r="I8" i="125" s="1"/>
  <c r="M120" i="111" l="1"/>
  <c r="M121" i="111"/>
  <c r="I7" i="87"/>
  <c r="L121" i="111"/>
  <c r="L120" i="111"/>
  <c r="J120" i="111"/>
  <c r="J121" i="111"/>
  <c r="I120" i="111"/>
  <c r="I121" i="111"/>
  <c r="O123" i="111"/>
  <c r="O125" i="111" s="1"/>
  <c r="K41" i="106"/>
  <c r="K41" i="125"/>
  <c r="O119" i="111"/>
  <c r="H22" i="127" l="1"/>
  <c r="I22" i="127" s="1"/>
  <c r="H19" i="127"/>
  <c r="I19" i="127" s="1"/>
  <c r="H16" i="127"/>
  <c r="I16" i="127" s="1"/>
  <c r="H13" i="127"/>
  <c r="I13" i="127" s="1"/>
  <c r="H10" i="127"/>
  <c r="I10" i="127" s="1"/>
  <c r="H7" i="127"/>
  <c r="I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EA10" i="4"/>
  <c r="L5" i="130"/>
  <c r="BD5" i="130"/>
  <c r="AC5" i="130"/>
  <c r="Q5" i="130"/>
  <c r="H23" i="127" l="1"/>
  <c r="I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U60" i="4"/>
  <c r="DU59" i="4"/>
  <c r="DU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H163" i="105"/>
  <c r="I163" i="105" s="1"/>
  <c r="H159" i="105"/>
  <c r="I159" i="105" s="1"/>
  <c r="H155" i="105"/>
  <c r="I155" i="105" s="1"/>
  <c r="H152" i="105"/>
  <c r="I152" i="105" s="1"/>
  <c r="H149" i="105"/>
  <c r="I149" i="105" s="1"/>
  <c r="H145" i="105"/>
  <c r="I145" i="105" s="1"/>
  <c r="H142" i="105"/>
  <c r="I142" i="105" s="1"/>
  <c r="H138" i="105"/>
  <c r="I138" i="105" s="1"/>
  <c r="H135" i="105"/>
  <c r="I135" i="105" s="1"/>
  <c r="H132" i="105"/>
  <c r="I132" i="105" s="1"/>
  <c r="H128" i="105"/>
  <c r="I128" i="105" s="1"/>
  <c r="H124" i="105"/>
  <c r="I124" i="105" s="1"/>
  <c r="H120" i="105"/>
  <c r="I120" i="105" s="1"/>
  <c r="H117" i="105"/>
  <c r="I117" i="105" s="1"/>
  <c r="H114" i="105"/>
  <c r="I114" i="105" s="1"/>
  <c r="H107" i="105"/>
  <c r="I107" i="105" s="1"/>
  <c r="H104" i="105"/>
  <c r="I104" i="105" s="1"/>
  <c r="H101" i="105"/>
  <c r="I101" i="105" s="1"/>
  <c r="H98" i="105"/>
  <c r="I98" i="105" s="1"/>
  <c r="H94" i="105"/>
  <c r="I94" i="105" s="1"/>
  <c r="H91" i="105"/>
  <c r="I91" i="105" s="1"/>
  <c r="H88" i="105"/>
  <c r="I88" i="105" s="1"/>
  <c r="H85" i="105"/>
  <c r="I85" i="105" s="1"/>
  <c r="H80" i="105"/>
  <c r="I80" i="105" s="1"/>
  <c r="H77" i="105"/>
  <c r="I77" i="105" s="1"/>
  <c r="H73" i="105"/>
  <c r="I73" i="105" s="1"/>
  <c r="H69" i="105"/>
  <c r="I69" i="105" s="1"/>
  <c r="H64" i="105"/>
  <c r="I64" i="105" s="1"/>
  <c r="H61" i="105"/>
  <c r="I61" i="105" s="1"/>
  <c r="H56" i="105"/>
  <c r="I56" i="105" s="1"/>
  <c r="H53" i="105"/>
  <c r="I53" i="105" s="1"/>
  <c r="H50" i="105"/>
  <c r="I50" i="105" s="1"/>
  <c r="H46" i="105"/>
  <c r="I46" i="105" s="1"/>
  <c r="H43" i="105"/>
  <c r="I43" i="105" s="1"/>
  <c r="H39" i="105"/>
  <c r="I39" i="105" s="1"/>
  <c r="H37" i="105"/>
  <c r="I37" i="105" s="1"/>
  <c r="H34" i="105"/>
  <c r="I34" i="105" s="1"/>
  <c r="H31" i="105"/>
  <c r="I31" i="105" s="1"/>
  <c r="H28" i="105"/>
  <c r="I28" i="105" s="1"/>
  <c r="H25" i="105"/>
  <c r="I25" i="105" s="1"/>
  <c r="H22" i="105"/>
  <c r="I22" i="105" s="1"/>
  <c r="H10" i="105"/>
  <c r="H7" i="105"/>
  <c r="I7" i="105" s="1"/>
  <c r="H63" i="104"/>
  <c r="I63" i="104" s="1"/>
  <c r="H58" i="104"/>
  <c r="I58" i="104" s="1"/>
  <c r="H54" i="104"/>
  <c r="I54" i="104" s="1"/>
  <c r="H51" i="104"/>
  <c r="I51" i="104" s="1"/>
  <c r="H48" i="104"/>
  <c r="I48" i="104" s="1"/>
  <c r="H45" i="104"/>
  <c r="I45" i="104" s="1"/>
  <c r="H42" i="104"/>
  <c r="I42" i="104" s="1"/>
  <c r="H36" i="104"/>
  <c r="I36" i="104" s="1"/>
  <c r="H34" i="104"/>
  <c r="I34" i="104" s="1"/>
  <c r="H31" i="104"/>
  <c r="I31" i="104" s="1"/>
  <c r="H28" i="104"/>
  <c r="I28" i="104" s="1"/>
  <c r="H24" i="104"/>
  <c r="I24" i="104" s="1"/>
  <c r="H20" i="104"/>
  <c r="I20" i="104" s="1"/>
  <c r="H17" i="104"/>
  <c r="I17" i="104" s="1"/>
  <c r="H13" i="104"/>
  <c r="I13" i="104" s="1"/>
  <c r="H10" i="104"/>
  <c r="I10" i="104" s="1"/>
  <c r="H7" i="104"/>
  <c r="I7" i="104" s="1"/>
  <c r="L305" i="94"/>
  <c r="M305" i="94" s="1"/>
  <c r="L300" i="94"/>
  <c r="M300" i="94" s="1"/>
  <c r="L295" i="94"/>
  <c r="M295" i="94" s="1"/>
  <c r="L291" i="94"/>
  <c r="M291" i="94" s="1"/>
  <c r="L287" i="94"/>
  <c r="M287" i="94" s="1"/>
  <c r="L283" i="94"/>
  <c r="M283" i="94" s="1"/>
  <c r="L279" i="94"/>
  <c r="M279" i="94" s="1"/>
  <c r="L274" i="94"/>
  <c r="M274" i="94" s="1"/>
  <c r="L271" i="94"/>
  <c r="M271" i="94" s="1"/>
  <c r="L268" i="94"/>
  <c r="M268" i="94" s="1"/>
  <c r="L265" i="94"/>
  <c r="M265" i="94" s="1"/>
  <c r="L240" i="94"/>
  <c r="M240" i="94" s="1"/>
  <c r="H158" i="72"/>
  <c r="I158" i="72" s="1"/>
  <c r="H154" i="72"/>
  <c r="I154" i="72" s="1"/>
  <c r="H141" i="72"/>
  <c r="I141" i="72" s="1"/>
  <c r="H103" i="72"/>
  <c r="I103" i="72" s="1"/>
  <c r="H71" i="72"/>
  <c r="I71" i="72" s="1"/>
  <c r="H68" i="72"/>
  <c r="I68" i="72" s="1"/>
  <c r="H64" i="72"/>
  <c r="I64" i="72" s="1"/>
  <c r="H56" i="72"/>
  <c r="I56" i="72" s="1"/>
  <c r="H53" i="72"/>
  <c r="I53" i="72" s="1"/>
  <c r="H47" i="72"/>
  <c r="I47" i="72" s="1"/>
  <c r="H35" i="72"/>
  <c r="I35" i="72" s="1"/>
  <c r="H18" i="72"/>
  <c r="I18" i="72" s="1"/>
  <c r="H15" i="72"/>
  <c r="I15" i="72" s="1"/>
  <c r="H12" i="72"/>
  <c r="I12" i="72" s="1"/>
  <c r="H8" i="72"/>
  <c r="I8" i="72" s="1"/>
  <c r="I10" i="105" l="1"/>
  <c r="CN55" i="130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H68" i="104"/>
  <c r="I68" i="104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U22" i="4" l="1"/>
  <c r="EE22" i="4" s="1"/>
  <c r="BF43" i="4"/>
  <c r="BF30" i="4"/>
  <c r="BF25" i="4"/>
  <c r="BF24" i="4"/>
  <c r="BF23" i="4"/>
  <c r="H41" i="73"/>
  <c r="I41" i="73" s="1"/>
  <c r="H80" i="73"/>
  <c r="I80" i="73" s="1"/>
  <c r="H56" i="73"/>
  <c r="I56" i="73" s="1"/>
  <c r="H34" i="73"/>
  <c r="I34" i="73" s="1"/>
  <c r="H33" i="73"/>
  <c r="I33" i="73" s="1"/>
  <c r="O141" i="94"/>
  <c r="BH72" i="4"/>
  <c r="BG72" i="4"/>
  <c r="BF71" i="4"/>
  <c r="BF72" i="4" s="1"/>
  <c r="BF70" i="4"/>
  <c r="BH69" i="4"/>
  <c r="BF67" i="4"/>
  <c r="BF66" i="4"/>
  <c r="BF64" i="4"/>
  <c r="BF63" i="4"/>
  <c r="BF62" i="4"/>
  <c r="BF61" i="4"/>
  <c r="BF60" i="4"/>
  <c r="BF59" i="4"/>
  <c r="BF57" i="4"/>
  <c r="BF54" i="4"/>
  <c r="BF53" i="4"/>
  <c r="BF50" i="4"/>
  <c r="BF49" i="4"/>
  <c r="BF48" i="4"/>
  <c r="BF46" i="4"/>
  <c r="BF45" i="4"/>
  <c r="BF44" i="4"/>
  <c r="BF42" i="4"/>
  <c r="BF41" i="4"/>
  <c r="BF40" i="4"/>
  <c r="BF39" i="4"/>
  <c r="BF38" i="4"/>
  <c r="BF37" i="4"/>
  <c r="BF36" i="4"/>
  <c r="BF35" i="4"/>
  <c r="BF34" i="4"/>
  <c r="BF33" i="4"/>
  <c r="BF32" i="4"/>
  <c r="BF31" i="4"/>
  <c r="BF29" i="4"/>
  <c r="BF28" i="4"/>
  <c r="BF27" i="4"/>
  <c r="BF26" i="4"/>
  <c r="BH52" i="4"/>
  <c r="BF22" i="4"/>
  <c r="BF21" i="4"/>
  <c r="BF20" i="4"/>
  <c r="BF19" i="4"/>
  <c r="BF18" i="4"/>
  <c r="BF17" i="4"/>
  <c r="BH16" i="4"/>
  <c r="BG16" i="4"/>
  <c r="G91" i="111"/>
  <c r="G92" i="111"/>
  <c r="F91" i="111"/>
  <c r="F92" i="111"/>
  <c r="D29" i="131" l="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E43" i="131"/>
  <c r="F43" i="131" s="1"/>
  <c r="G43" i="131" s="1"/>
  <c r="H43" i="131" s="1"/>
  <c r="I43" i="131" s="1"/>
  <c r="D36" i="131"/>
  <c r="E36" i="131" s="1"/>
  <c r="F36" i="131" s="1"/>
  <c r="G36" i="131" s="1"/>
  <c r="H36" i="131" s="1"/>
  <c r="I36" i="131" s="1"/>
  <c r="D52" i="131"/>
  <c r="F93" i="111"/>
  <c r="BH55" i="4"/>
  <c r="BH74" i="4" s="1"/>
  <c r="G93" i="111"/>
  <c r="BG52" i="4"/>
  <c r="BG55" i="4" s="1"/>
  <c r="BF16" i="4"/>
  <c r="BF52" i="4"/>
  <c r="E91" i="111"/>
  <c r="E92" i="111"/>
  <c r="H61" i="73"/>
  <c r="I61" i="73" s="1"/>
  <c r="K72" i="4"/>
  <c r="K69" i="4"/>
  <c r="K52" i="4"/>
  <c r="J16" i="4"/>
  <c r="K16" i="4"/>
  <c r="D91" i="111"/>
  <c r="D92" i="111"/>
  <c r="C92" i="111"/>
  <c r="C91" i="111"/>
  <c r="C75" i="111"/>
  <c r="Q19" i="85"/>
  <c r="F19" i="85"/>
  <c r="E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F55" i="4"/>
  <c r="BF68" i="4"/>
  <c r="D93" i="111"/>
  <c r="K55" i="4"/>
  <c r="K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H48" i="73"/>
  <c r="I48" i="73" s="1"/>
  <c r="U37" i="85"/>
  <c r="U38" i="85"/>
  <c r="H46" i="73"/>
  <c r="I46" i="73" s="1"/>
  <c r="H109" i="73"/>
  <c r="I109" i="73" s="1"/>
  <c r="H108" i="73"/>
  <c r="I108" i="73" s="1"/>
  <c r="H107" i="73"/>
  <c r="I107" i="73" s="1"/>
  <c r="H106" i="73"/>
  <c r="I106" i="73" s="1"/>
  <c r="H105" i="73"/>
  <c r="I105" i="73" s="1"/>
  <c r="H98" i="73"/>
  <c r="I98" i="73" s="1"/>
  <c r="H97" i="73"/>
  <c r="I97" i="73" s="1"/>
  <c r="H96" i="73"/>
  <c r="I96" i="73" s="1"/>
  <c r="H95" i="73"/>
  <c r="I95" i="73" s="1"/>
  <c r="H94" i="73"/>
  <c r="I94" i="73" s="1"/>
  <c r="H88" i="73"/>
  <c r="I88" i="73" s="1"/>
  <c r="H72" i="73"/>
  <c r="I72" i="73" s="1"/>
  <c r="H71" i="73"/>
  <c r="I71" i="73" s="1"/>
  <c r="H69" i="73"/>
  <c r="I69" i="73" s="1"/>
  <c r="H68" i="73"/>
  <c r="I68" i="73" s="1"/>
  <c r="H65" i="73"/>
  <c r="I65" i="73" s="1"/>
  <c r="H63" i="73"/>
  <c r="I63" i="73" s="1"/>
  <c r="H60" i="73"/>
  <c r="I60" i="73" s="1"/>
  <c r="H59" i="73"/>
  <c r="I59" i="73" s="1"/>
  <c r="H58" i="73"/>
  <c r="I58" i="73" s="1"/>
  <c r="H57" i="73"/>
  <c r="I57" i="73" s="1"/>
  <c r="H54" i="73"/>
  <c r="I54" i="73" s="1"/>
  <c r="H51" i="73"/>
  <c r="I51" i="73" s="1"/>
  <c r="H50" i="73"/>
  <c r="I50" i="73" s="1"/>
  <c r="H47" i="73"/>
  <c r="I47" i="73" s="1"/>
  <c r="H43" i="73"/>
  <c r="I43" i="73" s="1"/>
  <c r="H42" i="73"/>
  <c r="I42" i="73" s="1"/>
  <c r="H40" i="73"/>
  <c r="I40" i="73" s="1"/>
  <c r="H38" i="73"/>
  <c r="I38" i="73" s="1"/>
  <c r="H37" i="73"/>
  <c r="I37" i="73" s="1"/>
  <c r="H31" i="73"/>
  <c r="I31" i="73" s="1"/>
  <c r="D17" i="131"/>
  <c r="E17" i="131" s="1"/>
  <c r="F17" i="131" s="1"/>
  <c r="G17" i="131" s="1"/>
  <c r="H17" i="131" s="1"/>
  <c r="I17" i="131" s="1"/>
  <c r="D16" i="131"/>
  <c r="E16" i="131" s="1"/>
  <c r="F16" i="131" s="1"/>
  <c r="G16" i="131" s="1"/>
  <c r="H16" i="131" s="1"/>
  <c r="I16" i="131" s="1"/>
  <c r="D14" i="131"/>
  <c r="H113" i="73"/>
  <c r="I113" i="73" s="1"/>
  <c r="H35" i="73"/>
  <c r="I35" i="73" s="1"/>
  <c r="J40" i="1"/>
  <c r="O41" i="1"/>
  <c r="O42" i="1" s="1"/>
  <c r="P41" i="1"/>
  <c r="P42" i="1" s="1"/>
  <c r="Q41" i="1"/>
  <c r="Q42" i="1" s="1"/>
  <c r="R41" i="1"/>
  <c r="R42" i="1" s="1"/>
  <c r="M42" i="1"/>
  <c r="N42" i="1"/>
  <c r="M48" i="1"/>
  <c r="N48" i="1"/>
  <c r="O48" i="1"/>
  <c r="P48" i="1"/>
  <c r="Q48" i="1"/>
  <c r="R48" i="1"/>
  <c r="F40" i="131" s="1"/>
  <c r="S48" i="1"/>
  <c r="G40" i="131" s="1"/>
  <c r="T48" i="1"/>
  <c r="H40" i="131" s="1"/>
  <c r="U48" i="1"/>
  <c r="I40" i="131" s="1"/>
  <c r="V48" i="1"/>
  <c r="I55" i="1"/>
  <c r="J35" i="72"/>
  <c r="K35" i="72" s="1"/>
  <c r="J66" i="87"/>
  <c r="K66" i="87" s="1"/>
  <c r="J20" i="125"/>
  <c r="K20" i="125" s="1"/>
  <c r="J20" i="123"/>
  <c r="K20" i="123" s="1"/>
  <c r="I15" i="1"/>
  <c r="H15" i="73" l="1"/>
  <c r="I15" i="73" s="1"/>
  <c r="I105" i="1"/>
  <c r="I113" i="1" s="1"/>
  <c r="I111" i="73"/>
  <c r="H209" i="73"/>
  <c r="V14" i="85"/>
  <c r="D49" i="131"/>
  <c r="E49" i="131" s="1"/>
  <c r="F49" i="131" s="1"/>
  <c r="G49" i="131" s="1"/>
  <c r="H49" i="131" s="1"/>
  <c r="I49" i="131" s="1"/>
  <c r="D50" i="131"/>
  <c r="E50" i="131" s="1"/>
  <c r="F50" i="131" s="1"/>
  <c r="G50" i="131" s="1"/>
  <c r="H50" i="131" s="1"/>
  <c r="I50" i="131" s="1"/>
  <c r="D71" i="131"/>
  <c r="E71" i="131" s="1"/>
  <c r="F71" i="131" s="1"/>
  <c r="G71" i="131" s="1"/>
  <c r="H71" i="131" s="1"/>
  <c r="I71" i="131" s="1"/>
  <c r="D96" i="131"/>
  <c r="D41" i="131"/>
  <c r="E41" i="131" s="1"/>
  <c r="F41" i="131" s="1"/>
  <c r="G41" i="131" s="1"/>
  <c r="H41" i="131" s="1"/>
  <c r="I41" i="131" s="1"/>
  <c r="D31" i="131"/>
  <c r="E31" i="131" s="1"/>
  <c r="F31" i="131" s="1"/>
  <c r="G31" i="131" s="1"/>
  <c r="H31" i="131" s="1"/>
  <c r="I31" i="131" s="1"/>
  <c r="D70" i="131"/>
  <c r="E70" i="131" s="1"/>
  <c r="F70" i="131" s="1"/>
  <c r="G70" i="131" s="1"/>
  <c r="H70" i="131" s="1"/>
  <c r="I70" i="131" s="1"/>
  <c r="D54" i="131"/>
  <c r="E54" i="131" s="1"/>
  <c r="F54" i="131" s="1"/>
  <c r="G54" i="131" s="1"/>
  <c r="H54" i="131" s="1"/>
  <c r="I54" i="131" s="1"/>
  <c r="D101" i="131"/>
  <c r="D61" i="131"/>
  <c r="D53" i="131"/>
  <c r="E53" i="131" s="1"/>
  <c r="F53" i="131" s="1"/>
  <c r="G53" i="131" s="1"/>
  <c r="H53" i="131" s="1"/>
  <c r="I53" i="131" s="1"/>
  <c r="D38" i="131"/>
  <c r="E38" i="131" s="1"/>
  <c r="F38" i="131" s="1"/>
  <c r="G38" i="131" s="1"/>
  <c r="H38" i="131" s="1"/>
  <c r="I38" i="131" s="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102" i="131"/>
  <c r="D97" i="131"/>
  <c r="D56" i="131"/>
  <c r="E56" i="131" s="1"/>
  <c r="F56" i="131" s="1"/>
  <c r="G56" i="131" s="1"/>
  <c r="H56" i="131" s="1"/>
  <c r="I56" i="131" s="1"/>
  <c r="D87" i="131"/>
  <c r="E87" i="131" s="1"/>
  <c r="F87" i="131" s="1"/>
  <c r="G87" i="131" s="1"/>
  <c r="H87" i="131" s="1"/>
  <c r="I87" i="131" s="1"/>
  <c r="D103" i="131"/>
  <c r="D34" i="131"/>
  <c r="E34" i="131" s="1"/>
  <c r="F34" i="131" s="1"/>
  <c r="G34" i="131" s="1"/>
  <c r="H34" i="131" s="1"/>
  <c r="I34" i="131" s="1"/>
  <c r="D37" i="131"/>
  <c r="D72" i="13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93" i="131"/>
  <c r="E93" i="131" s="1"/>
  <c r="D104" i="131"/>
  <c r="D45" i="131"/>
  <c r="D95" i="131"/>
  <c r="D35" i="131"/>
  <c r="E35" i="131" s="1"/>
  <c r="F35" i="131" s="1"/>
  <c r="G35" i="131" s="1"/>
  <c r="H35" i="131" s="1"/>
  <c r="I35" i="131" s="1"/>
  <c r="D33" i="131"/>
  <c r="D48" i="131"/>
  <c r="D60" i="131"/>
  <c r="E60" i="131" s="1"/>
  <c r="F60" i="131" s="1"/>
  <c r="G60" i="131" s="1"/>
  <c r="H60" i="131" s="1"/>
  <c r="I60" i="131" s="1"/>
  <c r="E69" i="131"/>
  <c r="F69" i="131" s="1"/>
  <c r="G69" i="131" s="1"/>
  <c r="H69" i="131" s="1"/>
  <c r="I69" i="131" s="1"/>
  <c r="D94" i="131"/>
  <c r="E94" i="131" s="1"/>
  <c r="F94" i="131" s="1"/>
  <c r="G94" i="131" s="1"/>
  <c r="H94" i="131" s="1"/>
  <c r="I94" i="131" s="1"/>
  <c r="D105" i="131"/>
  <c r="E105" i="131" s="1"/>
  <c r="F105" i="131" s="1"/>
  <c r="G105" i="131" s="1"/>
  <c r="H105" i="131" s="1"/>
  <c r="I105" i="131" s="1"/>
  <c r="D22" i="131"/>
  <c r="D23" i="131"/>
  <c r="E23" i="131" s="1"/>
  <c r="F23" i="131" s="1"/>
  <c r="G23" i="131" s="1"/>
  <c r="H23" i="131" s="1"/>
  <c r="I23" i="131" s="1"/>
  <c r="D24" i="131"/>
  <c r="E24" i="131" s="1"/>
  <c r="F24" i="131" s="1"/>
  <c r="G24" i="131" s="1"/>
  <c r="H24" i="131" s="1"/>
  <c r="I24" i="131" s="1"/>
  <c r="D21" i="131"/>
  <c r="D20" i="131"/>
  <c r="D18" i="131"/>
  <c r="E18" i="131" s="1"/>
  <c r="F18" i="131" s="1"/>
  <c r="G18" i="131" s="1"/>
  <c r="H18" i="131" s="1"/>
  <c r="I18" i="131" s="1"/>
  <c r="D111" i="131"/>
  <c r="D108" i="131" s="1"/>
  <c r="E40" i="131"/>
  <c r="H49" i="73"/>
  <c r="I49" i="73" s="1"/>
  <c r="H45" i="73"/>
  <c r="I45" i="73" s="1"/>
  <c r="H36" i="73"/>
  <c r="I36" i="73" s="1"/>
  <c r="H103" i="73"/>
  <c r="I103" i="73" s="1"/>
  <c r="D15" i="131"/>
  <c r="E15" i="131" s="1"/>
  <c r="F15" i="131" s="1"/>
  <c r="G15" i="131" s="1"/>
  <c r="H15" i="131" s="1"/>
  <c r="I15" i="131" s="1"/>
  <c r="O35" i="94"/>
  <c r="AA72" i="4"/>
  <c r="AA16" i="4"/>
  <c r="E48" i="131" l="1"/>
  <c r="F48" i="131" s="1"/>
  <c r="G48" i="131" s="1"/>
  <c r="H48" i="131" s="1"/>
  <c r="I48" i="131" s="1"/>
  <c r="E79" i="131"/>
  <c r="E197" i="131" s="1"/>
  <c r="F93" i="131"/>
  <c r="F79" i="131" s="1"/>
  <c r="D46" i="131"/>
  <c r="E46" i="131" s="1"/>
  <c r="F46" i="131" s="1"/>
  <c r="G46" i="131" s="1"/>
  <c r="H46" i="131" s="1"/>
  <c r="I46" i="131" s="1"/>
  <c r="D32" i="131"/>
  <c r="E32" i="131" s="1"/>
  <c r="F32" i="131" s="1"/>
  <c r="G32" i="131" s="1"/>
  <c r="H32" i="131" s="1"/>
  <c r="I32" i="131" s="1"/>
  <c r="D40" i="131"/>
  <c r="D100" i="131"/>
  <c r="D79" i="131" s="1"/>
  <c r="D210" i="131" s="1"/>
  <c r="E8" i="131"/>
  <c r="F8" i="131" s="1"/>
  <c r="G8" i="131" s="1"/>
  <c r="H8" i="131" s="1"/>
  <c r="I8" i="131" s="1"/>
  <c r="E10" i="131"/>
  <c r="F10" i="131" s="1"/>
  <c r="G10" i="131" s="1"/>
  <c r="H10" i="131" s="1"/>
  <c r="I10" i="131" s="1"/>
  <c r="E11" i="131"/>
  <c r="F11" i="131" s="1"/>
  <c r="G11" i="131" s="1"/>
  <c r="H11" i="131" s="1"/>
  <c r="I11" i="131" s="1"/>
  <c r="G93" i="131"/>
  <c r="E33" i="131"/>
  <c r="H44" i="73"/>
  <c r="I44" i="73" s="1"/>
  <c r="E14" i="131"/>
  <c r="I79" i="73" l="1"/>
  <c r="H202" i="73"/>
  <c r="H216" i="73"/>
  <c r="V15" i="85"/>
  <c r="E210" i="131"/>
  <c r="D197" i="131"/>
  <c r="D39" i="131"/>
  <c r="D27" i="131" s="1"/>
  <c r="F7" i="131"/>
  <c r="G7" i="131" s="1"/>
  <c r="H7" i="131" s="1"/>
  <c r="I7" i="131" s="1"/>
  <c r="F197" i="131"/>
  <c r="F210" i="131"/>
  <c r="H93" i="131"/>
  <c r="G79" i="131"/>
  <c r="F14" i="131"/>
  <c r="H30" i="73"/>
  <c r="H6" i="73"/>
  <c r="I30" i="73" l="1"/>
  <c r="H215" i="73"/>
  <c r="I6" i="73"/>
  <c r="H214" i="73"/>
  <c r="H194" i="73"/>
  <c r="E39" i="131"/>
  <c r="D209" i="131"/>
  <c r="D6" i="131"/>
  <c r="D208" i="131" s="1"/>
  <c r="I93" i="131"/>
  <c r="I79" i="131" s="1"/>
  <c r="H79" i="131"/>
  <c r="G210" i="131"/>
  <c r="G197" i="131"/>
  <c r="E6" i="131"/>
  <c r="E208" i="131" s="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C104" i="111" l="1"/>
  <c r="C105" i="111"/>
  <c r="P85" i="111"/>
  <c r="E17" i="83"/>
  <c r="O108" i="111"/>
  <c r="O109" i="111" s="1"/>
  <c r="J104" i="111"/>
  <c r="J105" i="111"/>
  <c r="L105" i="111"/>
  <c r="L104" i="111"/>
  <c r="E105" i="111"/>
  <c r="E104" i="111"/>
  <c r="N104" i="111"/>
  <c r="N105" i="111"/>
  <c r="K104" i="111"/>
  <c r="K105" i="111"/>
  <c r="G105" i="111"/>
  <c r="G104" i="111"/>
  <c r="H105" i="111"/>
  <c r="H104" i="111"/>
  <c r="D105" i="111"/>
  <c r="D104" i="111"/>
  <c r="M104" i="111"/>
  <c r="M105" i="111"/>
  <c r="F105" i="111"/>
  <c r="F104" i="111"/>
  <c r="I105" i="111"/>
  <c r="I104" i="111"/>
  <c r="D113" i="131"/>
  <c r="D114" i="131" s="1"/>
  <c r="D207" i="131"/>
  <c r="D190" i="131"/>
  <c r="F39" i="131"/>
  <c r="E27" i="131"/>
  <c r="E209" i="131" s="1"/>
  <c r="E207" i="131" s="1"/>
  <c r="H210" i="131"/>
  <c r="H197" i="131"/>
  <c r="I197" i="131"/>
  <c r="I210" i="131"/>
  <c r="H14" i="131"/>
  <c r="G6" i="131"/>
  <c r="O91" i="111"/>
  <c r="F208" i="131"/>
  <c r="O87" i="111"/>
  <c r="C76" i="111"/>
  <c r="C77" i="111" s="1"/>
  <c r="N19" i="85"/>
  <c r="T19" i="85"/>
  <c r="O19" i="85"/>
  <c r="W9" i="85"/>
  <c r="P104" i="111" l="1"/>
  <c r="O105" i="111"/>
  <c r="O106" i="111"/>
  <c r="D27" i="85"/>
  <c r="D31" i="85" s="1"/>
  <c r="D52" i="85" s="1"/>
  <c r="E113" i="131"/>
  <c r="E190" i="131"/>
  <c r="G39" i="131"/>
  <c r="F27" i="131"/>
  <c r="I14" i="131"/>
  <c r="I6" i="131" s="1"/>
  <c r="H6" i="131"/>
  <c r="G208" i="131"/>
  <c r="S85" i="111"/>
  <c r="S84" i="111"/>
  <c r="S83" i="111"/>
  <c r="S82" i="111"/>
  <c r="S81" i="111"/>
  <c r="D57" i="85" l="1"/>
  <c r="F209" i="131"/>
  <c r="F207" i="131" s="1"/>
  <c r="F190" i="131"/>
  <c r="F113" i="131"/>
  <c r="H39" i="131"/>
  <c r="G27" i="131"/>
  <c r="H208" i="131"/>
  <c r="I208" i="131"/>
  <c r="S88" i="111"/>
  <c r="E5" i="85" l="1"/>
  <c r="D60" i="85"/>
  <c r="G209" i="131"/>
  <c r="G207" i="131" s="1"/>
  <c r="G113" i="131"/>
  <c r="G190" i="131"/>
  <c r="I39" i="131"/>
  <c r="I27" i="131" s="1"/>
  <c r="H27" i="131"/>
  <c r="O112" i="94"/>
  <c r="H209" i="131" l="1"/>
  <c r="H207" i="131" s="1"/>
  <c r="H113" i="131"/>
  <c r="H190" i="131"/>
  <c r="I209" i="131"/>
  <c r="I207" i="131" s="1"/>
  <c r="I190" i="131"/>
  <c r="I113" i="131"/>
  <c r="J183" i="87"/>
  <c r="K183" i="87" s="1"/>
  <c r="J156" i="87"/>
  <c r="K156" i="87" s="1"/>
  <c r="J121" i="87"/>
  <c r="K121" i="87" s="1"/>
  <c r="J74" i="87"/>
  <c r="K74" i="87" s="1"/>
  <c r="J56" i="87"/>
  <c r="K56" i="87" s="1"/>
  <c r="J17" i="106"/>
  <c r="K17" i="106" s="1"/>
  <c r="J49" i="87"/>
  <c r="K49" i="87" s="1"/>
  <c r="J18" i="72"/>
  <c r="K18" i="72" s="1"/>
  <c r="J46" i="87"/>
  <c r="K46" i="87" s="1"/>
  <c r="J13" i="106"/>
  <c r="K13" i="106" s="1"/>
  <c r="J43" i="87"/>
  <c r="K43" i="87" s="1"/>
  <c r="J36" i="87"/>
  <c r="K36" i="87" s="1"/>
  <c r="J15" i="72"/>
  <c r="K15" i="72" s="1"/>
  <c r="J40" i="87"/>
  <c r="K40" i="87" s="1"/>
  <c r="J12" i="72"/>
  <c r="K12" i="72" s="1"/>
  <c r="J27" i="87"/>
  <c r="K27" i="87" s="1"/>
  <c r="J10" i="87"/>
  <c r="K10" i="87" s="1"/>
  <c r="J10" i="106"/>
  <c r="K10" i="106" s="1"/>
  <c r="J98" i="72"/>
  <c r="K98" i="72" s="1"/>
  <c r="J127" i="87"/>
  <c r="K127" i="87" s="1"/>
  <c r="J53" i="72"/>
  <c r="K53" i="72" s="1"/>
  <c r="J81" i="87"/>
  <c r="K81" i="87" s="1"/>
  <c r="J77" i="87"/>
  <c r="K77" i="87" s="1"/>
  <c r="J7" i="87"/>
  <c r="K7" i="87" s="1"/>
  <c r="J7" i="106"/>
  <c r="K7" i="106" s="1"/>
  <c r="K18" i="87"/>
  <c r="J209" i="87"/>
  <c r="K209" i="87" s="1"/>
  <c r="J196" i="87"/>
  <c r="K196" i="87" s="1"/>
  <c r="J193" i="87"/>
  <c r="K193" i="87" s="1"/>
  <c r="J190" i="87"/>
  <c r="K190" i="87" s="1"/>
  <c r="J160" i="87"/>
  <c r="K160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B24" i="106" l="1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BB72" i="4" l="1"/>
  <c r="BA72" i="4"/>
  <c r="AZ71" i="4"/>
  <c r="AZ72" i="4" s="1"/>
  <c r="AZ70" i="4"/>
  <c r="BB69" i="4"/>
  <c r="AZ68" i="4"/>
  <c r="AZ67" i="4"/>
  <c r="AZ66" i="4"/>
  <c r="AZ64" i="4"/>
  <c r="AZ63" i="4"/>
  <c r="AZ62" i="4"/>
  <c r="AZ61" i="4"/>
  <c r="AZ60" i="4"/>
  <c r="AZ59" i="4"/>
  <c r="BA69" i="4"/>
  <c r="AZ57" i="4"/>
  <c r="AZ54" i="4"/>
  <c r="AZ53" i="4"/>
  <c r="AZ49" i="4"/>
  <c r="AZ48" i="4"/>
  <c r="AZ46" i="4"/>
  <c r="AZ45" i="4"/>
  <c r="AZ44" i="4"/>
  <c r="AZ43" i="4"/>
  <c r="AZ42" i="4"/>
  <c r="AZ41" i="4"/>
  <c r="AZ40" i="4"/>
  <c r="AZ39" i="4"/>
  <c r="AZ38" i="4"/>
  <c r="AZ37" i="4"/>
  <c r="AZ36" i="4"/>
  <c r="AZ33" i="4"/>
  <c r="AZ32" i="4"/>
  <c r="AZ31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BB16" i="4"/>
  <c r="BA16" i="4"/>
  <c r="AZ16" i="4"/>
  <c r="AY72" i="4"/>
  <c r="AX72" i="4"/>
  <c r="AW71" i="4"/>
  <c r="AW72" i="4" s="1"/>
  <c r="AW70" i="4"/>
  <c r="AY69" i="4"/>
  <c r="AW68" i="4"/>
  <c r="AW67" i="4"/>
  <c r="AW66" i="4"/>
  <c r="AW64" i="4"/>
  <c r="AW63" i="4"/>
  <c r="AW62" i="4"/>
  <c r="AW61" i="4"/>
  <c r="AW60" i="4"/>
  <c r="AW57" i="4"/>
  <c r="AW54" i="4"/>
  <c r="AW53" i="4"/>
  <c r="AW50" i="4"/>
  <c r="AW49" i="4"/>
  <c r="AW48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J64" i="72" s="1"/>
  <c r="K64" i="72" s="1"/>
  <c r="AW34" i="4"/>
  <c r="J95" i="87" s="1"/>
  <c r="K95" i="87" s="1"/>
  <c r="AW33" i="4"/>
  <c r="AW32" i="4"/>
  <c r="AW31" i="4"/>
  <c r="AW30" i="4"/>
  <c r="J26" i="106" s="1"/>
  <c r="K26" i="106" s="1"/>
  <c r="AW29" i="4"/>
  <c r="AW28" i="4"/>
  <c r="AW27" i="4"/>
  <c r="AW26" i="4"/>
  <c r="AX52" i="4"/>
  <c r="AW25" i="4"/>
  <c r="J35" i="125" s="1"/>
  <c r="K35" i="125" s="1"/>
  <c r="AW24" i="4"/>
  <c r="AW23" i="4"/>
  <c r="AW22" i="4"/>
  <c r="AW21" i="4"/>
  <c r="AW20" i="4"/>
  <c r="AW19" i="4"/>
  <c r="AW18" i="4"/>
  <c r="AW17" i="4"/>
  <c r="AY16" i="4"/>
  <c r="AX16" i="4"/>
  <c r="AW16" i="4"/>
  <c r="AX55" i="4" l="1"/>
  <c r="AW52" i="4"/>
  <c r="AW55" i="4" s="1"/>
  <c r="AZ58" i="4"/>
  <c r="AZ69" i="4" s="1"/>
  <c r="AY52" i="4"/>
  <c r="AY55" i="4" s="1"/>
  <c r="AY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l="1"/>
  <c r="P57" i="111"/>
  <c r="S65" i="111"/>
  <c r="S59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V10" i="85" l="1"/>
  <c r="W10" i="85" s="1"/>
  <c r="V11" i="85"/>
  <c r="W11" i="85" s="1"/>
  <c r="V7" i="85"/>
  <c r="W7" i="85" s="1"/>
  <c r="J22" i="127" l="1"/>
  <c r="K22" i="127" s="1"/>
  <c r="Q14" i="4" l="1"/>
  <c r="Q13" i="4"/>
  <c r="EA13" i="4" s="1"/>
  <c r="Q12" i="4"/>
  <c r="Q11" i="4"/>
  <c r="EA11" i="4" s="1"/>
  <c r="Q10" i="4"/>
  <c r="Q9" i="4"/>
  <c r="EA9" i="4" s="1"/>
  <c r="Q8" i="4"/>
  <c r="EA8" i="4" s="1"/>
  <c r="G12" i="4" l="1"/>
  <c r="EA12" i="4"/>
  <c r="M5" i="130"/>
  <c r="EA14" i="4"/>
  <c r="G8" i="4"/>
  <c r="D120" i="131" l="1"/>
  <c r="E120" i="131" s="1"/>
  <c r="F120" i="131" s="1"/>
  <c r="G120" i="131" s="1"/>
  <c r="H120" i="131" s="1"/>
  <c r="I120" i="131" s="1"/>
  <c r="ED8" i="4"/>
  <c r="D124" i="131"/>
  <c r="E124" i="131" s="1"/>
  <c r="F124" i="131" s="1"/>
  <c r="G124" i="131" s="1"/>
  <c r="H124" i="131" s="1"/>
  <c r="I124" i="131" s="1"/>
  <c r="ED12" i="4"/>
  <c r="DX8" i="130"/>
  <c r="DX12" i="130"/>
  <c r="EB12" i="4"/>
  <c r="EB8" i="4"/>
  <c r="J19" i="127"/>
  <c r="K19" i="127" s="1"/>
  <c r="J16" i="127"/>
  <c r="K16" i="127" s="1"/>
  <c r="J13" i="127"/>
  <c r="K13" i="127" s="1"/>
  <c r="J10" i="127"/>
  <c r="K10" i="127" s="1"/>
  <c r="J55" i="125" l="1"/>
  <c r="K55" i="125" s="1"/>
  <c r="J26" i="125" l="1"/>
  <c r="K26" i="125" s="1"/>
  <c r="J29" i="125"/>
  <c r="K29" i="125" s="1"/>
  <c r="J11" i="125"/>
  <c r="K11" i="125" s="1"/>
  <c r="J11" i="123"/>
  <c r="K11" i="123" s="1"/>
  <c r="CF23" i="4" l="1"/>
  <c r="CF24" i="4"/>
  <c r="U71" i="4"/>
  <c r="EE71" i="4" s="1"/>
  <c r="U70" i="4"/>
  <c r="EE70" i="4" s="1"/>
  <c r="U67" i="4"/>
  <c r="EE67" i="4" s="1"/>
  <c r="U64" i="4"/>
  <c r="EE64" i="4" s="1"/>
  <c r="U63" i="4"/>
  <c r="EE63" i="4" s="1"/>
  <c r="U62" i="4"/>
  <c r="EE62" i="4" s="1"/>
  <c r="U61" i="4"/>
  <c r="EE61" i="4" s="1"/>
  <c r="U60" i="4"/>
  <c r="EE60" i="4" s="1"/>
  <c r="U59" i="4"/>
  <c r="EE59" i="4" s="1"/>
  <c r="U57" i="4"/>
  <c r="EE57" i="4" s="1"/>
  <c r="U56" i="4"/>
  <c r="U54" i="4"/>
  <c r="EE54" i="4" s="1"/>
  <c r="U53" i="4"/>
  <c r="EE53" i="4" s="1"/>
  <c r="U51" i="4"/>
  <c r="EE51" i="4" s="1"/>
  <c r="U50" i="4"/>
  <c r="EE50" i="4" s="1"/>
  <c r="U49" i="4"/>
  <c r="EE49" i="4" s="1"/>
  <c r="U48" i="4"/>
  <c r="EE48" i="4" s="1"/>
  <c r="U47" i="4"/>
  <c r="EE47" i="4" s="1"/>
  <c r="U46" i="4"/>
  <c r="EE46" i="4" s="1"/>
  <c r="U45" i="4"/>
  <c r="EE45" i="4" s="1"/>
  <c r="U43" i="4"/>
  <c r="EE43" i="4" s="1"/>
  <c r="U42" i="4"/>
  <c r="EE42" i="4" s="1"/>
  <c r="U41" i="4"/>
  <c r="EE41" i="4" s="1"/>
  <c r="U40" i="4"/>
  <c r="EE40" i="4" s="1"/>
  <c r="U39" i="4"/>
  <c r="EE39" i="4" s="1"/>
  <c r="U37" i="4"/>
  <c r="EE37" i="4" s="1"/>
  <c r="U36" i="4"/>
  <c r="EE36" i="4" s="1"/>
  <c r="U33" i="4"/>
  <c r="EE33" i="4" s="1"/>
  <c r="U32" i="4"/>
  <c r="EE32" i="4" s="1"/>
  <c r="U31" i="4"/>
  <c r="EE31" i="4" s="1"/>
  <c r="U30" i="4"/>
  <c r="EE30" i="4" s="1"/>
  <c r="U29" i="4"/>
  <c r="EE29" i="4" s="1"/>
  <c r="U28" i="4"/>
  <c r="EE28" i="4" s="1"/>
  <c r="U27" i="4"/>
  <c r="EE27" i="4" s="1"/>
  <c r="U26" i="4"/>
  <c r="EE26" i="4" s="1"/>
  <c r="U24" i="4"/>
  <c r="EE24" i="4" s="1"/>
  <c r="U23" i="4"/>
  <c r="EE23" i="4" s="1"/>
  <c r="U20" i="4"/>
  <c r="EE20" i="4" s="1"/>
  <c r="U19" i="4"/>
  <c r="EE19" i="4" s="1"/>
  <c r="DU25" i="4"/>
  <c r="J65" i="125" s="1"/>
  <c r="K65" i="125" s="1"/>
  <c r="DU34" i="4"/>
  <c r="J201" i="87" s="1"/>
  <c r="K201" i="87" s="1"/>
  <c r="DW52" i="4"/>
  <c r="DW72" i="4"/>
  <c r="DW69" i="4"/>
  <c r="DW16" i="4"/>
  <c r="DV72" i="4"/>
  <c r="DV69" i="4"/>
  <c r="DV52" i="4"/>
  <c r="DV16" i="4"/>
  <c r="EA56" i="4" l="1"/>
  <c r="EB56" i="4" s="1"/>
  <c r="EE56" i="4"/>
  <c r="DV55" i="4"/>
  <c r="DV74" i="4" s="1"/>
  <c r="DW55" i="4"/>
  <c r="DW74" i="4" s="1"/>
  <c r="E13" i="103" l="1"/>
  <c r="B39" i="103" l="1"/>
  <c r="F34" i="103"/>
  <c r="F21" i="103"/>
  <c r="F22" i="103"/>
  <c r="F35" i="103" s="1"/>
  <c r="E32" i="103"/>
  <c r="F12" i="103" s="1"/>
  <c r="C31" i="103"/>
  <c r="C39" i="103" s="1"/>
  <c r="B29" i="103"/>
  <c r="C29" i="103"/>
  <c r="C42" i="103" s="1"/>
  <c r="K46" i="103" l="1"/>
  <c r="L46" i="103" s="1"/>
  <c r="M46" i="103" s="1"/>
  <c r="N46" i="103" s="1"/>
  <c r="O46" i="103" s="1"/>
  <c r="P46" i="103" s="1"/>
  <c r="Q46" i="103" s="1"/>
  <c r="R46" i="103" s="1"/>
  <c r="S46" i="103" s="1"/>
  <c r="T46" i="103" s="1"/>
  <c r="U46" i="103" s="1"/>
  <c r="V46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H75" i="111" l="1"/>
  <c r="H77" i="111" s="1"/>
  <c r="S19" i="85" l="1"/>
  <c r="H71" i="111" l="1"/>
  <c r="H88" i="111" l="1"/>
  <c r="H89" i="111"/>
  <c r="H73" i="111"/>
  <c r="H72" i="111"/>
  <c r="K6" i="117"/>
  <c r="V6" i="85" l="1"/>
  <c r="W6" i="85" s="1"/>
  <c r="O159" i="94"/>
  <c r="DS72" i="4" l="1"/>
  <c r="S291" i="94"/>
  <c r="T291" i="94" s="1"/>
  <c r="DS16" i="4"/>
  <c r="DS52" i="4"/>
  <c r="DS55" i="4" l="1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V8" i="85" l="1"/>
  <c r="W8" i="85" s="1"/>
  <c r="I4" i="120"/>
  <c r="I9" i="120" s="1"/>
  <c r="H9" i="120"/>
  <c r="E9" i="120"/>
  <c r="C9" i="120"/>
  <c r="G7" i="120"/>
  <c r="G9" i="120" s="1"/>
  <c r="G10" i="120" l="1"/>
  <c r="E10" i="120"/>
  <c r="I10" i="120"/>
  <c r="R19" i="85" l="1"/>
  <c r="P19" i="85"/>
  <c r="H19" i="85"/>
  <c r="G19" i="85"/>
  <c r="U19" i="85" l="1"/>
  <c r="D55" i="117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U51" i="85" l="1"/>
  <c r="U50" i="85"/>
  <c r="U49" i="85"/>
  <c r="U48" i="85"/>
  <c r="U47" i="85"/>
  <c r="U46" i="85"/>
  <c r="U45" i="85"/>
  <c r="U44" i="85"/>
  <c r="U43" i="85"/>
  <c r="U42" i="85"/>
  <c r="U41" i="85"/>
  <c r="U40" i="85"/>
  <c r="U39" i="85"/>
  <c r="U36" i="85"/>
  <c r="U35" i="85"/>
  <c r="U34" i="85"/>
  <c r="E27" i="85" l="1"/>
  <c r="E31" i="85" s="1"/>
  <c r="S33" i="111"/>
  <c r="S32" i="111"/>
  <c r="S31" i="111"/>
  <c r="S30" i="111"/>
  <c r="S29" i="111"/>
  <c r="DZ52" i="4" l="1"/>
  <c r="DY52" i="4"/>
  <c r="DX52" i="4"/>
  <c r="DT52" i="4"/>
  <c r="DR52" i="4"/>
  <c r="DQ52" i="4"/>
  <c r="DP52" i="4"/>
  <c r="DO52" i="4"/>
  <c r="T52" i="4"/>
  <c r="I52" i="4"/>
  <c r="J72" i="4"/>
  <c r="J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H76" i="73" l="1"/>
  <c r="I76" i="73" s="1"/>
  <c r="H74" i="73" l="1"/>
  <c r="I74" i="73" s="1"/>
  <c r="V16" i="85" l="1"/>
  <c r="W16" i="85" s="1"/>
  <c r="C6" i="114"/>
  <c r="M7" i="1" l="1"/>
  <c r="DG52" i="4" l="1"/>
  <c r="DH52" i="4"/>
  <c r="DD52" i="4"/>
  <c r="DE52" i="4"/>
  <c r="CY52" i="4"/>
  <c r="DK52" i="4" l="1"/>
  <c r="CB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62" i="75" l="1"/>
  <c r="C47" i="75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V52" i="4" l="1"/>
  <c r="AB52" i="4"/>
  <c r="S35" i="111" l="1"/>
  <c r="Q29" i="111" l="1"/>
  <c r="R7" i="1"/>
  <c r="R14" i="1" s="1"/>
  <c r="T7" i="1"/>
  <c r="T8" i="1"/>
  <c r="T12" i="1"/>
  <c r="T9" i="1"/>
  <c r="T13" i="1"/>
  <c r="M14" i="1"/>
  <c r="O14" i="1"/>
  <c r="P14" i="1"/>
  <c r="Q14" i="1"/>
  <c r="U14" i="1"/>
  <c r="T14" i="1" l="1"/>
  <c r="T15" i="1" s="1"/>
  <c r="Q34" i="111" l="1"/>
  <c r="Q33" i="111"/>
  <c r="Q32" i="111"/>
  <c r="Q31" i="111"/>
  <c r="Q30" i="111"/>
  <c r="H47" i="111" l="1"/>
  <c r="I47" i="111"/>
  <c r="J58" i="104" l="1"/>
  <c r="K58" i="104" s="1"/>
  <c r="G11" i="4" l="1"/>
  <c r="G10" i="4"/>
  <c r="ED10" i="4" s="1"/>
  <c r="DJ19" i="4"/>
  <c r="DJ22" i="4"/>
  <c r="D123" i="131" l="1"/>
  <c r="ED11" i="4"/>
  <c r="D122" i="131"/>
  <c r="E122" i="131" s="1"/>
  <c r="F122" i="131" s="1"/>
  <c r="G122" i="131" s="1"/>
  <c r="H122" i="131" s="1"/>
  <c r="I122" i="131" s="1"/>
  <c r="DX10" i="130"/>
  <c r="EB10" i="4"/>
  <c r="DX11" i="130"/>
  <c r="EB11" i="4"/>
  <c r="X52" i="4"/>
  <c r="K16" i="117" l="1"/>
  <c r="AC52" i="4"/>
  <c r="Z52" i="4"/>
  <c r="Y52" i="4"/>
  <c r="DM52" i="4" l="1"/>
  <c r="CP36" i="4"/>
  <c r="CP37" i="4"/>
  <c r="CR16" i="4"/>
  <c r="CQ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L52" i="4"/>
  <c r="CX52" i="4"/>
  <c r="DL52" i="4"/>
  <c r="AR52" i="4"/>
  <c r="AS52" i="4"/>
  <c r="E17" i="117" l="1"/>
  <c r="C17" i="117" s="1"/>
  <c r="C16" i="117"/>
  <c r="CI52" i="4"/>
  <c r="CU52" i="4"/>
  <c r="CO52" i="4"/>
  <c r="O31" i="117" l="1"/>
  <c r="O47" i="117" s="1"/>
  <c r="O143" i="117" s="1"/>
  <c r="CJ37" i="4"/>
  <c r="CJ38" i="4"/>
  <c r="CJ39" i="4"/>
  <c r="CJ40" i="4"/>
  <c r="CJ41" i="4"/>
  <c r="CJ42" i="4"/>
  <c r="CJ43" i="4"/>
  <c r="CJ44" i="4"/>
  <c r="CJ45" i="4"/>
  <c r="CJ46" i="4"/>
  <c r="CJ47" i="4"/>
  <c r="EA47" i="4" s="1"/>
  <c r="CJ48" i="4"/>
  <c r="CJ49" i="4"/>
  <c r="BW52" i="4"/>
  <c r="BV52" i="4"/>
  <c r="BT52" i="4"/>
  <c r="BN52" i="4"/>
  <c r="AP52" i="4"/>
  <c r="G47" i="4" l="1"/>
  <c r="L35" i="117"/>
  <c r="N31" i="117"/>
  <c r="N47" i="117" s="1"/>
  <c r="N143" i="117" s="1"/>
  <c r="AG52" i="4"/>
  <c r="AM52" i="4"/>
  <c r="S52" i="4"/>
  <c r="BX52" i="4"/>
  <c r="H52" i="4"/>
  <c r="D160" i="131" l="1"/>
  <c r="E160" i="131" s="1"/>
  <c r="F160" i="131" s="1"/>
  <c r="G160" i="131" s="1"/>
  <c r="H160" i="131" s="1"/>
  <c r="I160" i="131" s="1"/>
  <c r="ED47" i="4"/>
  <c r="DX47" i="130"/>
  <c r="EB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P69" i="111" l="1"/>
  <c r="E16" i="83"/>
  <c r="B38" i="83" s="1"/>
  <c r="S66" i="111"/>
  <c r="O92" i="111"/>
  <c r="O93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T72" i="4"/>
  <c r="O74" i="111" l="1"/>
  <c r="O90" i="111"/>
  <c r="P72" i="111"/>
  <c r="P88" i="111"/>
  <c r="O88" i="111"/>
  <c r="O89" i="111"/>
  <c r="S71" i="111"/>
  <c r="S72" i="111" s="1"/>
  <c r="O73" i="111"/>
  <c r="O72" i="111"/>
  <c r="O104" i="111" l="1"/>
  <c r="O72" i="4"/>
  <c r="O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P21" i="111" s="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P9" i="111" s="1"/>
  <c r="P25" i="111" l="1"/>
  <c r="P33" i="111"/>
  <c r="E13" i="83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36" i="111" s="1"/>
  <c r="O41" i="111"/>
  <c r="O24" i="111" l="1"/>
  <c r="E14" i="83"/>
  <c r="B36" i="83" s="1"/>
  <c r="P45" i="111"/>
  <c r="P48" i="111" s="1"/>
  <c r="P59" i="111"/>
  <c r="P23" i="111"/>
  <c r="Q41" i="111"/>
  <c r="S41" i="111"/>
  <c r="S47" i="111" s="1"/>
  <c r="P35" i="111"/>
  <c r="O47" i="111"/>
  <c r="DQ72" i="4"/>
  <c r="DQ16" i="4"/>
  <c r="O48" i="111" l="1"/>
  <c r="O60" i="111"/>
  <c r="P47" i="111"/>
  <c r="R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O300" i="94"/>
  <c r="O68" i="94"/>
  <c r="O64" i="94"/>
  <c r="O45" i="94"/>
  <c r="O20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9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H164" i="73"/>
  <c r="I164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3" i="103"/>
  <c r="E17" i="103"/>
  <c r="I33" i="108" l="1"/>
  <c r="J32" i="108"/>
  <c r="K32" i="108" s="1"/>
  <c r="C41" i="108"/>
  <c r="D41" i="108" s="1"/>
  <c r="E15" i="103"/>
  <c r="I34" i="108" l="1"/>
  <c r="J33" i="108"/>
  <c r="C42" i="108"/>
  <c r="D42" i="108" s="1"/>
  <c r="C149" i="84"/>
  <c r="C148" i="84"/>
  <c r="I35" i="108" l="1"/>
  <c r="J34" i="108"/>
  <c r="C43" i="108"/>
  <c r="D43" i="108" s="1"/>
  <c r="J6" i="107"/>
  <c r="K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2" i="103" l="1"/>
  <c r="I39" i="108"/>
  <c r="J38" i="108"/>
  <c r="C47" i="108"/>
  <c r="D47" i="108" s="1"/>
  <c r="F33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4" i="131" l="1"/>
  <c r="I43" i="108"/>
  <c r="J42" i="108"/>
  <c r="C51" i="108"/>
  <c r="D51" i="108" s="1"/>
  <c r="J33" i="103"/>
  <c r="I44" i="108" l="1"/>
  <c r="J43" i="108"/>
  <c r="C52" i="108"/>
  <c r="D52" i="108" s="1"/>
  <c r="E52" i="108" s="1"/>
  <c r="K33" i="103"/>
  <c r="I45" i="108" l="1"/>
  <c r="J44" i="108"/>
  <c r="K44" i="108" s="1"/>
  <c r="C53" i="108"/>
  <c r="D53" i="108" s="1"/>
  <c r="L33" i="103"/>
  <c r="I46" i="108" l="1"/>
  <c r="J45" i="108"/>
  <c r="C54" i="108"/>
  <c r="D54" i="108" s="1"/>
  <c r="M33" i="103"/>
  <c r="I47" i="108" l="1"/>
  <c r="J46" i="108"/>
  <c r="C55" i="108"/>
  <c r="D55" i="108" s="1"/>
  <c r="N33" i="103"/>
  <c r="O33" i="103" l="1"/>
  <c r="I48" i="108"/>
  <c r="J47" i="108"/>
  <c r="C56" i="108"/>
  <c r="D56" i="108" s="1"/>
  <c r="E56" i="108" s="1"/>
  <c r="P33" i="103" l="1"/>
  <c r="I49" i="108"/>
  <c r="J48" i="108"/>
  <c r="K48" i="108" s="1"/>
  <c r="C57" i="108"/>
  <c r="D57" i="108" s="1"/>
  <c r="Q33" i="103" l="1"/>
  <c r="R33" i="103" s="1"/>
  <c r="S33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O291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T56" i="85"/>
  <c r="S56" i="85"/>
  <c r="R56" i="85"/>
  <c r="Q56" i="85"/>
  <c r="P56" i="85"/>
  <c r="O56" i="85"/>
  <c r="N56" i="85"/>
  <c r="M56" i="85"/>
  <c r="G56" i="85"/>
  <c r="F56" i="85"/>
  <c r="E56" i="85"/>
  <c r="W55" i="85"/>
  <c r="W30" i="85"/>
  <c r="U56" i="85" l="1"/>
  <c r="I69" i="108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Z16" i="4" l="1"/>
  <c r="DY16" i="4"/>
  <c r="DX16" i="4"/>
  <c r="DU16" i="4"/>
  <c r="DT16" i="4"/>
  <c r="DR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U55" i="4" s="1"/>
  <c r="CU74" i="4" s="1"/>
  <c r="CT16" i="4"/>
  <c r="CS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E16" i="4"/>
  <c r="BD16" i="4"/>
  <c r="BC16" i="4"/>
  <c r="AV16" i="4"/>
  <c r="AU16" i="4"/>
  <c r="AT16" i="4"/>
  <c r="AS16" i="4"/>
  <c r="AR16" i="4"/>
  <c r="AQ16" i="4"/>
  <c r="AP16" i="4"/>
  <c r="AO16" i="4"/>
  <c r="AM16" i="4"/>
  <c r="AL16" i="4"/>
  <c r="AK16" i="4"/>
  <c r="AJ16" i="4"/>
  <c r="AI16" i="4"/>
  <c r="AG16" i="4"/>
  <c r="AF16" i="4"/>
  <c r="S16" i="4"/>
  <c r="L94" i="75" l="1"/>
  <c r="C94" i="75" s="1"/>
  <c r="C130" i="75" s="1"/>
  <c r="H120" i="73"/>
  <c r="O287" i="94" l="1"/>
  <c r="O283" i="94"/>
  <c r="L43" i="75" l="1"/>
  <c r="C43" i="75" s="1"/>
  <c r="L42" i="75" l="1"/>
  <c r="L46" i="75" l="1"/>
  <c r="C42" i="75"/>
  <c r="C46" i="75" s="1"/>
  <c r="C132" i="75" s="1"/>
  <c r="W54" i="85" l="1"/>
  <c r="DP72" i="4" l="1"/>
  <c r="DO72" i="4"/>
  <c r="DP69" i="4"/>
  <c r="S287" i="94" l="1"/>
  <c r="T287" i="94" s="1"/>
  <c r="DO69" i="4"/>
  <c r="S283" i="94" s="1"/>
  <c r="T283" i="94" s="1"/>
  <c r="DP55" i="4"/>
  <c r="DP74" i="4" s="1"/>
  <c r="DO55" i="4"/>
  <c r="DO74" i="4" l="1"/>
  <c r="O271" i="94" l="1"/>
  <c r="O237" i="94" l="1"/>
  <c r="DJ33" i="4" l="1"/>
  <c r="O136" i="94" l="1"/>
  <c r="J163" i="105" l="1"/>
  <c r="K163" i="105" s="1"/>
  <c r="J155" i="105"/>
  <c r="K155" i="105" s="1"/>
  <c r="J149" i="105"/>
  <c r="K149" i="105" s="1"/>
  <c r="J135" i="105"/>
  <c r="K135" i="105" s="1"/>
  <c r="J132" i="105"/>
  <c r="K132" i="105" s="1"/>
  <c r="J128" i="105"/>
  <c r="K128" i="105" s="1"/>
  <c r="J107" i="105"/>
  <c r="K107" i="105" s="1"/>
  <c r="J101" i="105"/>
  <c r="K101" i="105" s="1"/>
  <c r="J73" i="105"/>
  <c r="K73" i="105" s="1"/>
  <c r="J64" i="105"/>
  <c r="K64" i="105" s="1"/>
  <c r="J39" i="105"/>
  <c r="K39" i="105" s="1"/>
  <c r="J28" i="105"/>
  <c r="K28" i="105" s="1"/>
  <c r="J7" i="105"/>
  <c r="K7" i="105" s="1"/>
  <c r="J36" i="104"/>
  <c r="K36" i="104" s="1"/>
  <c r="J31" i="104"/>
  <c r="K31" i="104" s="1"/>
  <c r="J7" i="104"/>
  <c r="K7" i="104" s="1"/>
  <c r="J61" i="105"/>
  <c r="K61" i="105" s="1"/>
  <c r="F82" i="84" l="1"/>
  <c r="G82" i="84" s="1"/>
  <c r="P11" i="91"/>
  <c r="O274" i="94" l="1"/>
  <c r="O98" i="94"/>
  <c r="AT23" i="4" l="1"/>
  <c r="G9" i="4" l="1"/>
  <c r="D121" i="131" l="1"/>
  <c r="E121" i="131" s="1"/>
  <c r="ED9" i="4"/>
  <c r="DX9" i="130"/>
  <c r="EB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J37" i="105"/>
  <c r="K37" i="105" s="1"/>
  <c r="I121" i="131" l="1"/>
  <c r="P135" i="75"/>
  <c r="C54" i="103" l="1"/>
  <c r="B54" i="103"/>
  <c r="C53" i="103"/>
  <c r="B53" i="103"/>
  <c r="V52" i="103"/>
  <c r="U52" i="103"/>
  <c r="T52" i="103"/>
  <c r="S52" i="103"/>
  <c r="Q52" i="103"/>
  <c r="P52" i="103"/>
  <c r="O52" i="103"/>
  <c r="N52" i="103"/>
  <c r="L52" i="103"/>
  <c r="K52" i="103"/>
  <c r="J52" i="103"/>
  <c r="I52" i="103"/>
  <c r="G52" i="103"/>
  <c r="F52" i="103"/>
  <c r="E52" i="103"/>
  <c r="D52" i="103"/>
  <c r="D46" i="103"/>
  <c r="B47" i="103"/>
  <c r="D14" i="103" l="1"/>
  <c r="D29" i="103" s="1"/>
  <c r="C43" i="103"/>
  <c r="D31" i="103"/>
  <c r="C52" i="103"/>
  <c r="B52" i="103"/>
  <c r="D39" i="103" l="1"/>
  <c r="D47" i="103" s="1"/>
  <c r="C47" i="103"/>
  <c r="E14" i="103"/>
  <c r="E29" i="103" s="1"/>
  <c r="E31" i="103"/>
  <c r="E39" i="103" s="1"/>
  <c r="F14" i="103" l="1"/>
  <c r="F31" i="103"/>
  <c r="F39" i="103" s="1"/>
  <c r="H54" i="103"/>
  <c r="H52" i="103" s="1"/>
  <c r="D42" i="103"/>
  <c r="D43" i="103"/>
  <c r="M54" i="103"/>
  <c r="M52" i="103" s="1"/>
  <c r="F30" i="103" l="1"/>
  <c r="F29" i="103"/>
  <c r="R54" i="103" s="1"/>
  <c r="R52" i="103" s="1"/>
  <c r="G39" i="103" l="1"/>
  <c r="H39" i="103"/>
  <c r="H47" i="103" s="1"/>
  <c r="J32" i="103"/>
  <c r="J39" i="103" l="1"/>
  <c r="E213" i="131"/>
  <c r="E212" i="131" s="1"/>
  <c r="E221" i="131" s="1"/>
  <c r="E165" i="131"/>
  <c r="F224" i="131"/>
  <c r="K32" i="103"/>
  <c r="K39" i="103" l="1"/>
  <c r="F213" i="131"/>
  <c r="F212" i="131" s="1"/>
  <c r="F165" i="131"/>
  <c r="E222" i="131"/>
  <c r="E220" i="131" s="1"/>
  <c r="E205" i="131"/>
  <c r="G224" i="131"/>
  <c r="L32" i="103"/>
  <c r="L39" i="103" l="1"/>
  <c r="G213" i="131"/>
  <c r="G212" i="131" s="1"/>
  <c r="G165" i="131"/>
  <c r="F222" i="131"/>
  <c r="F221" i="131"/>
  <c r="F205" i="131"/>
  <c r="H224" i="131"/>
  <c r="M32" i="103"/>
  <c r="M29" i="103"/>
  <c r="F220" i="131" l="1"/>
  <c r="I224" i="131"/>
  <c r="M39" i="103"/>
  <c r="H213" i="131"/>
  <c r="H212" i="131" s="1"/>
  <c r="H165" i="131"/>
  <c r="G222" i="131"/>
  <c r="G221" i="131"/>
  <c r="G205" i="131"/>
  <c r="N29" i="103"/>
  <c r="N32" i="103"/>
  <c r="N39" i="103" s="1"/>
  <c r="G220" i="131" l="1"/>
  <c r="I213" i="131"/>
  <c r="I212" i="131" s="1"/>
  <c r="I165" i="131"/>
  <c r="H221" i="131"/>
  <c r="H222" i="131"/>
  <c r="H205" i="131"/>
  <c r="O32" i="103"/>
  <c r="O29" i="103"/>
  <c r="P32" i="103" l="1"/>
  <c r="O39" i="103"/>
  <c r="H220" i="131"/>
  <c r="I221" i="131"/>
  <c r="I222" i="131"/>
  <c r="I205" i="131"/>
  <c r="P29" i="103"/>
  <c r="Q32" i="103" l="1"/>
  <c r="P39" i="103"/>
  <c r="I220" i="131"/>
  <c r="Q29" i="103"/>
  <c r="R32" i="103" l="1"/>
  <c r="Q39" i="103"/>
  <c r="R29" i="103"/>
  <c r="S32" i="103" l="1"/>
  <c r="R39" i="103"/>
  <c r="S29" i="103"/>
  <c r="T32" i="103" l="1"/>
  <c r="S39" i="103"/>
  <c r="T29" i="103"/>
  <c r="U32" i="103" l="1"/>
  <c r="T39" i="103"/>
  <c r="U29" i="103"/>
  <c r="V32" i="103" l="1"/>
  <c r="V39" i="103" s="1"/>
  <c r="U39" i="103"/>
  <c r="J43" i="105"/>
  <c r="K43" i="105" s="1"/>
  <c r="J42" i="104"/>
  <c r="K42" i="104" s="1"/>
  <c r="J34" i="105"/>
  <c r="K34" i="105" s="1"/>
  <c r="J25" i="105"/>
  <c r="K25" i="105" s="1"/>
  <c r="J20" i="104"/>
  <c r="K20" i="104" s="1"/>
  <c r="J10" i="105"/>
  <c r="K10" i="105" s="1"/>
  <c r="J10" i="104"/>
  <c r="K10" i="104" s="1"/>
  <c r="J34" i="104" l="1"/>
  <c r="K34" i="104" s="1"/>
  <c r="J28" i="104" l="1"/>
  <c r="K28" i="104" s="1"/>
  <c r="J31" i="105"/>
  <c r="K31" i="105" s="1"/>
  <c r="J63" i="104" l="1"/>
  <c r="K63" i="104" s="1"/>
  <c r="J10" i="107" l="1"/>
  <c r="K10" i="107" s="1"/>
  <c r="Q66" i="4" l="1"/>
  <c r="AE59" i="4"/>
  <c r="AE60" i="4"/>
  <c r="AE34" i="4"/>
  <c r="J59" i="87" s="1"/>
  <c r="K59" i="87" s="1"/>
  <c r="AK34" i="4"/>
  <c r="J69" i="87" s="1"/>
  <c r="K69" i="87" s="1"/>
  <c r="BI34" i="4"/>
  <c r="J205" i="87" s="1"/>
  <c r="K205" i="87" s="1"/>
  <c r="BL34" i="4"/>
  <c r="J108" i="87" s="1"/>
  <c r="K108" i="87" s="1"/>
  <c r="BR34" i="4"/>
  <c r="J111" i="87" s="1"/>
  <c r="K111" i="87" s="1"/>
  <c r="BY34" i="4"/>
  <c r="J118" i="87" s="1"/>
  <c r="K118" i="87" s="1"/>
  <c r="AE36" i="4"/>
  <c r="AK36" i="4"/>
  <c r="AQ36" i="4"/>
  <c r="AT36" i="4"/>
  <c r="BC36" i="4"/>
  <c r="BI36" i="4"/>
  <c r="BL36" i="4"/>
  <c r="BO36" i="4"/>
  <c r="BR36" i="4"/>
  <c r="BU36" i="4"/>
  <c r="BY36" i="4"/>
  <c r="CC36" i="4"/>
  <c r="AE37" i="4"/>
  <c r="AH37" i="4"/>
  <c r="AK37" i="4"/>
  <c r="AQ37" i="4"/>
  <c r="AT37" i="4"/>
  <c r="BC37" i="4"/>
  <c r="BI37" i="4"/>
  <c r="BL37" i="4"/>
  <c r="BO37" i="4"/>
  <c r="BR37" i="4"/>
  <c r="BU37" i="4"/>
  <c r="BY37" i="4"/>
  <c r="CC37" i="4"/>
  <c r="CZ32" i="4"/>
  <c r="CZ33" i="4"/>
  <c r="CZ35" i="4"/>
  <c r="CZ36" i="4"/>
  <c r="CV30" i="4"/>
  <c r="CV31" i="4"/>
  <c r="CV32" i="4"/>
  <c r="CV33" i="4"/>
  <c r="CV36" i="4"/>
  <c r="CJ27" i="4"/>
  <c r="CJ28" i="4"/>
  <c r="CJ29" i="4"/>
  <c r="CJ30" i="4"/>
  <c r="CJ31" i="4"/>
  <c r="CJ32" i="4"/>
  <c r="CJ33" i="4"/>
  <c r="CJ36" i="4"/>
  <c r="CF20" i="4"/>
  <c r="CF26" i="4"/>
  <c r="CF27" i="4"/>
  <c r="CF28" i="4"/>
  <c r="CF29" i="4"/>
  <c r="CF31" i="4"/>
  <c r="CF32" i="4"/>
  <c r="CF33" i="4"/>
  <c r="CF36" i="4"/>
  <c r="CF37" i="4"/>
  <c r="CJ59" i="4"/>
  <c r="DJ71" i="4"/>
  <c r="DF71" i="4"/>
  <c r="DC71" i="4"/>
  <c r="CZ71" i="4"/>
  <c r="DJ70" i="4"/>
  <c r="DF70" i="4"/>
  <c r="DC70" i="4"/>
  <c r="CZ70" i="4"/>
  <c r="DJ68" i="4"/>
  <c r="DF68" i="4"/>
  <c r="DC68" i="4"/>
  <c r="CZ68" i="4"/>
  <c r="DJ67" i="4"/>
  <c r="DF67" i="4"/>
  <c r="DC67" i="4"/>
  <c r="CZ67" i="4"/>
  <c r="DJ66" i="4"/>
  <c r="DF66" i="4"/>
  <c r="DC66" i="4"/>
  <c r="CZ66" i="4"/>
  <c r="DJ64" i="4"/>
  <c r="DF64" i="4"/>
  <c r="DC64" i="4"/>
  <c r="CZ64" i="4"/>
  <c r="DJ63" i="4"/>
  <c r="DF63" i="4"/>
  <c r="DC63" i="4"/>
  <c r="CZ63" i="4"/>
  <c r="DJ62" i="4"/>
  <c r="DF62" i="4"/>
  <c r="DC62" i="4"/>
  <c r="CZ62" i="4"/>
  <c r="DJ61" i="4"/>
  <c r="DF61" i="4"/>
  <c r="DC61" i="4"/>
  <c r="DJ60" i="4"/>
  <c r="DF60" i="4"/>
  <c r="DC60" i="4"/>
  <c r="CZ60" i="4"/>
  <c r="DJ59" i="4"/>
  <c r="DF59" i="4"/>
  <c r="CZ59" i="4"/>
  <c r="DJ58" i="4"/>
  <c r="DF58" i="4"/>
  <c r="DC58" i="4"/>
  <c r="CZ58" i="4"/>
  <c r="DJ57" i="4"/>
  <c r="DF57" i="4"/>
  <c r="DC57" i="4"/>
  <c r="CZ57" i="4"/>
  <c r="DJ54" i="4"/>
  <c r="DF54" i="4"/>
  <c r="DC54" i="4"/>
  <c r="CZ54" i="4"/>
  <c r="DJ53" i="4"/>
  <c r="DF53" i="4"/>
  <c r="DC53" i="4"/>
  <c r="CZ53" i="4"/>
  <c r="DJ50" i="4"/>
  <c r="DF50" i="4"/>
  <c r="DC50" i="4"/>
  <c r="CZ50" i="4"/>
  <c r="DJ49" i="4"/>
  <c r="DF49" i="4"/>
  <c r="DC49" i="4"/>
  <c r="CZ49" i="4"/>
  <c r="DJ48" i="4"/>
  <c r="DF48" i="4"/>
  <c r="DC48" i="4"/>
  <c r="CZ48" i="4"/>
  <c r="DJ46" i="4"/>
  <c r="DF46" i="4"/>
  <c r="DC46" i="4"/>
  <c r="CZ46" i="4"/>
  <c r="DJ45" i="4"/>
  <c r="DF45" i="4"/>
  <c r="DC45" i="4"/>
  <c r="CZ45" i="4"/>
  <c r="DJ44" i="4"/>
  <c r="DF44" i="4"/>
  <c r="DC44" i="4"/>
  <c r="CZ44" i="4"/>
  <c r="DJ43" i="4"/>
  <c r="DF43" i="4"/>
  <c r="DC43" i="4"/>
  <c r="CZ43" i="4"/>
  <c r="DJ42" i="4"/>
  <c r="DF42" i="4"/>
  <c r="DC42" i="4"/>
  <c r="CZ42" i="4"/>
  <c r="DJ41" i="4"/>
  <c r="DF41" i="4"/>
  <c r="DC41" i="4"/>
  <c r="CZ41" i="4"/>
  <c r="DJ40" i="4"/>
  <c r="DF40" i="4"/>
  <c r="DC40" i="4"/>
  <c r="CZ40" i="4"/>
  <c r="DJ39" i="4"/>
  <c r="DF39" i="4"/>
  <c r="DC39" i="4"/>
  <c r="CZ39" i="4"/>
  <c r="DJ38" i="4"/>
  <c r="DF38" i="4"/>
  <c r="DC38" i="4"/>
  <c r="CZ38" i="4"/>
  <c r="DJ37" i="4"/>
  <c r="DF37" i="4"/>
  <c r="DC37" i="4"/>
  <c r="CZ37" i="4"/>
  <c r="DJ36" i="4"/>
  <c r="DF36" i="4"/>
  <c r="DC36" i="4"/>
  <c r="DJ35" i="4"/>
  <c r="DF35" i="4"/>
  <c r="DC35" i="4"/>
  <c r="DF34" i="4"/>
  <c r="J179" i="87" s="1"/>
  <c r="K179" i="87" s="1"/>
  <c r="DC34" i="4"/>
  <c r="J176" i="87" s="1"/>
  <c r="K176" i="87" s="1"/>
  <c r="DF33" i="4"/>
  <c r="DC33" i="4"/>
  <c r="DJ32" i="4"/>
  <c r="DF32" i="4"/>
  <c r="DC32" i="4"/>
  <c r="DJ31" i="4"/>
  <c r="DF31" i="4"/>
  <c r="DC31" i="4"/>
  <c r="CZ31" i="4"/>
  <c r="DJ30" i="4"/>
  <c r="DF30" i="4"/>
  <c r="DC30" i="4"/>
  <c r="CZ30" i="4"/>
  <c r="DJ29" i="4"/>
  <c r="DF29" i="4"/>
  <c r="DC29" i="4"/>
  <c r="CZ29" i="4"/>
  <c r="DJ28" i="4"/>
  <c r="DF28" i="4"/>
  <c r="DC28" i="4"/>
  <c r="CZ28" i="4"/>
  <c r="DJ27" i="4"/>
  <c r="DF27" i="4"/>
  <c r="DC27" i="4"/>
  <c r="CZ27" i="4"/>
  <c r="DJ26" i="4"/>
  <c r="DF26" i="4"/>
  <c r="DC26" i="4"/>
  <c r="DJ25" i="4"/>
  <c r="DF25" i="4"/>
  <c r="DC25" i="4"/>
  <c r="CZ25" i="4"/>
  <c r="DJ24" i="4"/>
  <c r="DF24" i="4"/>
  <c r="DC24" i="4"/>
  <c r="CZ24" i="4"/>
  <c r="DJ23" i="4"/>
  <c r="DF23" i="4"/>
  <c r="DC23" i="4"/>
  <c r="CZ23" i="4"/>
  <c r="J124" i="105"/>
  <c r="K124" i="105" s="1"/>
  <c r="DF22" i="4"/>
  <c r="J145" i="105" s="1"/>
  <c r="K145" i="105" s="1"/>
  <c r="DC22" i="4"/>
  <c r="J142" i="105" s="1"/>
  <c r="K142" i="105" s="1"/>
  <c r="CZ22" i="4"/>
  <c r="J138" i="105" s="1"/>
  <c r="K138" i="105" s="1"/>
  <c r="DJ21" i="4"/>
  <c r="DF21" i="4"/>
  <c r="DC21" i="4"/>
  <c r="CZ21" i="4"/>
  <c r="DJ20" i="4"/>
  <c r="DF20" i="4"/>
  <c r="DC20" i="4"/>
  <c r="CZ20" i="4"/>
  <c r="DF19" i="4"/>
  <c r="DC19" i="4"/>
  <c r="CZ19" i="4"/>
  <c r="DJ18" i="4"/>
  <c r="DF18" i="4"/>
  <c r="DC18" i="4"/>
  <c r="DJ17" i="4"/>
  <c r="DF17" i="4"/>
  <c r="DC17" i="4"/>
  <c r="CZ17" i="4"/>
  <c r="CV71" i="4"/>
  <c r="CJ71" i="4"/>
  <c r="CF71" i="4"/>
  <c r="CV70" i="4"/>
  <c r="CJ70" i="4"/>
  <c r="CF70" i="4"/>
  <c r="CV68" i="4"/>
  <c r="CJ68" i="4"/>
  <c r="CF68" i="4"/>
  <c r="CV67" i="4"/>
  <c r="CJ67" i="4"/>
  <c r="CF67" i="4"/>
  <c r="CV66" i="4"/>
  <c r="CJ66" i="4"/>
  <c r="CF66" i="4"/>
  <c r="CV64" i="4"/>
  <c r="CJ64" i="4"/>
  <c r="CF64" i="4"/>
  <c r="CV63" i="4"/>
  <c r="CJ63" i="4"/>
  <c r="CF63" i="4"/>
  <c r="CV62" i="4"/>
  <c r="CJ62" i="4"/>
  <c r="CF62" i="4"/>
  <c r="CV61" i="4"/>
  <c r="CJ61" i="4"/>
  <c r="CF61" i="4"/>
  <c r="CV60" i="4"/>
  <c r="CJ60" i="4"/>
  <c r="CV58" i="4"/>
  <c r="CV57" i="4"/>
  <c r="CJ57" i="4"/>
  <c r="CF57" i="4"/>
  <c r="CV54" i="4"/>
  <c r="CJ54" i="4"/>
  <c r="CF54" i="4"/>
  <c r="CV53" i="4"/>
  <c r="CJ53" i="4"/>
  <c r="CF53" i="4"/>
  <c r="CV50" i="4"/>
  <c r="CJ50" i="4"/>
  <c r="CF50" i="4"/>
  <c r="CV49" i="4"/>
  <c r="CF49" i="4"/>
  <c r="CV48" i="4"/>
  <c r="CF48" i="4"/>
  <c r="CV46" i="4"/>
  <c r="CF46" i="4"/>
  <c r="CV45" i="4"/>
  <c r="CF45" i="4"/>
  <c r="CV44" i="4"/>
  <c r="CF44" i="4"/>
  <c r="CV43" i="4"/>
  <c r="CF43" i="4"/>
  <c r="CV42" i="4"/>
  <c r="CF42" i="4"/>
  <c r="CV41" i="4"/>
  <c r="CF41" i="4"/>
  <c r="CV40" i="4"/>
  <c r="CF40" i="4"/>
  <c r="CV39" i="4"/>
  <c r="CF39" i="4"/>
  <c r="CV38" i="4"/>
  <c r="CF38" i="4"/>
  <c r="CV37" i="4"/>
  <c r="CV29" i="4"/>
  <c r="CV28" i="4"/>
  <c r="CV27" i="4"/>
  <c r="CV26" i="4"/>
  <c r="CJ26" i="4"/>
  <c r="CV25" i="4"/>
  <c r="J123" i="105" s="1"/>
  <c r="CJ25" i="4"/>
  <c r="J58" i="125" s="1"/>
  <c r="K58" i="125" s="1"/>
  <c r="CV24" i="4"/>
  <c r="CJ24" i="4"/>
  <c r="CV23" i="4"/>
  <c r="J121" i="105" s="1"/>
  <c r="CJ23" i="4"/>
  <c r="CV22" i="4"/>
  <c r="J120" i="105" s="1"/>
  <c r="K120" i="105" s="1"/>
  <c r="CJ22" i="4"/>
  <c r="J117" i="105" s="1"/>
  <c r="K117" i="105" s="1"/>
  <c r="CV21" i="4"/>
  <c r="CJ21" i="4"/>
  <c r="CV20" i="4"/>
  <c r="CJ20" i="4"/>
  <c r="CV19" i="4"/>
  <c r="CJ19" i="4"/>
  <c r="CF19" i="4"/>
  <c r="CV18" i="4"/>
  <c r="CJ18" i="4"/>
  <c r="CF18" i="4"/>
  <c r="CV17" i="4"/>
  <c r="CJ17" i="4"/>
  <c r="CF17" i="4"/>
  <c r="CC71" i="4"/>
  <c r="BY71" i="4"/>
  <c r="BU71" i="4"/>
  <c r="CC70" i="4"/>
  <c r="BY70" i="4"/>
  <c r="BU70" i="4"/>
  <c r="CC68" i="4"/>
  <c r="BY68" i="4"/>
  <c r="BU68" i="4"/>
  <c r="CC67" i="4"/>
  <c r="BY67" i="4"/>
  <c r="BU67" i="4"/>
  <c r="CC66" i="4"/>
  <c r="BY66" i="4"/>
  <c r="BU66" i="4"/>
  <c r="CC64" i="4"/>
  <c r="BY64" i="4"/>
  <c r="BU64" i="4"/>
  <c r="CC63" i="4"/>
  <c r="BY63" i="4"/>
  <c r="BU63" i="4"/>
  <c r="CC62" i="4"/>
  <c r="BY62" i="4"/>
  <c r="BU62" i="4"/>
  <c r="CC61" i="4"/>
  <c r="BY61" i="4"/>
  <c r="BU61" i="4"/>
  <c r="CC60" i="4"/>
  <c r="BY60" i="4"/>
  <c r="BU60" i="4"/>
  <c r="CC59" i="4"/>
  <c r="BY59" i="4"/>
  <c r="BU59" i="4"/>
  <c r="CC57" i="4"/>
  <c r="BY57" i="4"/>
  <c r="BU57" i="4"/>
  <c r="CC54" i="4"/>
  <c r="BY54" i="4"/>
  <c r="BU54" i="4"/>
  <c r="CC53" i="4"/>
  <c r="BY53" i="4"/>
  <c r="BU53" i="4"/>
  <c r="CC50" i="4"/>
  <c r="BY50" i="4"/>
  <c r="BU50" i="4"/>
  <c r="CC49" i="4"/>
  <c r="BY49" i="4"/>
  <c r="BU49" i="4"/>
  <c r="CC48" i="4"/>
  <c r="BY48" i="4"/>
  <c r="BU48" i="4"/>
  <c r="CC46" i="4"/>
  <c r="BY46" i="4"/>
  <c r="BU46" i="4"/>
  <c r="CC45" i="4"/>
  <c r="BY45" i="4"/>
  <c r="BU45" i="4"/>
  <c r="CC44" i="4"/>
  <c r="BY44" i="4"/>
  <c r="BU44" i="4"/>
  <c r="CC43" i="4"/>
  <c r="BY43" i="4"/>
  <c r="BU43" i="4"/>
  <c r="CC42" i="4"/>
  <c r="BY42" i="4"/>
  <c r="BU42" i="4"/>
  <c r="CC41" i="4"/>
  <c r="BY41" i="4"/>
  <c r="BU41" i="4"/>
  <c r="CC40" i="4"/>
  <c r="BY40" i="4"/>
  <c r="BU40" i="4"/>
  <c r="CC39" i="4"/>
  <c r="BY39" i="4"/>
  <c r="BU39" i="4"/>
  <c r="CC38" i="4"/>
  <c r="BY38" i="4"/>
  <c r="BU38" i="4"/>
  <c r="CC33" i="4"/>
  <c r="BY33" i="4"/>
  <c r="BU33" i="4"/>
  <c r="CC32" i="4"/>
  <c r="BY32" i="4"/>
  <c r="BU32" i="4"/>
  <c r="CC31" i="4"/>
  <c r="BY31" i="4"/>
  <c r="BU31" i="4"/>
  <c r="CC30" i="4"/>
  <c r="BY30" i="4"/>
  <c r="BU30" i="4"/>
  <c r="CC29" i="4"/>
  <c r="BY29" i="4"/>
  <c r="BU29" i="4"/>
  <c r="CC28" i="4"/>
  <c r="BY28" i="4"/>
  <c r="BU28" i="4"/>
  <c r="CC27" i="4"/>
  <c r="BY27" i="4"/>
  <c r="BU27" i="4"/>
  <c r="CC26" i="4"/>
  <c r="BY26" i="4"/>
  <c r="BU26" i="4"/>
  <c r="BU25" i="4"/>
  <c r="CC24" i="4"/>
  <c r="BU24" i="4"/>
  <c r="CC23" i="4"/>
  <c r="BU23" i="4"/>
  <c r="BY22" i="4"/>
  <c r="J98" i="105" s="1"/>
  <c r="K98" i="105" s="1"/>
  <c r="BU22" i="4"/>
  <c r="J104" i="105" s="1"/>
  <c r="K104" i="105" s="1"/>
  <c r="CC21" i="4"/>
  <c r="BY21" i="4"/>
  <c r="BU21" i="4"/>
  <c r="CC20" i="4"/>
  <c r="BY20" i="4"/>
  <c r="BU20" i="4"/>
  <c r="CC19" i="4"/>
  <c r="BY19" i="4"/>
  <c r="BU19" i="4"/>
  <c r="CC18" i="4"/>
  <c r="BY18" i="4"/>
  <c r="BU18" i="4"/>
  <c r="CC17" i="4"/>
  <c r="BY17" i="4"/>
  <c r="BU17" i="4"/>
  <c r="BR71" i="4"/>
  <c r="BO71" i="4"/>
  <c r="BL71" i="4"/>
  <c r="BI71" i="4"/>
  <c r="BR70" i="4"/>
  <c r="BO70" i="4"/>
  <c r="BL70" i="4"/>
  <c r="BI70" i="4"/>
  <c r="BR68" i="4"/>
  <c r="BO68" i="4"/>
  <c r="BL68" i="4"/>
  <c r="BI68" i="4"/>
  <c r="BR67" i="4"/>
  <c r="BO67" i="4"/>
  <c r="BL67" i="4"/>
  <c r="BI67" i="4"/>
  <c r="BR66" i="4"/>
  <c r="BO66" i="4"/>
  <c r="BL66" i="4"/>
  <c r="BI66" i="4"/>
  <c r="BR64" i="4"/>
  <c r="BO64" i="4"/>
  <c r="BL64" i="4"/>
  <c r="BI64" i="4"/>
  <c r="BR63" i="4"/>
  <c r="BO63" i="4"/>
  <c r="BL63" i="4"/>
  <c r="BI63" i="4"/>
  <c r="BR62" i="4"/>
  <c r="BO62" i="4"/>
  <c r="BL62" i="4"/>
  <c r="BI62" i="4"/>
  <c r="BR61" i="4"/>
  <c r="BO61" i="4"/>
  <c r="BL61" i="4"/>
  <c r="BI61" i="4"/>
  <c r="BR60" i="4"/>
  <c r="BO60" i="4"/>
  <c r="BL60" i="4"/>
  <c r="BR59" i="4"/>
  <c r="BO59" i="4"/>
  <c r="BL59" i="4"/>
  <c r="BR58" i="4"/>
  <c r="BO58" i="4"/>
  <c r="S159" i="94" s="1"/>
  <c r="T159" i="94" s="1"/>
  <c r="BL58" i="4"/>
  <c r="BI58" i="4"/>
  <c r="BR57" i="4"/>
  <c r="BO57" i="4"/>
  <c r="BL57" i="4"/>
  <c r="BI57" i="4"/>
  <c r="BR54" i="4"/>
  <c r="BO54" i="4"/>
  <c r="BL54" i="4"/>
  <c r="BI54" i="4"/>
  <c r="BR53" i="4"/>
  <c r="BO53" i="4"/>
  <c r="BL53" i="4"/>
  <c r="BI53" i="4"/>
  <c r="BR50" i="4"/>
  <c r="BO50" i="4"/>
  <c r="BL50" i="4"/>
  <c r="BI50" i="4"/>
  <c r="BR49" i="4"/>
  <c r="BO49" i="4"/>
  <c r="BL49" i="4"/>
  <c r="BI49" i="4"/>
  <c r="BR48" i="4"/>
  <c r="BO48" i="4"/>
  <c r="BL48" i="4"/>
  <c r="BI48" i="4"/>
  <c r="BR46" i="4"/>
  <c r="BO46" i="4"/>
  <c r="BL46" i="4"/>
  <c r="BI46" i="4"/>
  <c r="BR45" i="4"/>
  <c r="BO45" i="4"/>
  <c r="BL45" i="4"/>
  <c r="BI45" i="4"/>
  <c r="BO44" i="4"/>
  <c r="BI44" i="4"/>
  <c r="BR43" i="4"/>
  <c r="BO43" i="4"/>
  <c r="BL43" i="4"/>
  <c r="BI43" i="4"/>
  <c r="BR42" i="4"/>
  <c r="BO42" i="4"/>
  <c r="BL42" i="4"/>
  <c r="BI42" i="4"/>
  <c r="BR41" i="4"/>
  <c r="BO41" i="4"/>
  <c r="BL41" i="4"/>
  <c r="BI41" i="4"/>
  <c r="BR40" i="4"/>
  <c r="BO40" i="4"/>
  <c r="BL40" i="4"/>
  <c r="BI40" i="4"/>
  <c r="BR39" i="4"/>
  <c r="BO39" i="4"/>
  <c r="BL39" i="4"/>
  <c r="BI39" i="4"/>
  <c r="BR38" i="4"/>
  <c r="BO38" i="4"/>
  <c r="BL38" i="4"/>
  <c r="BR33" i="4"/>
  <c r="BO33" i="4"/>
  <c r="BL33" i="4"/>
  <c r="BI33" i="4"/>
  <c r="BR32" i="4"/>
  <c r="BO32" i="4"/>
  <c r="BL32" i="4"/>
  <c r="BI32" i="4"/>
  <c r="BR31" i="4"/>
  <c r="BO31" i="4"/>
  <c r="BL31" i="4"/>
  <c r="BI31" i="4"/>
  <c r="BR30" i="4"/>
  <c r="BL30" i="4"/>
  <c r="BI30" i="4"/>
  <c r="BR29" i="4"/>
  <c r="BO29" i="4"/>
  <c r="BL29" i="4"/>
  <c r="BI29" i="4"/>
  <c r="BR28" i="4"/>
  <c r="BO28" i="4"/>
  <c r="BL28" i="4"/>
  <c r="BI28" i="4"/>
  <c r="BR27" i="4"/>
  <c r="BO27" i="4"/>
  <c r="BL27" i="4"/>
  <c r="BI27" i="4"/>
  <c r="BR26" i="4"/>
  <c r="BO26" i="4"/>
  <c r="BL26" i="4"/>
  <c r="BI26" i="4"/>
  <c r="BR25" i="4"/>
  <c r="BO25" i="4"/>
  <c r="BL25" i="4"/>
  <c r="BI25" i="4"/>
  <c r="BR24" i="4"/>
  <c r="BO24" i="4"/>
  <c r="BL24" i="4"/>
  <c r="BI24" i="4"/>
  <c r="BR23" i="4"/>
  <c r="BO23" i="4"/>
  <c r="BL23" i="4"/>
  <c r="BI23" i="4"/>
  <c r="BR22" i="4"/>
  <c r="J91" i="105" s="1"/>
  <c r="K91" i="105" s="1"/>
  <c r="BO22" i="4"/>
  <c r="J94" i="105" s="1"/>
  <c r="K94" i="105" s="1"/>
  <c r="BL22" i="4"/>
  <c r="J88" i="105" s="1"/>
  <c r="K88" i="105" s="1"/>
  <c r="BI22" i="4"/>
  <c r="J159" i="105" s="1"/>
  <c r="K159" i="105" s="1"/>
  <c r="BR21" i="4"/>
  <c r="BO21" i="4"/>
  <c r="BL21" i="4"/>
  <c r="BI21" i="4"/>
  <c r="BR20" i="4"/>
  <c r="BO20" i="4"/>
  <c r="BL20" i="4"/>
  <c r="BI20" i="4"/>
  <c r="BR19" i="4"/>
  <c r="BO19" i="4"/>
  <c r="BL19" i="4"/>
  <c r="BI19" i="4"/>
  <c r="BR18" i="4"/>
  <c r="BO18" i="4"/>
  <c r="BL18" i="4"/>
  <c r="BI18" i="4"/>
  <c r="BR17" i="4"/>
  <c r="BO17" i="4"/>
  <c r="BL17" i="4"/>
  <c r="BI17" i="4"/>
  <c r="BC71" i="4"/>
  <c r="AT71" i="4"/>
  <c r="BC70" i="4"/>
  <c r="AT70" i="4"/>
  <c r="BC68" i="4"/>
  <c r="AT68" i="4"/>
  <c r="BC67" i="4"/>
  <c r="AT67" i="4"/>
  <c r="BC66" i="4"/>
  <c r="AT66" i="4"/>
  <c r="BC64" i="4"/>
  <c r="AT64" i="4"/>
  <c r="BC63" i="4"/>
  <c r="AT63" i="4"/>
  <c r="BC62" i="4"/>
  <c r="AT62" i="4"/>
  <c r="BC61" i="4"/>
  <c r="AT61" i="4"/>
  <c r="BC60" i="4"/>
  <c r="AT60" i="4"/>
  <c r="BC57" i="4"/>
  <c r="AT57" i="4"/>
  <c r="BC54" i="4"/>
  <c r="AT54" i="4"/>
  <c r="BC53" i="4"/>
  <c r="AT53" i="4"/>
  <c r="BC50" i="4"/>
  <c r="AT50" i="4"/>
  <c r="BC49" i="4"/>
  <c r="AT49" i="4"/>
  <c r="BC48" i="4"/>
  <c r="AT48" i="4"/>
  <c r="BC46" i="4"/>
  <c r="AT46" i="4"/>
  <c r="BC45" i="4"/>
  <c r="AT45" i="4"/>
  <c r="AT44" i="4"/>
  <c r="BC43" i="4"/>
  <c r="AT43" i="4"/>
  <c r="BC42" i="4"/>
  <c r="AT42" i="4"/>
  <c r="BC41" i="4"/>
  <c r="AT41" i="4"/>
  <c r="BC40" i="4"/>
  <c r="AT40" i="4"/>
  <c r="BC39" i="4"/>
  <c r="AT39" i="4"/>
  <c r="BC38" i="4"/>
  <c r="AT38" i="4"/>
  <c r="BC33" i="4"/>
  <c r="J35" i="106" s="1"/>
  <c r="K35" i="106" s="1"/>
  <c r="AT33" i="4"/>
  <c r="BC32" i="4"/>
  <c r="AT32" i="4"/>
  <c r="BC31" i="4"/>
  <c r="AT31" i="4"/>
  <c r="BC30" i="4"/>
  <c r="BC29" i="4"/>
  <c r="AT29" i="4"/>
  <c r="BC28" i="4"/>
  <c r="AT28" i="4"/>
  <c r="BC27" i="4"/>
  <c r="J32" i="123" s="1"/>
  <c r="K32" i="123" s="1"/>
  <c r="AT27" i="4"/>
  <c r="BC26" i="4"/>
  <c r="AT26" i="4"/>
  <c r="AT24" i="4"/>
  <c r="BC22" i="4"/>
  <c r="J85" i="105" s="1"/>
  <c r="K85" i="105" s="1"/>
  <c r="AT22" i="4"/>
  <c r="J80" i="105" s="1"/>
  <c r="K80" i="105" s="1"/>
  <c r="BC21" i="4"/>
  <c r="AT21" i="4"/>
  <c r="BC20" i="4"/>
  <c r="AT20" i="4"/>
  <c r="BC19" i="4"/>
  <c r="AT19" i="4"/>
  <c r="BC18" i="4"/>
  <c r="AT18" i="4"/>
  <c r="BC17" i="4"/>
  <c r="AT17" i="4"/>
  <c r="AQ71" i="4"/>
  <c r="AQ70" i="4"/>
  <c r="AQ68" i="4"/>
  <c r="AQ67" i="4"/>
  <c r="AQ66" i="4"/>
  <c r="AQ64" i="4"/>
  <c r="AQ63" i="4"/>
  <c r="AQ62" i="4"/>
  <c r="AQ61" i="4"/>
  <c r="AQ60" i="4"/>
  <c r="AQ59" i="4"/>
  <c r="AQ57" i="4"/>
  <c r="AQ54" i="4"/>
  <c r="AQ53" i="4"/>
  <c r="AQ50" i="4"/>
  <c r="AQ49" i="4"/>
  <c r="AQ48" i="4"/>
  <c r="AQ46" i="4"/>
  <c r="AQ45" i="4"/>
  <c r="AQ44" i="4"/>
  <c r="AQ43" i="4"/>
  <c r="AQ42" i="4"/>
  <c r="AQ41" i="4"/>
  <c r="AQ40" i="4"/>
  <c r="AQ39" i="4"/>
  <c r="AQ38" i="4"/>
  <c r="AQ33" i="4"/>
  <c r="AQ32" i="4"/>
  <c r="AQ31" i="4"/>
  <c r="AQ30" i="4"/>
  <c r="AQ29" i="4"/>
  <c r="AQ28" i="4"/>
  <c r="AQ27" i="4"/>
  <c r="AQ26" i="4"/>
  <c r="AQ25" i="4"/>
  <c r="AQ24" i="4"/>
  <c r="AQ21" i="4"/>
  <c r="AQ20" i="4"/>
  <c r="AQ19" i="4"/>
  <c r="AQ18" i="4"/>
  <c r="AQ17" i="4"/>
  <c r="AK71" i="4"/>
  <c r="AK70" i="4"/>
  <c r="AK68" i="4"/>
  <c r="AK67" i="4"/>
  <c r="AK66" i="4"/>
  <c r="AK64" i="4"/>
  <c r="AK63" i="4"/>
  <c r="AK62" i="4"/>
  <c r="AK61" i="4"/>
  <c r="AK60" i="4"/>
  <c r="AK57" i="4"/>
  <c r="AK54" i="4"/>
  <c r="AK53" i="4"/>
  <c r="AK50" i="4"/>
  <c r="AK49" i="4"/>
  <c r="AK48" i="4"/>
  <c r="AK46" i="4"/>
  <c r="AK45" i="4"/>
  <c r="AK44" i="4"/>
  <c r="AK43" i="4"/>
  <c r="AK42" i="4"/>
  <c r="AK41" i="4"/>
  <c r="AK40" i="4"/>
  <c r="AK39" i="4"/>
  <c r="AK38" i="4"/>
  <c r="AK33" i="4"/>
  <c r="AK32" i="4"/>
  <c r="AK31" i="4"/>
  <c r="AK30" i="4"/>
  <c r="AK29" i="4"/>
  <c r="AK28" i="4"/>
  <c r="AK27" i="4"/>
  <c r="AK26" i="4"/>
  <c r="AK25" i="4"/>
  <c r="J23" i="125" s="1"/>
  <c r="K23" i="125" s="1"/>
  <c r="AK24" i="4"/>
  <c r="J23" i="123" s="1"/>
  <c r="K23" i="123" s="1"/>
  <c r="AK23" i="4"/>
  <c r="AK22" i="4"/>
  <c r="J56" i="105" s="1"/>
  <c r="K56" i="105" s="1"/>
  <c r="AK21" i="4"/>
  <c r="J54" i="104" s="1"/>
  <c r="K54" i="104" s="1"/>
  <c r="AK20" i="4"/>
  <c r="AK19" i="4"/>
  <c r="AK18" i="4"/>
  <c r="AK17" i="4"/>
  <c r="AH71" i="4"/>
  <c r="AH70" i="4"/>
  <c r="AH68" i="4"/>
  <c r="AH67" i="4"/>
  <c r="AH66" i="4"/>
  <c r="AH64" i="4"/>
  <c r="AH63" i="4"/>
  <c r="AH62" i="4"/>
  <c r="AH61" i="4"/>
  <c r="AH60" i="4"/>
  <c r="AH59" i="4"/>
  <c r="AH57" i="4"/>
  <c r="AH54" i="4"/>
  <c r="AH53" i="4"/>
  <c r="AH50" i="4"/>
  <c r="AH49" i="4"/>
  <c r="AH48" i="4"/>
  <c r="AH46" i="4"/>
  <c r="AH45" i="4"/>
  <c r="AH44" i="4"/>
  <c r="AH43" i="4"/>
  <c r="AH42" i="4"/>
  <c r="AH41" i="4"/>
  <c r="AH40" i="4"/>
  <c r="AH39" i="4"/>
  <c r="AH38" i="4"/>
  <c r="AH33" i="4"/>
  <c r="AH32" i="4"/>
  <c r="AH31" i="4"/>
  <c r="AH30" i="4"/>
  <c r="AH29" i="4"/>
  <c r="AH27" i="4"/>
  <c r="AH26" i="4"/>
  <c r="AH25" i="4"/>
  <c r="AH23" i="4"/>
  <c r="AH20" i="4"/>
  <c r="AH19" i="4"/>
  <c r="AH18" i="4"/>
  <c r="AH17" i="4"/>
  <c r="AE73" i="4"/>
  <c r="EA73" i="4" s="1"/>
  <c r="AE71" i="4"/>
  <c r="AE70" i="4"/>
  <c r="AE68" i="4"/>
  <c r="AE67" i="4"/>
  <c r="AE66" i="4"/>
  <c r="AE64" i="4"/>
  <c r="AE63" i="4"/>
  <c r="AE62" i="4"/>
  <c r="AE61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8" i="4"/>
  <c r="AE27" i="4"/>
  <c r="AE26" i="4"/>
  <c r="AE25" i="4"/>
  <c r="J14" i="125" s="1"/>
  <c r="K14" i="125" s="1"/>
  <c r="AE24" i="4"/>
  <c r="J14" i="123" s="1"/>
  <c r="K14" i="123" s="1"/>
  <c r="AE23" i="4"/>
  <c r="AE22" i="4"/>
  <c r="J46" i="105" s="1"/>
  <c r="K46" i="105" s="1"/>
  <c r="AE21" i="4"/>
  <c r="AE20" i="4"/>
  <c r="AE19" i="4"/>
  <c r="AE18" i="4"/>
  <c r="AE17" i="4"/>
  <c r="Q71" i="4"/>
  <c r="Q70" i="4"/>
  <c r="Q68" i="4"/>
  <c r="Q67" i="4"/>
  <c r="Q64" i="4"/>
  <c r="Q63" i="4"/>
  <c r="Q62" i="4"/>
  <c r="Q61" i="4"/>
  <c r="Q60" i="4"/>
  <c r="Q59" i="4"/>
  <c r="Q58" i="4"/>
  <c r="Q57" i="4"/>
  <c r="Q54" i="4"/>
  <c r="Q53" i="4"/>
  <c r="Q19" i="4"/>
  <c r="Q18" i="4"/>
  <c r="Q17" i="4"/>
  <c r="Q52" i="4" l="1"/>
  <c r="EA43" i="4"/>
  <c r="EA68" i="4"/>
  <c r="EA27" i="4"/>
  <c r="F130" i="131"/>
  <c r="ED17" i="4"/>
  <c r="EA39" i="4"/>
  <c r="F131" i="131"/>
  <c r="EA37" i="4"/>
  <c r="EA57" i="4"/>
  <c r="EA70" i="4"/>
  <c r="EA29" i="4"/>
  <c r="EA45" i="4"/>
  <c r="EA19" i="4"/>
  <c r="EA31" i="4"/>
  <c r="EA49" i="4"/>
  <c r="EA20" i="4"/>
  <c r="EA40" i="4"/>
  <c r="EA33" i="4"/>
  <c r="EA41" i="4"/>
  <c r="EA63" i="4"/>
  <c r="EA48" i="4"/>
  <c r="EA32" i="4"/>
  <c r="EA54" i="4"/>
  <c r="EA46" i="4"/>
  <c r="J38" i="106"/>
  <c r="K38" i="106" s="1"/>
  <c r="J35" i="123"/>
  <c r="K35" i="123" s="1"/>
  <c r="J44" i="125"/>
  <c r="K44" i="125" s="1"/>
  <c r="J24" i="87"/>
  <c r="K24" i="87" s="1"/>
  <c r="J8" i="72"/>
  <c r="K8" i="72" s="1"/>
  <c r="J20" i="106"/>
  <c r="K20" i="106" s="1"/>
  <c r="G41" i="4"/>
  <c r="G63" i="4"/>
  <c r="G29" i="4"/>
  <c r="G27" i="4"/>
  <c r="G19" i="4"/>
  <c r="G43" i="4"/>
  <c r="G54" i="4"/>
  <c r="G57" i="4"/>
  <c r="G33" i="4"/>
  <c r="G68" i="4"/>
  <c r="G45" i="4"/>
  <c r="G31" i="4"/>
  <c r="G39" i="4"/>
  <c r="G32" i="4"/>
  <c r="G20" i="4"/>
  <c r="G40" i="4"/>
  <c r="G49" i="4"/>
  <c r="J17" i="125"/>
  <c r="K17" i="125" s="1"/>
  <c r="G37" i="4"/>
  <c r="J32" i="106"/>
  <c r="K32" i="106" s="1"/>
  <c r="J8" i="123"/>
  <c r="K8" i="123" s="1"/>
  <c r="J8" i="125"/>
  <c r="K8" i="125" s="1"/>
  <c r="J7" i="127"/>
  <c r="K7" i="127" s="1"/>
  <c r="J22" i="105"/>
  <c r="K22" i="105" s="1"/>
  <c r="J17" i="104"/>
  <c r="K17" i="104" s="1"/>
  <c r="DC52" i="4"/>
  <c r="DF52" i="4"/>
  <c r="J67" i="104"/>
  <c r="K67" i="104" s="1"/>
  <c r="J45" i="104"/>
  <c r="K45" i="104" s="1"/>
  <c r="EA17" i="4"/>
  <c r="J9" i="107"/>
  <c r="J11" i="107"/>
  <c r="EB54" i="4" l="1"/>
  <c r="D166" i="131"/>
  <c r="ED54" i="4"/>
  <c r="D178" i="131"/>
  <c r="ED68" i="4"/>
  <c r="D174" i="131"/>
  <c r="ED63" i="4"/>
  <c r="D153" i="131"/>
  <c r="E153" i="131" s="1"/>
  <c r="F153" i="131" s="1"/>
  <c r="G153" i="131" s="1"/>
  <c r="H153" i="131" s="1"/>
  <c r="I153" i="131" s="1"/>
  <c r="ED40" i="4"/>
  <c r="D168" i="131"/>
  <c r="ED57" i="4"/>
  <c r="D154" i="131"/>
  <c r="E154" i="131" s="1"/>
  <c r="F154" i="131" s="1"/>
  <c r="G154" i="131" s="1"/>
  <c r="H154" i="131" s="1"/>
  <c r="I154" i="131" s="1"/>
  <c r="ED41" i="4"/>
  <c r="D133" i="131"/>
  <c r="E133" i="131" s="1"/>
  <c r="F133" i="131" s="1"/>
  <c r="G133" i="131" s="1"/>
  <c r="H133" i="131" s="1"/>
  <c r="I133" i="131" s="1"/>
  <c r="ED20" i="4"/>
  <c r="D156" i="131"/>
  <c r="E156" i="131" s="1"/>
  <c r="F156" i="131" s="1"/>
  <c r="G156" i="131" s="1"/>
  <c r="H156" i="131" s="1"/>
  <c r="I156" i="131" s="1"/>
  <c r="ED43" i="4"/>
  <c r="D162" i="131"/>
  <c r="E162" i="131" s="1"/>
  <c r="F162" i="131" s="1"/>
  <c r="G162" i="131" s="1"/>
  <c r="H162" i="131" s="1"/>
  <c r="I162" i="131" s="1"/>
  <c r="ED49" i="4"/>
  <c r="D152" i="131"/>
  <c r="E152" i="131" s="1"/>
  <c r="F152" i="131" s="1"/>
  <c r="G152" i="131" s="1"/>
  <c r="H152" i="131" s="1"/>
  <c r="I152" i="131" s="1"/>
  <c r="ED39" i="4"/>
  <c r="D132" i="131"/>
  <c r="E132" i="131" s="1"/>
  <c r="ED19" i="4"/>
  <c r="D145" i="131"/>
  <c r="E145" i="131" s="1"/>
  <c r="F145" i="131" s="1"/>
  <c r="G145" i="131" s="1"/>
  <c r="H145" i="131" s="1"/>
  <c r="I145" i="131" s="1"/>
  <c r="ED32" i="4"/>
  <c r="D140" i="131"/>
  <c r="E140" i="131" s="1"/>
  <c r="F140" i="131" s="1"/>
  <c r="G140" i="131" s="1"/>
  <c r="H140" i="131" s="1"/>
  <c r="I140" i="131" s="1"/>
  <c r="ED27" i="4"/>
  <c r="D158" i="131"/>
  <c r="E158" i="131" s="1"/>
  <c r="F158" i="131" s="1"/>
  <c r="G158" i="131" s="1"/>
  <c r="H158" i="131" s="1"/>
  <c r="I158" i="131" s="1"/>
  <c r="ED45" i="4"/>
  <c r="D142" i="131"/>
  <c r="E142" i="131" s="1"/>
  <c r="F142" i="131" s="1"/>
  <c r="G142" i="131" s="1"/>
  <c r="H142" i="131" s="1"/>
  <c r="I142" i="131" s="1"/>
  <c r="ED29" i="4"/>
  <c r="D146" i="131"/>
  <c r="E146" i="131" s="1"/>
  <c r="F146" i="131" s="1"/>
  <c r="G146" i="131" s="1"/>
  <c r="H146" i="131" s="1"/>
  <c r="I146" i="131" s="1"/>
  <c r="ED33" i="4"/>
  <c r="D144" i="131"/>
  <c r="E144" i="131" s="1"/>
  <c r="F144" i="131" s="1"/>
  <c r="G144" i="131" s="1"/>
  <c r="H144" i="131" s="1"/>
  <c r="I144" i="131" s="1"/>
  <c r="ED31" i="4"/>
  <c r="D150" i="131"/>
  <c r="E150" i="131" s="1"/>
  <c r="F150" i="131" s="1"/>
  <c r="G150" i="131" s="1"/>
  <c r="H150" i="131" s="1"/>
  <c r="I150" i="131" s="1"/>
  <c r="ED37" i="4"/>
  <c r="DX40" i="130"/>
  <c r="DX57" i="130"/>
  <c r="DX54" i="130"/>
  <c r="DX49" i="130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EB57" i="4"/>
  <c r="DX68" i="130"/>
  <c r="H178" i="73"/>
  <c r="I178" i="73" s="1"/>
  <c r="DX63" i="130"/>
  <c r="K11" i="107"/>
  <c r="K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N69" i="4"/>
  <c r="S279" i="94" s="1"/>
  <c r="T279" i="94" s="1"/>
  <c r="AS69" i="4"/>
  <c r="DL55" i="4"/>
  <c r="BT55" i="4"/>
  <c r="BN55" i="4"/>
  <c r="O62" i="75"/>
  <c r="N62" i="75"/>
  <c r="K62" i="75"/>
  <c r="H62" i="75"/>
  <c r="G62" i="75"/>
  <c r="F62" i="75"/>
  <c r="O15" i="94"/>
  <c r="O29" i="94"/>
  <c r="O39" i="94"/>
  <c r="O71" i="94"/>
  <c r="O279" i="94"/>
  <c r="G14" i="4"/>
  <c r="ED14" i="4" s="1"/>
  <c r="G13" i="4"/>
  <c r="DT69" i="4"/>
  <c r="DH55" i="4"/>
  <c r="S55" i="4"/>
  <c r="H135" i="73"/>
  <c r="I135" i="73" s="1"/>
  <c r="H134" i="73"/>
  <c r="I134" i="73" s="1"/>
  <c r="C11" i="92"/>
  <c r="P11" i="92" s="1"/>
  <c r="EB70" i="4"/>
  <c r="DT72" i="4"/>
  <c r="G17" i="4"/>
  <c r="O76" i="94"/>
  <c r="O94" i="94"/>
  <c r="O262" i="94"/>
  <c r="O305" i="94"/>
  <c r="O268" i="94"/>
  <c r="O258" i="94"/>
  <c r="O177" i="94"/>
  <c r="O172" i="94"/>
  <c r="O166" i="94"/>
  <c r="O155" i="94"/>
  <c r="O145" i="94"/>
  <c r="O105" i="94"/>
  <c r="O80" i="94"/>
  <c r="O101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H72" i="4"/>
  <c r="CH69" i="4"/>
  <c r="DE72" i="4"/>
  <c r="DD72" i="4"/>
  <c r="DE69" i="4"/>
  <c r="DB72" i="4"/>
  <c r="DA72" i="4"/>
  <c r="DB69" i="4"/>
  <c r="CX72" i="4"/>
  <c r="CW72" i="4"/>
  <c r="CX69" i="4"/>
  <c r="CL72" i="4"/>
  <c r="CK72" i="4"/>
  <c r="CL69" i="4"/>
  <c r="CG72" i="4"/>
  <c r="CE72" i="4"/>
  <c r="CD72" i="4"/>
  <c r="CA72" i="4"/>
  <c r="BZ72" i="4"/>
  <c r="CA69" i="4"/>
  <c r="BY72" i="4"/>
  <c r="BW72" i="4"/>
  <c r="BV72" i="4"/>
  <c r="BW69" i="4"/>
  <c r="BT72" i="4"/>
  <c r="BS72" i="4"/>
  <c r="BT69" i="4"/>
  <c r="BS69" i="4"/>
  <c r="BQ72" i="4"/>
  <c r="BP72" i="4"/>
  <c r="BQ69" i="4"/>
  <c r="BP69" i="4"/>
  <c r="BN72" i="4"/>
  <c r="BM72" i="4"/>
  <c r="BN69" i="4"/>
  <c r="BM69" i="4"/>
  <c r="BK72" i="4"/>
  <c r="BJ72" i="4"/>
  <c r="BK69" i="4"/>
  <c r="BE72" i="4"/>
  <c r="BD72" i="4"/>
  <c r="BE69" i="4"/>
  <c r="AV72" i="4"/>
  <c r="AU72" i="4"/>
  <c r="AV69" i="4"/>
  <c r="AS72" i="4"/>
  <c r="AR72" i="4"/>
  <c r="AM72" i="4"/>
  <c r="AL72" i="4"/>
  <c r="AM69" i="4"/>
  <c r="AJ72" i="4"/>
  <c r="AI72" i="4"/>
  <c r="AJ69" i="4"/>
  <c r="AG72" i="4"/>
  <c r="AF72" i="4"/>
  <c r="AG69" i="4"/>
  <c r="S72" i="4"/>
  <c r="R72" i="4"/>
  <c r="S69" i="4"/>
  <c r="R69" i="4"/>
  <c r="X69" i="4"/>
  <c r="DM72" i="4"/>
  <c r="DL72" i="4"/>
  <c r="DK72" i="4"/>
  <c r="DM69" i="4"/>
  <c r="DL69" i="4"/>
  <c r="DK69" i="4"/>
  <c r="DH72" i="4"/>
  <c r="DG72" i="4"/>
  <c r="DH69" i="4"/>
  <c r="DG69" i="4"/>
  <c r="G73" i="4"/>
  <c r="ED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M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N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R72" i="4"/>
  <c r="CS69" i="4"/>
  <c r="H16" i="4"/>
  <c r="I16" i="4"/>
  <c r="X16" i="4"/>
  <c r="AD16" i="4"/>
  <c r="AE16" i="4"/>
  <c r="H69" i="4"/>
  <c r="I69" i="4"/>
  <c r="N69" i="4"/>
  <c r="Z69" i="4"/>
  <c r="AC69" i="4"/>
  <c r="AD69" i="4"/>
  <c r="AO69" i="4"/>
  <c r="AP69" i="4"/>
  <c r="BL69" i="4"/>
  <c r="BX69" i="4"/>
  <c r="CI69" i="4"/>
  <c r="CY69" i="4"/>
  <c r="DF69" i="4"/>
  <c r="DZ69" i="4"/>
  <c r="L72" i="4"/>
  <c r="N72" i="4"/>
  <c r="Q72" i="4"/>
  <c r="U72" i="4"/>
  <c r="EE72" i="4" s="1"/>
  <c r="V72" i="4"/>
  <c r="X72" i="4"/>
  <c r="Y72" i="4"/>
  <c r="Z72" i="4"/>
  <c r="AB72" i="4"/>
  <c r="AC72" i="4"/>
  <c r="AD72" i="4"/>
  <c r="AE72" i="4"/>
  <c r="AH72" i="4"/>
  <c r="AK72" i="4"/>
  <c r="AN72" i="4"/>
  <c r="AO72" i="4"/>
  <c r="AP72" i="4"/>
  <c r="AQ72" i="4"/>
  <c r="AT72" i="4"/>
  <c r="BC72" i="4"/>
  <c r="BI72" i="4"/>
  <c r="BL72" i="4"/>
  <c r="BO72" i="4"/>
  <c r="BR72" i="4"/>
  <c r="BU72" i="4"/>
  <c r="BX72" i="4"/>
  <c r="CB72" i="4"/>
  <c r="CC72" i="4"/>
  <c r="CF72" i="4"/>
  <c r="CI72" i="4"/>
  <c r="CJ72" i="4"/>
  <c r="CM72" i="4"/>
  <c r="CP72" i="4"/>
  <c r="CS72" i="4"/>
  <c r="CV72" i="4"/>
  <c r="CY72" i="4"/>
  <c r="CZ72" i="4"/>
  <c r="DC72" i="4"/>
  <c r="DF72" i="4"/>
  <c r="DI72" i="4"/>
  <c r="DJ72" i="4"/>
  <c r="DU72" i="4"/>
  <c r="DX72" i="4"/>
  <c r="DY72" i="4"/>
  <c r="DZ72" i="4"/>
  <c r="D16" i="76"/>
  <c r="C19" i="75"/>
  <c r="F150" i="83"/>
  <c r="J132" i="83"/>
  <c r="I132" i="83"/>
  <c r="D4" i="76"/>
  <c r="C26" i="75"/>
  <c r="D125" i="131" l="1"/>
  <c r="E125" i="131" s="1"/>
  <c r="ED13" i="4"/>
  <c r="D126" i="131"/>
  <c r="E126" i="131" s="1"/>
  <c r="F126" i="131" s="1"/>
  <c r="G126" i="131" s="1"/>
  <c r="H126" i="131" s="1"/>
  <c r="I126" i="131" s="1"/>
  <c r="G132" i="131"/>
  <c r="DX13" i="130"/>
  <c r="EB13" i="4"/>
  <c r="DX14" i="130"/>
  <c r="EB14" i="4"/>
  <c r="D114" i="84"/>
  <c r="C114" i="84"/>
  <c r="H208" i="73"/>
  <c r="W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O306" i="94"/>
  <c r="C5" i="92"/>
  <c r="P5" i="92" s="1"/>
  <c r="C8" i="92"/>
  <c r="P8" i="92" s="1"/>
  <c r="C21" i="92"/>
  <c r="P21" i="92" s="1"/>
  <c r="J139" i="83"/>
  <c r="DZ55" i="4"/>
  <c r="DZ74" i="4" s="1"/>
  <c r="EB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Y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N74" i="4"/>
  <c r="EB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EB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S74" i="4"/>
  <c r="BT74" i="4"/>
  <c r="C10" i="75"/>
  <c r="C8" i="75"/>
  <c r="DE55" i="4"/>
  <c r="DE74" i="4" s="1"/>
  <c r="AM55" i="4"/>
  <c r="AM74" i="4" s="1"/>
  <c r="DY69" i="4"/>
  <c r="F7" i="75"/>
  <c r="F5" i="75" s="1"/>
  <c r="EB40" i="4"/>
  <c r="BR69" i="4"/>
  <c r="S155" i="94" s="1"/>
  <c r="CL55" i="4"/>
  <c r="CL74" i="4" s="1"/>
  <c r="H172" i="73"/>
  <c r="I172" i="73" s="1"/>
  <c r="U16" i="4"/>
  <c r="EE16" i="4" s="1"/>
  <c r="H7" i="75"/>
  <c r="H5" i="75" s="1"/>
  <c r="H156" i="73"/>
  <c r="I156" i="73" s="1"/>
  <c r="DR55" i="4"/>
  <c r="CB69" i="4"/>
  <c r="AG55" i="4"/>
  <c r="AG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X55" i="4"/>
  <c r="H27" i="84"/>
  <c r="I27" i="84"/>
  <c r="I33" i="84"/>
  <c r="I50" i="84"/>
  <c r="D97" i="84" s="1"/>
  <c r="I134" i="83"/>
  <c r="I138" i="83" s="1"/>
  <c r="DH74" i="4"/>
  <c r="C13" i="92"/>
  <c r="P13" i="92" s="1"/>
  <c r="C17" i="92"/>
  <c r="P17" i="92" s="1"/>
  <c r="C19" i="92"/>
  <c r="P19" i="92" s="1"/>
  <c r="DR69" i="4"/>
  <c r="DL74" i="4"/>
  <c r="BO69" i="4"/>
  <c r="V69" i="4"/>
  <c r="S71" i="94" s="1"/>
  <c r="T71" i="94" s="1"/>
  <c r="K7" i="75"/>
  <c r="K5" i="75" s="1"/>
  <c r="D7" i="75"/>
  <c r="DD55" i="4"/>
  <c r="DG55" i="4"/>
  <c r="DG74" i="4" s="1"/>
  <c r="DJ69" i="4"/>
  <c r="Q69" i="4"/>
  <c r="DM55" i="4"/>
  <c r="DM74" i="4" s="1"/>
  <c r="H157" i="73"/>
  <c r="I157" i="73" s="1"/>
  <c r="N16" i="4"/>
  <c r="D5" i="75" l="1"/>
  <c r="D34" i="75" s="1"/>
  <c r="H132" i="131"/>
  <c r="F125" i="131"/>
  <c r="H207" i="73"/>
  <c r="V41" i="85"/>
  <c r="W41" i="85" s="1"/>
  <c r="V50" i="85"/>
  <c r="S29" i="94"/>
  <c r="T29" i="94" s="1"/>
  <c r="V34" i="85"/>
  <c r="O295" i="94"/>
  <c r="W15" i="85"/>
  <c r="S2" i="85" s="1"/>
  <c r="G93" i="84"/>
  <c r="D47" i="76"/>
  <c r="C8" i="114"/>
  <c r="C4" i="114"/>
  <c r="D132" i="75"/>
  <c r="D134" i="75" s="1"/>
  <c r="V12" i="85"/>
  <c r="W12" i="85" s="1"/>
  <c r="S271" i="94"/>
  <c r="T271" i="94" s="1"/>
  <c r="S101" i="94"/>
  <c r="T101" i="94" s="1"/>
  <c r="S265" i="94"/>
  <c r="T265" i="94" s="1"/>
  <c r="E47" i="76"/>
  <c r="H132" i="75"/>
  <c r="H134" i="75" s="1"/>
  <c r="H29" i="84"/>
  <c r="H36" i="84" s="1"/>
  <c r="C96" i="84" s="1"/>
  <c r="S305" i="94"/>
  <c r="T305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P55" i="4"/>
  <c r="AP74" i="4" s="1"/>
  <c r="H126" i="73"/>
  <c r="I126" i="73" s="1"/>
  <c r="H124" i="73"/>
  <c r="I124" i="73" s="1"/>
  <c r="DY74" i="4"/>
  <c r="DF55" i="4"/>
  <c r="BX55" i="4"/>
  <c r="BX74" i="4" s="1"/>
  <c r="EB39" i="4"/>
  <c r="H130" i="73"/>
  <c r="I130" i="73" s="1"/>
  <c r="EB37" i="4"/>
  <c r="H154" i="73"/>
  <c r="I154" i="73" s="1"/>
  <c r="CY55" i="4"/>
  <c r="CY74" i="4" s="1"/>
  <c r="EB68" i="4"/>
  <c r="C99" i="84"/>
  <c r="D99" i="84"/>
  <c r="H75" i="84"/>
  <c r="EB27" i="4"/>
  <c r="DR74" i="4"/>
  <c r="DT55" i="4"/>
  <c r="DT74" i="4" s="1"/>
  <c r="I36" i="84"/>
  <c r="G151" i="83"/>
  <c r="H129" i="73"/>
  <c r="I129" i="73" s="1"/>
  <c r="H128" i="73"/>
  <c r="I128" i="73" s="1"/>
  <c r="H137" i="73"/>
  <c r="I137" i="73" s="1"/>
  <c r="H136" i="73"/>
  <c r="I136" i="73" s="1"/>
  <c r="H182" i="73"/>
  <c r="I182" i="73" s="1"/>
  <c r="X55" i="4"/>
  <c r="X74" i="4" s="1"/>
  <c r="EB45" i="4"/>
  <c r="H149" i="73"/>
  <c r="I149" i="73" s="1"/>
  <c r="EB20" i="4"/>
  <c r="H144" i="73"/>
  <c r="I144" i="73" s="1"/>
  <c r="H127" i="73"/>
  <c r="I127" i="73" s="1"/>
  <c r="EB19" i="4"/>
  <c r="H162" i="73"/>
  <c r="I162" i="73" s="1"/>
  <c r="DC55" i="4"/>
  <c r="EB32" i="4"/>
  <c r="D135" i="75" l="1"/>
  <c r="G125" i="131"/>
  <c r="I132" i="131"/>
  <c r="Q2" i="85"/>
  <c r="D94" i="84"/>
  <c r="G152" i="83"/>
  <c r="C24" i="92"/>
  <c r="P24" i="92" s="1"/>
  <c r="I131" i="83"/>
  <c r="G154" i="83"/>
  <c r="B82" i="83"/>
  <c r="C78" i="83" s="1"/>
  <c r="DF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I55" i="4" l="1"/>
  <c r="DJ34" i="4" l="1"/>
  <c r="DK55" i="4"/>
  <c r="DK74" i="4" s="1"/>
  <c r="DJ52" i="4" l="1"/>
  <c r="DJ55" i="4" s="1"/>
  <c r="J152" i="87"/>
  <c r="K152" i="87" s="1"/>
  <c r="DJ74" i="4" l="1"/>
  <c r="AE58" i="4" l="1"/>
  <c r="AF69" i="4"/>
  <c r="AE69" i="4" l="1"/>
  <c r="V35" i="85" l="1"/>
  <c r="S45" i="94"/>
  <c r="T45" i="94" s="1"/>
  <c r="AS55" i="4" l="1"/>
  <c r="AS74" i="4" s="1"/>
  <c r="G34" i="75" l="1"/>
  <c r="G135" i="75" s="1"/>
  <c r="AH36" i="4" l="1"/>
  <c r="EA36" i="4" s="1"/>
  <c r="G36" i="4" l="1"/>
  <c r="D149" i="131" l="1"/>
  <c r="E149" i="131" s="1"/>
  <c r="F149" i="131" s="1"/>
  <c r="G149" i="131" s="1"/>
  <c r="H149" i="131" s="1"/>
  <c r="I149" i="131" s="1"/>
  <c r="ED36" i="4"/>
  <c r="H153" i="73"/>
  <c r="I153" i="73" s="1"/>
  <c r="EB36" i="4"/>
  <c r="DX36" i="130"/>
  <c r="H24" i="127"/>
  <c r="H25" i="127" s="1"/>
  <c r="AQ34" i="4"/>
  <c r="J85" i="87" s="1"/>
  <c r="K85" i="87" s="1"/>
  <c r="AH28" i="4" l="1"/>
  <c r="EA28" i="4" s="1"/>
  <c r="G28" i="4" l="1"/>
  <c r="AH22" i="4"/>
  <c r="D141" i="131" l="1"/>
  <c r="ED28" i="4"/>
  <c r="DX28" i="130"/>
  <c r="E141" i="131"/>
  <c r="F141" i="131" s="1"/>
  <c r="G141" i="131" s="1"/>
  <c r="H141" i="131" s="1"/>
  <c r="I141" i="131" s="1"/>
  <c r="J50" i="105"/>
  <c r="K50" i="105" s="1"/>
  <c r="H145" i="73"/>
  <c r="I145" i="73" s="1"/>
  <c r="EB28" i="4"/>
  <c r="AQ23" i="4"/>
  <c r="AQ22" i="4" l="1"/>
  <c r="AQ58" i="4"/>
  <c r="AR69" i="4"/>
  <c r="AQ35" i="4"/>
  <c r="J56" i="72" s="1"/>
  <c r="K56" i="72" s="1"/>
  <c r="J77" i="105" l="1"/>
  <c r="K77" i="105" s="1"/>
  <c r="AQ52" i="4"/>
  <c r="AQ69" i="4"/>
  <c r="AR55" i="4"/>
  <c r="AR74" i="4" s="1"/>
  <c r="AH34" i="4"/>
  <c r="J62" i="87" l="1"/>
  <c r="K62" i="87" s="1"/>
  <c r="S80" i="94"/>
  <c r="T80" i="94" s="1"/>
  <c r="W50" i="85"/>
  <c r="AQ55" i="4"/>
  <c r="AQ74" i="4" s="1"/>
  <c r="BY25" i="4" l="1"/>
  <c r="BY24" i="4"/>
  <c r="BY23" i="4" l="1"/>
  <c r="H72" i="4" l="1"/>
  <c r="CX55" i="4" l="1"/>
  <c r="CX74" i="4" s="1"/>
  <c r="BU35" i="4" l="1"/>
  <c r="J95" i="72" s="1"/>
  <c r="K95" i="72" s="1"/>
  <c r="BU34" i="4"/>
  <c r="J124" i="87" s="1"/>
  <c r="K124" i="87" s="1"/>
  <c r="BV55" i="4"/>
  <c r="BW55" i="4"/>
  <c r="BW74" i="4" s="1"/>
  <c r="BU52" i="4" l="1"/>
  <c r="BU55" i="4" s="1"/>
  <c r="EB41" i="4" l="1"/>
  <c r="CI55" i="4"/>
  <c r="H158" i="73"/>
  <c r="I158" i="73" s="1"/>
  <c r="CI74" i="4" l="1"/>
  <c r="AT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I59" i="4" l="1"/>
  <c r="H170" i="73" l="1"/>
  <c r="I170" i="73" s="1"/>
  <c r="T69" i="4" l="1"/>
  <c r="O16" i="4" l="1"/>
  <c r="H125" i="73"/>
  <c r="I125" i="73" s="1"/>
  <c r="J13" i="104" l="1"/>
  <c r="K13" i="104" s="1"/>
  <c r="H166" i="73" l="1"/>
  <c r="I166" i="73" s="1"/>
  <c r="L16" i="4"/>
  <c r="EB29" i="4"/>
  <c r="H146" i="73"/>
  <c r="I146" i="73" s="1"/>
  <c r="EB49" i="4" l="1"/>
  <c r="DX69" i="4" l="1"/>
  <c r="S268" i="94" l="1"/>
  <c r="T268" i="94" s="1"/>
  <c r="DX74" i="4"/>
  <c r="BO30" i="4" l="1"/>
  <c r="DQ55" i="4" l="1"/>
  <c r="DQ69" i="4"/>
  <c r="S295" i="94" l="1"/>
  <c r="T295" i="94" s="1"/>
  <c r="DQ74" i="4"/>
  <c r="J152" i="105" l="1"/>
  <c r="K152" i="105" s="1"/>
  <c r="DC59" i="4" l="1"/>
  <c r="DD69" i="4"/>
  <c r="DD74" i="4" s="1"/>
  <c r="DC69" i="4" l="1"/>
  <c r="S98" i="94" s="1"/>
  <c r="T98" i="94" s="1"/>
  <c r="DC74" i="4" l="1"/>
  <c r="CZ26" i="4" l="1"/>
  <c r="EA26" i="4" s="1"/>
  <c r="G26" i="4" l="1"/>
  <c r="DI69" i="4"/>
  <c r="S274" i="94" s="1"/>
  <c r="T274" i="94" s="1"/>
  <c r="D139" i="131" l="1"/>
  <c r="E139" i="131" s="1"/>
  <c r="F139" i="131" s="1"/>
  <c r="G139" i="131" s="1"/>
  <c r="H139" i="131" s="1"/>
  <c r="I139" i="131" s="1"/>
  <c r="ED26" i="4"/>
  <c r="DX26" i="130"/>
  <c r="EB26" i="4"/>
  <c r="CZ61" i="4"/>
  <c r="DA69" i="4"/>
  <c r="CZ18" i="4"/>
  <c r="ED18" i="4" s="1"/>
  <c r="H143" i="73"/>
  <c r="I143" i="73" s="1"/>
  <c r="EA18" i="4" l="1"/>
  <c r="H150" i="73"/>
  <c r="I150" i="73" s="1"/>
  <c r="EB33" i="4"/>
  <c r="CZ69" i="4"/>
  <c r="G18" i="4"/>
  <c r="EB18" i="4" l="1"/>
  <c r="CB55" i="4"/>
  <c r="CB74" i="4" s="1"/>
  <c r="H148" i="73" l="1"/>
  <c r="I148" i="73" s="1"/>
  <c r="EB31" i="4"/>
  <c r="EB43" i="4" l="1"/>
  <c r="H160" i="73"/>
  <c r="I160" i="73" s="1"/>
  <c r="AJ52" i="4" l="1"/>
  <c r="AJ55" i="4" l="1"/>
  <c r="AJ74" i="4" s="1"/>
  <c r="CA52" i="4" l="1"/>
  <c r="CA55" i="4" s="1"/>
  <c r="CA74" i="4" s="1"/>
  <c r="K21" i="117"/>
  <c r="E21" i="117" l="1"/>
  <c r="C21" i="117" l="1"/>
  <c r="AH21" i="4" l="1"/>
  <c r="J48" i="104" l="1"/>
  <c r="K48" i="104" s="1"/>
  <c r="DI52" i="4" l="1"/>
  <c r="DI55" i="4" l="1"/>
  <c r="DI74" i="4" l="1"/>
  <c r="C5" i="114" l="1"/>
  <c r="V13" i="85"/>
  <c r="V17" i="85" s="1"/>
  <c r="F43" i="103" l="1"/>
  <c r="F42" i="103"/>
  <c r="G47" i="103" l="1"/>
  <c r="G42" i="103"/>
  <c r="G43" i="103"/>
  <c r="I47" i="103" l="1"/>
  <c r="J47" i="103" l="1"/>
  <c r="K47" i="103" l="1"/>
  <c r="L47" i="103" l="1"/>
  <c r="M47" i="103" l="1"/>
  <c r="N47" i="103" l="1"/>
  <c r="O47" i="103" l="1"/>
  <c r="P47" i="103" l="1"/>
  <c r="Q47" i="103" l="1"/>
  <c r="R47" i="103" l="1"/>
  <c r="S47" i="103" l="1"/>
  <c r="T47" i="103" l="1"/>
  <c r="V47" i="103" l="1"/>
  <c r="U47" i="103"/>
  <c r="D59" i="85" l="1"/>
  <c r="E52" i="85" l="1"/>
  <c r="E57" i="85" s="1"/>
  <c r="E60" i="85" s="1"/>
  <c r="E59" i="85" l="1"/>
  <c r="F5" i="85"/>
  <c r="F27" i="85" s="1"/>
  <c r="F31" i="85" s="1"/>
  <c r="F52" i="85" l="1"/>
  <c r="F57" i="85" s="1"/>
  <c r="F60" i="85" s="1"/>
  <c r="F59" i="85" l="1"/>
  <c r="G5" i="85"/>
  <c r="G27" i="85" s="1"/>
  <c r="G31" i="85" s="1"/>
  <c r="G52" i="85" s="1"/>
  <c r="G57" i="85" s="1"/>
  <c r="G60" i="85" s="1"/>
  <c r="H5" i="85" l="1"/>
  <c r="H27" i="85" s="1"/>
  <c r="G59" i="85"/>
  <c r="H31" i="85" l="1"/>
  <c r="H52" i="85" s="1"/>
  <c r="H57" i="85" l="1"/>
  <c r="H59" i="85" l="1"/>
  <c r="M5" i="85"/>
  <c r="M27" i="85" s="1"/>
  <c r="M31" i="85" s="1"/>
  <c r="M52" i="85" s="1"/>
  <c r="M57" i="85" s="1"/>
  <c r="M60" i="85" s="1"/>
  <c r="H60" i="85"/>
  <c r="M59" i="85" l="1"/>
  <c r="N5" i="85"/>
  <c r="N27" i="85" s="1"/>
  <c r="N31" i="85" s="1"/>
  <c r="N52" i="85" s="1"/>
  <c r="N57" i="85" s="1"/>
  <c r="N60" i="85" s="1"/>
  <c r="N59" i="85" l="1"/>
  <c r="O5" i="85"/>
  <c r="O27" i="85" s="1"/>
  <c r="O31" i="85" l="1"/>
  <c r="O52" i="85" s="1"/>
  <c r="O57" i="85" s="1"/>
  <c r="O60" i="85" s="1"/>
  <c r="O59" i="85" l="1"/>
  <c r="P5" i="85"/>
  <c r="P27" i="85" s="1"/>
  <c r="P31" i="85" s="1"/>
  <c r="P52" i="85" s="1"/>
  <c r="P57" i="85" s="1"/>
  <c r="P60" i="85" s="1"/>
  <c r="Q5" i="85" l="1"/>
  <c r="Q27" i="85" s="1"/>
  <c r="Q31" i="85" s="1"/>
  <c r="P59" i="85"/>
  <c r="Q52" i="85" l="1"/>
  <c r="Q57" i="85" s="1"/>
  <c r="Q60" i="85" s="1"/>
  <c r="R5" i="85" l="1"/>
  <c r="Q59" i="85"/>
  <c r="R27" i="85" l="1"/>
  <c r="R31" i="85" l="1"/>
  <c r="R52" i="85" s="1"/>
  <c r="R57" i="85" s="1"/>
  <c r="S5" i="85" l="1"/>
  <c r="R59" i="85"/>
  <c r="F47" i="103" l="1"/>
  <c r="E47" i="103" l="1"/>
  <c r="DU69" i="4" l="1"/>
  <c r="S300" i="94" l="1"/>
  <c r="T300" i="94" s="1"/>
  <c r="W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U52" i="4" l="1"/>
  <c r="DU55" i="4" s="1"/>
  <c r="DU74" i="4" s="1"/>
  <c r="DS69" i="4" l="1"/>
  <c r="DS74" i="4" s="1"/>
  <c r="W34" i="85" l="1"/>
  <c r="U25" i="4" l="1"/>
  <c r="EE25" i="4" s="1"/>
  <c r="U58" i="4" l="1"/>
  <c r="EE58" i="4" s="1"/>
  <c r="CE69" i="4"/>
  <c r="AH58" i="4" l="1"/>
  <c r="AI69" i="4"/>
  <c r="AH69" i="4" l="1"/>
  <c r="V38" i="85" l="1"/>
  <c r="W38" i="85" s="1"/>
  <c r="S68" i="94"/>
  <c r="T68" i="94" s="1"/>
  <c r="Y16" i="4" l="1"/>
  <c r="Y55" i="4" s="1"/>
  <c r="AN16" i="4" l="1"/>
  <c r="AH16" i="4"/>
  <c r="BI16" i="4"/>
  <c r="T16" i="4"/>
  <c r="T55" i="4" s="1"/>
  <c r="T74" i="4" s="1"/>
  <c r="V16" i="4"/>
  <c r="V55" i="4" s="1"/>
  <c r="V74" i="4" s="1"/>
  <c r="AC16" i="4"/>
  <c r="AC55" i="4" s="1"/>
  <c r="AC74" i="4" s="1"/>
  <c r="AB16" i="4"/>
  <c r="AB55" i="4" s="1"/>
  <c r="Z16" i="4"/>
  <c r="Z55" i="4" s="1"/>
  <c r="Z74" i="4" s="1"/>
  <c r="Q15" i="4" l="1"/>
  <c r="EA15" i="4" s="1"/>
  <c r="R16" i="4"/>
  <c r="R55" i="4" s="1"/>
  <c r="R74" i="4" s="1"/>
  <c r="Q16" i="4" l="1"/>
  <c r="Q55" i="4" s="1"/>
  <c r="Q74" i="4" s="1"/>
  <c r="G15" i="4"/>
  <c r="D127" i="131" l="1"/>
  <c r="ED15" i="4"/>
  <c r="ED16" i="4" s="1"/>
  <c r="DX15" i="130"/>
  <c r="EB15" i="4"/>
  <c r="G16" i="4"/>
  <c r="H131" i="73"/>
  <c r="I131" i="73" s="1"/>
  <c r="E127" i="131" l="1"/>
  <c r="D119" i="131"/>
  <c r="H123" i="73"/>
  <c r="V20" i="85"/>
  <c r="I123" i="73" l="1"/>
  <c r="F127" i="131"/>
  <c r="E119" i="131"/>
  <c r="W20" i="85"/>
  <c r="G127" i="131" l="1"/>
  <c r="F119" i="131"/>
  <c r="H127" i="131" l="1"/>
  <c r="G119" i="131"/>
  <c r="AT25" i="4"/>
  <c r="I127" i="131" l="1"/>
  <c r="I119" i="131" s="1"/>
  <c r="H119" i="131"/>
  <c r="J32" i="125"/>
  <c r="K32" i="125" s="1"/>
  <c r="CN52" i="4" l="1"/>
  <c r="CM35" i="4"/>
  <c r="CT52" i="4"/>
  <c r="CT55" i="4" s="1"/>
  <c r="CT74" i="4" s="1"/>
  <c r="CS35" i="4"/>
  <c r="O18" i="75" s="1"/>
  <c r="O34" i="75" s="1"/>
  <c r="O135" i="75" s="1"/>
  <c r="N18" i="75" l="1"/>
  <c r="N34" i="75" s="1"/>
  <c r="N135" i="75" s="1"/>
  <c r="L22" i="75"/>
  <c r="J158" i="72"/>
  <c r="CM52" i="4"/>
  <c r="CM55" i="4" s="1"/>
  <c r="CM74" i="4" s="1"/>
  <c r="CS52" i="4"/>
  <c r="CS55" i="4" s="1"/>
  <c r="CS74" i="4" s="1"/>
  <c r="J141" i="72"/>
  <c r="K141" i="72" s="1"/>
  <c r="L18" i="75" l="1"/>
  <c r="L34" i="75" s="1"/>
  <c r="L135" i="75" s="1"/>
  <c r="C22" i="75"/>
  <c r="C18" i="75" s="1"/>
  <c r="AN69" i="4" l="1"/>
  <c r="S76" i="94" l="1"/>
  <c r="T76" i="94" s="1"/>
  <c r="V39" i="85"/>
  <c r="W39" i="85" s="1"/>
  <c r="AZ34" i="4" l="1"/>
  <c r="J100" i="87" s="1"/>
  <c r="K100" i="87" s="1"/>
  <c r="BB52" i="4"/>
  <c r="BB55" i="4" s="1"/>
  <c r="BB74" i="4" s="1"/>
  <c r="AZ35" i="4" l="1"/>
  <c r="J68" i="72" s="1"/>
  <c r="K68" i="72" s="1"/>
  <c r="AZ30" i="4" l="1"/>
  <c r="J29" i="106" l="1"/>
  <c r="K29" i="106" s="1"/>
  <c r="CF21" i="4" l="1"/>
  <c r="U21" i="4"/>
  <c r="EA21" i="4" l="1"/>
  <c r="EE21" i="4"/>
  <c r="J24" i="104"/>
  <c r="K24" i="104" s="1"/>
  <c r="CC22" i="4" l="1"/>
  <c r="J69" i="105" l="1"/>
  <c r="K69" i="105" s="1"/>
  <c r="J154" i="72" l="1"/>
  <c r="K154" i="72" s="1"/>
  <c r="CP25" i="4" l="1"/>
  <c r="J62" i="125" l="1"/>
  <c r="K62" i="125" s="1"/>
  <c r="CF25" i="4" l="1"/>
  <c r="J52" i="125" l="1"/>
  <c r="K52" i="125" s="1"/>
  <c r="CR52" i="4" l="1"/>
  <c r="CR55" i="4" s="1"/>
  <c r="CR74" i="4" s="1"/>
  <c r="I25" i="117"/>
  <c r="CC34" i="4"/>
  <c r="BE52" i="4"/>
  <c r="BE55" i="4" s="1"/>
  <c r="BE74" i="4" s="1"/>
  <c r="BQ52" i="4" l="1"/>
  <c r="BQ55" i="4" s="1"/>
  <c r="BQ74" i="4" s="1"/>
  <c r="E25" i="117"/>
  <c r="C25" i="117" s="1"/>
  <c r="I15" i="117"/>
  <c r="I5" i="117" s="1"/>
  <c r="I47" i="117" s="1"/>
  <c r="I143" i="117" s="1"/>
  <c r="F23" i="117"/>
  <c r="J133" i="87"/>
  <c r="K133" i="87" s="1"/>
  <c r="CE52" i="4"/>
  <c r="CE55" i="4" s="1"/>
  <c r="CE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CC35" i="4" l="1"/>
  <c r="J103" i="72" l="1"/>
  <c r="K103" i="72" s="1"/>
  <c r="J187" i="87" l="1"/>
  <c r="K187" i="87" s="1"/>
  <c r="BC35" i="4" l="1"/>
  <c r="J71" i="72" l="1"/>
  <c r="K71" i="72" s="1"/>
  <c r="BO34" i="4"/>
  <c r="BC34" i="4"/>
  <c r="J114" i="87" l="1"/>
  <c r="K114" i="87" s="1"/>
  <c r="J105" i="87"/>
  <c r="K105" i="87" s="1"/>
  <c r="J47" i="72"/>
  <c r="K47" i="72" s="1"/>
  <c r="CC58" i="4" l="1"/>
  <c r="CD69" i="4"/>
  <c r="CC69" i="4" l="1"/>
  <c r="V51" i="85" l="1"/>
  <c r="W51" i="85" s="1"/>
  <c r="S177" i="94"/>
  <c r="T177" i="94" s="1"/>
  <c r="CP34" i="4" l="1"/>
  <c r="J163" i="87" l="1"/>
  <c r="K163" i="87" s="1"/>
  <c r="J58" i="106" l="1"/>
  <c r="K58" i="106" s="1"/>
  <c r="DN52" i="4"/>
  <c r="DN55" i="4" s="1"/>
  <c r="DN74" i="4" s="1"/>
  <c r="CF30" i="4" l="1"/>
  <c r="J55" i="106" l="1"/>
  <c r="K55" i="106" s="1"/>
  <c r="J51" i="104" l="1"/>
  <c r="K51" i="104" s="1"/>
  <c r="G21" i="4"/>
  <c r="ED21" i="4" s="1"/>
  <c r="J53" i="105"/>
  <c r="K53" i="105" s="1"/>
  <c r="AA52" i="4"/>
  <c r="AA55" i="4" s="1"/>
  <c r="D134" i="131" l="1"/>
  <c r="E134" i="131" s="1"/>
  <c r="F134" i="131" s="1"/>
  <c r="DX21" i="130"/>
  <c r="H69" i="104"/>
  <c r="H70" i="104" s="1"/>
  <c r="H138" i="73"/>
  <c r="I138" i="73" s="1"/>
  <c r="EB21" i="4"/>
  <c r="G134" i="131" l="1"/>
  <c r="H26" i="117"/>
  <c r="DB52" i="4"/>
  <c r="DB55" i="4" s="1"/>
  <c r="DB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DA52" i="4" l="1"/>
  <c r="DA55" i="4" s="1"/>
  <c r="DA74" i="4" s="1"/>
  <c r="CZ34" i="4"/>
  <c r="J172" i="87" s="1"/>
  <c r="K172" i="87" l="1"/>
  <c r="P7" i="91"/>
  <c r="S7" i="91"/>
  <c r="R7" i="91"/>
  <c r="T7" i="91"/>
  <c r="CZ52" i="4"/>
  <c r="CZ55" i="4" s="1"/>
  <c r="CZ74" i="4" s="1"/>
  <c r="AA69" i="4" l="1"/>
  <c r="S35" i="94" l="1"/>
  <c r="T35" i="94" s="1"/>
  <c r="V37" i="85"/>
  <c r="W37" i="85" s="1"/>
  <c r="AA74" i="4"/>
  <c r="AK59" i="4" l="1"/>
  <c r="BR44" i="4" l="1"/>
  <c r="J8" i="107" l="1"/>
  <c r="K8" i="107" s="1"/>
  <c r="AZ50" i="4" l="1"/>
  <c r="EA50" i="4" s="1"/>
  <c r="BA52" i="4"/>
  <c r="BA55" i="4" s="1"/>
  <c r="BA74" i="4" s="1"/>
  <c r="G50" i="4" l="1"/>
  <c r="AZ52" i="4"/>
  <c r="AZ55" i="4" s="1"/>
  <c r="AZ74" i="4" s="1"/>
  <c r="D163" i="131" l="1"/>
  <c r="E163" i="131" s="1"/>
  <c r="F163" i="131" s="1"/>
  <c r="G163" i="131" s="1"/>
  <c r="H163" i="131" s="1"/>
  <c r="I163" i="131" s="1"/>
  <c r="ED50" i="4"/>
  <c r="DX50" i="130"/>
  <c r="H167" i="73"/>
  <c r="I167" i="73" s="1"/>
  <c r="EB50" i="4"/>
  <c r="G46" i="4" l="1"/>
  <c r="ED46" i="4" s="1"/>
  <c r="L52" i="4"/>
  <c r="L55" i="4" s="1"/>
  <c r="D159" i="131" l="1"/>
  <c r="E159" i="131" s="1"/>
  <c r="F159" i="131" s="1"/>
  <c r="G159" i="131" s="1"/>
  <c r="H159" i="131" s="1"/>
  <c r="I159" i="131" s="1"/>
  <c r="DX46" i="130"/>
  <c r="EB46" i="4"/>
  <c r="H163" i="73"/>
  <c r="I163" i="73" s="1"/>
  <c r="BC44" i="4" l="1"/>
  <c r="J5" i="107" l="1"/>
  <c r="K5" i="107" s="1"/>
  <c r="H18" i="105" l="1"/>
  <c r="I18" i="105" l="1"/>
  <c r="H164" i="105"/>
  <c r="I164" i="105" s="1"/>
  <c r="K18" i="105" l="1"/>
  <c r="O52" i="4"/>
  <c r="O55" i="4" s="1"/>
  <c r="O74" i="4" s="1"/>
  <c r="L52" i="130"/>
  <c r="L55" i="130" s="1"/>
  <c r="L74" i="130" s="1"/>
  <c r="DV42" i="130" l="1"/>
  <c r="E42" i="130"/>
  <c r="DW42" i="130" l="1"/>
  <c r="AR59" i="130" l="1"/>
  <c r="AS69" i="130" l="1"/>
  <c r="AS74" i="130" s="1"/>
  <c r="AR58" i="130"/>
  <c r="AR69" i="130" l="1"/>
  <c r="AR74" i="130" s="1"/>
  <c r="K34" i="75" l="1"/>
  <c r="K135" i="75" s="1"/>
  <c r="K24" i="117"/>
  <c r="CH52" i="4"/>
  <c r="CH55" i="4" s="1"/>
  <c r="CH74" i="4" s="1"/>
  <c r="E24" i="117" l="1"/>
  <c r="C24" i="117" l="1"/>
  <c r="H12" i="107" l="1"/>
  <c r="I12" i="107" s="1"/>
  <c r="BL44" i="4" l="1"/>
  <c r="EA44" i="4" s="1"/>
  <c r="BG44" i="130"/>
  <c r="BH52" i="130"/>
  <c r="BH55" i="130" s="1"/>
  <c r="BH74" i="130" s="1"/>
  <c r="E44" i="130" l="1"/>
  <c r="DV44" i="130"/>
  <c r="BG52" i="130"/>
  <c r="BG55" i="130" s="1"/>
  <c r="BG74" i="130" s="1"/>
  <c r="J7" i="107"/>
  <c r="K7" i="107" s="1"/>
  <c r="G44" i="4"/>
  <c r="D157" i="131" l="1"/>
  <c r="E157" i="131" s="1"/>
  <c r="F157" i="131" s="1"/>
  <c r="G157" i="131" s="1"/>
  <c r="H157" i="131" s="1"/>
  <c r="I157" i="131" s="1"/>
  <c r="ED44" i="4"/>
  <c r="DW44" i="130"/>
  <c r="EB44" i="4"/>
  <c r="H161" i="73"/>
  <c r="I161" i="73" s="1"/>
  <c r="H13" i="107"/>
  <c r="H14" i="107" s="1"/>
  <c r="DX44" i="130"/>
  <c r="V24" i="85" l="1"/>
  <c r="W24" i="85" l="1"/>
  <c r="S15" i="94" l="1"/>
  <c r="U69" i="4"/>
  <c r="EE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H17" i="123" l="1"/>
  <c r="I17" i="123" s="1"/>
  <c r="AH24" i="4" l="1"/>
  <c r="AC24" i="130"/>
  <c r="E24" i="130" l="1"/>
  <c r="DV24" i="130"/>
  <c r="J17" i="123"/>
  <c r="K17" i="123" s="1"/>
  <c r="DW24" i="130" l="1"/>
  <c r="G48" i="4" l="1"/>
  <c r="ED48" i="4" s="1"/>
  <c r="N52" i="4"/>
  <c r="N55" i="4" s="1"/>
  <c r="N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H165" i="73"/>
  <c r="I165" i="73" s="1"/>
  <c r="EB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H213" i="73" l="1"/>
  <c r="E42" i="103"/>
  <c r="C7" i="114"/>
  <c r="C9" i="114" s="1"/>
  <c r="H117" i="73"/>
  <c r="I117" i="73" s="1"/>
  <c r="E44" i="139" l="1"/>
  <c r="F44" i="139" s="1"/>
  <c r="E53" i="140"/>
  <c r="J41" i="103"/>
  <c r="H118" i="73"/>
  <c r="E43" i="103"/>
  <c r="E45" i="139" l="1"/>
  <c r="E46" i="139"/>
  <c r="F53" i="140"/>
  <c r="E55" i="140"/>
  <c r="E54" i="140"/>
  <c r="G44" i="139"/>
  <c r="F46" i="139"/>
  <c r="F45" i="139"/>
  <c r="H42" i="103"/>
  <c r="H43" i="103"/>
  <c r="G53" i="140" l="1"/>
  <c r="F55" i="140"/>
  <c r="F54" i="140"/>
  <c r="H44" i="139"/>
  <c r="G46" i="139"/>
  <c r="G45" i="139"/>
  <c r="I42" i="103"/>
  <c r="I43" i="103"/>
  <c r="H53" i="140" l="1"/>
  <c r="G55" i="140"/>
  <c r="G54" i="140"/>
  <c r="I44" i="139"/>
  <c r="H45" i="139"/>
  <c r="H46" i="139"/>
  <c r="J43" i="103"/>
  <c r="J42" i="103"/>
  <c r="K41" i="103"/>
  <c r="I53" i="140" l="1"/>
  <c r="H54" i="140"/>
  <c r="H55" i="140"/>
  <c r="J44" i="139"/>
  <c r="I45" i="139"/>
  <c r="I46" i="139"/>
  <c r="K43" i="103"/>
  <c r="K42" i="103"/>
  <c r="L41" i="103"/>
  <c r="J53" i="140" l="1"/>
  <c r="I54" i="140"/>
  <c r="I55" i="140"/>
  <c r="K44" i="139"/>
  <c r="J45" i="139"/>
  <c r="J46" i="139"/>
  <c r="M41" i="103"/>
  <c r="L43" i="103"/>
  <c r="L42" i="103"/>
  <c r="K53" i="140" l="1"/>
  <c r="J54" i="140"/>
  <c r="J55" i="140"/>
  <c r="L44" i="139"/>
  <c r="K45" i="139"/>
  <c r="K46" i="139"/>
  <c r="N41" i="103"/>
  <c r="M42" i="103"/>
  <c r="M43" i="103"/>
  <c r="L53" i="140" l="1"/>
  <c r="K54" i="140"/>
  <c r="K55" i="140"/>
  <c r="M44" i="139"/>
  <c r="L45" i="139"/>
  <c r="L46" i="139"/>
  <c r="N42" i="103"/>
  <c r="N43" i="103"/>
  <c r="O41" i="103"/>
  <c r="M53" i="140" l="1"/>
  <c r="L54" i="140"/>
  <c r="L55" i="140"/>
  <c r="N44" i="139"/>
  <c r="M45" i="139"/>
  <c r="M46" i="139"/>
  <c r="P41" i="103"/>
  <c r="O42" i="103"/>
  <c r="O43" i="103"/>
  <c r="N53" i="140" l="1"/>
  <c r="M54" i="140"/>
  <c r="M55" i="140"/>
  <c r="O44" i="139"/>
  <c r="N45" i="139"/>
  <c r="N46" i="139"/>
  <c r="P42" i="103"/>
  <c r="Q41" i="103"/>
  <c r="P43" i="103"/>
  <c r="O53" i="140" l="1"/>
  <c r="N54" i="140"/>
  <c r="N55" i="140"/>
  <c r="P44" i="139"/>
  <c r="O45" i="139"/>
  <c r="O46" i="139"/>
  <c r="Q42" i="103"/>
  <c r="Q43" i="103"/>
  <c r="R41" i="103"/>
  <c r="P53" i="140" l="1"/>
  <c r="O54" i="140"/>
  <c r="O55" i="140"/>
  <c r="Q44" i="139"/>
  <c r="P45" i="139"/>
  <c r="P46" i="139"/>
  <c r="R42" i="103"/>
  <c r="R43" i="103"/>
  <c r="S41" i="103"/>
  <c r="Q53" i="140" l="1"/>
  <c r="P54" i="140"/>
  <c r="P55" i="140"/>
  <c r="R44" i="139"/>
  <c r="Q45" i="139"/>
  <c r="Q46" i="139"/>
  <c r="S42" i="103"/>
  <c r="S43" i="103"/>
  <c r="T41" i="103"/>
  <c r="R53" i="140" l="1"/>
  <c r="Q54" i="140"/>
  <c r="Q55" i="140"/>
  <c r="S44" i="139"/>
  <c r="R45" i="139"/>
  <c r="U41" i="103"/>
  <c r="T42" i="103"/>
  <c r="T43" i="103"/>
  <c r="S53" i="140" l="1"/>
  <c r="R54" i="140"/>
  <c r="T44" i="139"/>
  <c r="S45" i="139"/>
  <c r="V41" i="103"/>
  <c r="U42" i="103"/>
  <c r="U43" i="103"/>
  <c r="T53" i="140" l="1"/>
  <c r="S54" i="140"/>
  <c r="U44" i="139"/>
  <c r="U45" i="139" s="1"/>
  <c r="T45" i="139"/>
  <c r="V42" i="103"/>
  <c r="W41" i="103"/>
  <c r="V43" i="103"/>
  <c r="U53" i="140" l="1"/>
  <c r="U54" i="140" s="1"/>
  <c r="T54" i="140"/>
  <c r="W42" i="103"/>
  <c r="X41" i="103"/>
  <c r="Y41" i="103" l="1"/>
  <c r="X42" i="103"/>
  <c r="Z41" i="103" l="1"/>
  <c r="Z42" i="103" s="1"/>
  <c r="Y42" i="103"/>
  <c r="H92" i="72" l="1"/>
  <c r="I92" i="72" s="1"/>
  <c r="H25" i="72" l="1"/>
  <c r="I25" i="72" s="1"/>
  <c r="CF34" i="4" l="1"/>
  <c r="CA34" i="130"/>
  <c r="J139" i="87" l="1"/>
  <c r="K139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Z52" i="4" l="1"/>
  <c r="BZ55" i="4" s="1"/>
  <c r="BY35" i="4"/>
  <c r="BT35" i="130"/>
  <c r="BT52" i="130" s="1"/>
  <c r="BT55" i="130" s="1"/>
  <c r="BU52" i="130"/>
  <c r="BU55" i="130" s="1"/>
  <c r="J92" i="72" l="1"/>
  <c r="K92" i="72" s="1"/>
  <c r="BY52" i="4"/>
  <c r="BY55" i="4" s="1"/>
  <c r="AC35" i="130" l="1"/>
  <c r="AC52" i="130" s="1"/>
  <c r="AC55" i="130" s="1"/>
  <c r="AC74" i="130" s="1"/>
  <c r="AD52" i="130"/>
  <c r="AD55" i="130" s="1"/>
  <c r="AD74" i="130" s="1"/>
  <c r="CA35" i="130" l="1"/>
  <c r="AF52" i="4"/>
  <c r="AF55" i="4" s="1"/>
  <c r="AF74" i="4" s="1"/>
  <c r="AE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J25" i="72"/>
  <c r="K25" i="72" s="1"/>
  <c r="AE52" i="4"/>
  <c r="AE55" i="4" s="1"/>
  <c r="AE74" i="4" s="1"/>
  <c r="AF52" i="130" l="1"/>
  <c r="AF55" i="130" s="1"/>
  <c r="E35" i="130"/>
  <c r="DV35" i="130"/>
  <c r="DW35" i="130" l="1"/>
  <c r="AP69" i="130" l="1"/>
  <c r="AP74" i="130" s="1"/>
  <c r="AO58" i="130"/>
  <c r="AO69" i="130" s="1"/>
  <c r="AO74" i="130" s="1"/>
  <c r="L166" i="94" l="1"/>
  <c r="M166" i="94" s="1"/>
  <c r="BU58" i="4" l="1"/>
  <c r="BU69" i="4" s="1"/>
  <c r="BV69" i="4"/>
  <c r="BV74" i="4" s="1"/>
  <c r="BQ69" i="130"/>
  <c r="BQ74" i="130" s="1"/>
  <c r="BP58" i="130"/>
  <c r="BP69" i="130" s="1"/>
  <c r="BP74" i="130" s="1"/>
  <c r="AX59" i="130"/>
  <c r="AY69" i="130"/>
  <c r="AY74" i="130" s="1"/>
  <c r="BC59" i="4"/>
  <c r="BT59" i="130"/>
  <c r="BT69" i="130" s="1"/>
  <c r="BT74" i="130" s="1"/>
  <c r="BU69" i="130"/>
  <c r="BU74" i="130" s="1"/>
  <c r="S166" i="94" l="1"/>
  <c r="T166" i="94" s="1"/>
  <c r="BU74" i="4"/>
  <c r="AX69" i="130"/>
  <c r="AX74" i="130" s="1"/>
  <c r="CK59" i="130" l="1"/>
  <c r="CP59" i="4"/>
  <c r="CK69" i="130" l="1"/>
  <c r="CK74" i="130" s="1"/>
  <c r="E59" i="130"/>
  <c r="DV59" i="130"/>
  <c r="DW59" i="130" s="1"/>
  <c r="CJ58" i="4"/>
  <c r="CJ69" i="4" s="1"/>
  <c r="CK69" i="4"/>
  <c r="L262" i="94"/>
  <c r="M262" i="94" s="1"/>
  <c r="CE58" i="130"/>
  <c r="CE69" i="130" s="1"/>
  <c r="CE74" i="130" s="1"/>
  <c r="CF69" i="130"/>
  <c r="CF74" i="130" s="1"/>
  <c r="V49" i="85" l="1"/>
  <c r="W49" i="85" s="1"/>
  <c r="S262" i="94"/>
  <c r="T262" i="94" s="1"/>
  <c r="CB69" i="130"/>
  <c r="CA58" i="130"/>
  <c r="CA69" i="130" s="1"/>
  <c r="CF22" i="4" l="1"/>
  <c r="EA22" i="4" s="1"/>
  <c r="AK58" i="4"/>
  <c r="AL69" i="4"/>
  <c r="AF58" i="130"/>
  <c r="AG69" i="130"/>
  <c r="AG74" i="130" s="1"/>
  <c r="CA22" i="130" l="1"/>
  <c r="CB52" i="130"/>
  <c r="CB55" i="130" s="1"/>
  <c r="CB74" i="130" s="1"/>
  <c r="J114" i="105"/>
  <c r="K114" i="105" s="1"/>
  <c r="G22" i="4"/>
  <c r="ED22" i="4" s="1"/>
  <c r="AF69" i="130"/>
  <c r="AF74" i="130" s="1"/>
  <c r="E58" i="130"/>
  <c r="DV58" i="130"/>
  <c r="AK69" i="4"/>
  <c r="D135" i="131" l="1"/>
  <c r="H165" i="105"/>
  <c r="H166" i="105" s="1"/>
  <c r="H139" i="73"/>
  <c r="I139" i="73" s="1"/>
  <c r="EB22" i="4"/>
  <c r="CA52" i="130"/>
  <c r="CA55" i="130" s="1"/>
  <c r="CA74" i="130" s="1"/>
  <c r="DV22" i="130"/>
  <c r="E22" i="130"/>
  <c r="S64" i="94"/>
  <c r="T64" i="94" s="1"/>
  <c r="V36" i="85"/>
  <c r="W36" i="85" s="1"/>
  <c r="DW58" i="130"/>
  <c r="DW22" i="130" l="1"/>
  <c r="V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W21" i="85"/>
  <c r="F135" i="131"/>
  <c r="E69" i="130" l="1"/>
  <c r="E74" i="130" s="1"/>
  <c r="E75" i="130" s="1"/>
  <c r="G135" i="131"/>
  <c r="H135" i="131" l="1"/>
  <c r="I135" i="131" l="1"/>
  <c r="BD23" i="4" l="1"/>
  <c r="BD24" i="4"/>
  <c r="BC24" i="4" s="1"/>
  <c r="BD25" i="4"/>
  <c r="BC25" i="4" s="1"/>
  <c r="J38" i="125" l="1"/>
  <c r="K38" i="125" s="1"/>
  <c r="J29" i="123"/>
  <c r="K29" i="123" s="1"/>
  <c r="BC23" i="4"/>
  <c r="EA23" i="4" s="1"/>
  <c r="BD52" i="4"/>
  <c r="BD55" i="4" s="1"/>
  <c r="G23" i="4" l="1"/>
  <c r="ED23" i="4" s="1"/>
  <c r="BC52" i="4"/>
  <c r="BC55" i="4" s="1"/>
  <c r="D136" i="131" l="1"/>
  <c r="E136" i="131" s="1"/>
  <c r="DX23" i="130"/>
  <c r="H140" i="73"/>
  <c r="I140" i="73" s="1"/>
  <c r="EB23" i="4"/>
  <c r="F136" i="131" l="1"/>
  <c r="G136" i="131" l="1"/>
  <c r="H136" i="131" l="1"/>
  <c r="I136" i="131" l="1"/>
  <c r="L144" i="94" l="1"/>
  <c r="M144" i="94" s="1"/>
  <c r="L145" i="94" l="1"/>
  <c r="M145" i="94" s="1"/>
  <c r="BJ60" i="4"/>
  <c r="BI60" i="4" l="1"/>
  <c r="BJ69" i="4"/>
  <c r="BI69" i="4" l="1"/>
  <c r="S145" i="94" s="1"/>
  <c r="T145" i="94" s="1"/>
  <c r="BK38" i="4" l="1"/>
  <c r="EF38" i="4" s="1"/>
  <c r="H149" i="72"/>
  <c r="I149" i="72" s="1"/>
  <c r="H148" i="72"/>
  <c r="I148" i="72" s="1"/>
  <c r="L19" i="94"/>
  <c r="M19" i="94" s="1"/>
  <c r="L18" i="94"/>
  <c r="M18" i="94" s="1"/>
  <c r="L17" i="94"/>
  <c r="M17" i="94" s="1"/>
  <c r="L16" i="94"/>
  <c r="M16" i="94" s="1"/>
  <c r="H150" i="72" l="1"/>
  <c r="I150" i="72" s="1"/>
  <c r="U38" i="4"/>
  <c r="EE38" i="4" s="1"/>
  <c r="BK52" i="4"/>
  <c r="BK55" i="4" s="1"/>
  <c r="BK74" i="4" s="1"/>
  <c r="L20" i="94"/>
  <c r="M20" i="94" s="1"/>
  <c r="Y61" i="4" l="1"/>
  <c r="EA61" i="4" s="1"/>
  <c r="Y62" i="4"/>
  <c r="EA62" i="4" s="1"/>
  <c r="AD42" i="4"/>
  <c r="EA42" i="4" s="1"/>
  <c r="AD52" i="4" l="1"/>
  <c r="AD55" i="4" s="1"/>
  <c r="AD74" i="4" s="1"/>
  <c r="G42" i="4"/>
  <c r="ED42" i="4" s="1"/>
  <c r="G62" i="4"/>
  <c r="ED62" i="4" s="1"/>
  <c r="G61" i="4"/>
  <c r="ED61" i="4" s="1"/>
  <c r="Y69" i="4"/>
  <c r="EB42" i="4" l="1"/>
  <c r="D155" i="131"/>
  <c r="DX42" i="130"/>
  <c r="H159" i="73"/>
  <c r="I159" i="73" s="1"/>
  <c r="D173" i="131"/>
  <c r="H177" i="73"/>
  <c r="I177" i="73" s="1"/>
  <c r="DX62" i="130"/>
  <c r="EB62" i="4"/>
  <c r="S20" i="94"/>
  <c r="T20" i="94" s="1"/>
  <c r="Y74" i="4"/>
  <c r="D172" i="131"/>
  <c r="H176" i="73"/>
  <c r="I176" i="73" s="1"/>
  <c r="DX61" i="130"/>
  <c r="EB61" i="4"/>
  <c r="E155" i="131" l="1"/>
  <c r="BJ38" i="4"/>
  <c r="BJ35" i="4"/>
  <c r="BI35" i="4" s="1"/>
  <c r="J150" i="72" l="1"/>
  <c r="K150" i="72" s="1"/>
  <c r="BJ52" i="4"/>
  <c r="BJ55" i="4" s="1"/>
  <c r="BJ74" i="4" s="1"/>
  <c r="BI38" i="4"/>
  <c r="EA38" i="4" s="1"/>
  <c r="F155" i="131"/>
  <c r="BI52" i="4" l="1"/>
  <c r="BI55" i="4" s="1"/>
  <c r="BI74" i="4" s="1"/>
  <c r="G38" i="4"/>
  <c r="ED38" i="4" s="1"/>
  <c r="G155" i="131"/>
  <c r="EB38" i="4" l="1"/>
  <c r="D151" i="131"/>
  <c r="DX38" i="130"/>
  <c r="H155" i="73"/>
  <c r="I155" i="73" s="1"/>
  <c r="H155" i="131"/>
  <c r="E151" i="131" l="1"/>
  <c r="I155" i="131"/>
  <c r="F151" i="131" l="1"/>
  <c r="G151" i="131" l="1"/>
  <c r="H151" i="131" l="1"/>
  <c r="I151" i="131" l="1"/>
  <c r="H24" i="123" l="1"/>
  <c r="I24" i="123" s="1"/>
  <c r="H26" i="123" l="1"/>
  <c r="I26" i="123" s="1"/>
  <c r="H36" i="123" l="1"/>
  <c r="I36" i="123" s="1"/>
  <c r="AN24" i="4" l="1"/>
  <c r="EA24" i="4" s="1"/>
  <c r="J26" i="123" l="1"/>
  <c r="K26" i="123" s="1"/>
  <c r="AN52" i="4"/>
  <c r="AN55" i="4" s="1"/>
  <c r="AN74" i="4" s="1"/>
  <c r="G24" i="4"/>
  <c r="ED24" i="4" s="1"/>
  <c r="EB24" i="4" l="1"/>
  <c r="H141" i="73"/>
  <c r="I141" i="73" s="1"/>
  <c r="H37" i="123"/>
  <c r="H38" i="123" s="1"/>
  <c r="DX24" i="130"/>
  <c r="D137" i="131"/>
  <c r="E137" i="131" s="1"/>
  <c r="F137" i="131" l="1"/>
  <c r="G137" i="131" l="1"/>
  <c r="H137" i="131" l="1"/>
  <c r="I137" i="131" l="1"/>
  <c r="L90" i="94" l="1"/>
  <c r="M90" i="94" s="1"/>
  <c r="L64" i="4" l="1"/>
  <c r="EA64" i="4" l="1"/>
  <c r="G64" i="4"/>
  <c r="ED64" i="4" s="1"/>
  <c r="D175" i="131" l="1"/>
  <c r="H179" i="73"/>
  <c r="I179" i="73" s="1"/>
  <c r="DX64" i="130"/>
  <c r="EB64" i="4"/>
  <c r="M139" i="94" l="1"/>
  <c r="BF58" i="4" l="1"/>
  <c r="BG69" i="4"/>
  <c r="BG74" i="4" s="1"/>
  <c r="L141" i="94"/>
  <c r="M141" i="94" s="1"/>
  <c r="BF69" i="4" l="1"/>
  <c r="BF74" i="4" l="1"/>
  <c r="S141" i="94"/>
  <c r="T141" i="94" s="1"/>
  <c r="M15" i="94" l="1"/>
  <c r="I9" i="75"/>
  <c r="E9" i="75" l="1"/>
  <c r="I7" i="75"/>
  <c r="I5" i="75" s="1"/>
  <c r="I34" i="75" s="1"/>
  <c r="I135" i="75" s="1"/>
  <c r="T15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L86" i="94" l="1"/>
  <c r="M86" i="94" s="1"/>
  <c r="L66" i="4" l="1"/>
  <c r="EA66" i="4" l="1"/>
  <c r="G66" i="4"/>
  <c r="D177" i="131" l="1"/>
  <c r="ED66" i="4"/>
  <c r="H181" i="73"/>
  <c r="I181" i="73" s="1"/>
  <c r="V29" i="85"/>
  <c r="DX66" i="130"/>
  <c r="EB66" i="4"/>
  <c r="W29" i="85" l="1"/>
  <c r="V31" i="85"/>
  <c r="L38" i="94" l="1"/>
  <c r="M38" i="94" s="1"/>
  <c r="AB58" i="4"/>
  <c r="L39" i="94" l="1"/>
  <c r="M39" i="94" s="1"/>
  <c r="AB69" i="4"/>
  <c r="L235" i="94"/>
  <c r="M235" i="94" s="1"/>
  <c r="S39" i="94" l="1"/>
  <c r="T39" i="94" s="1"/>
  <c r="AB74" i="4"/>
  <c r="CG60" i="4" l="1"/>
  <c r="H39" i="72"/>
  <c r="I39" i="72" s="1"/>
  <c r="H42" i="72" l="1"/>
  <c r="I42" i="72" s="1"/>
  <c r="CF60" i="4"/>
  <c r="EA60" i="4" l="1"/>
  <c r="G60" i="4"/>
  <c r="H78" i="72"/>
  <c r="I78" i="72" s="1"/>
  <c r="H79" i="72"/>
  <c r="I79" i="72" s="1"/>
  <c r="EB60" i="4" l="1"/>
  <c r="ED60" i="4"/>
  <c r="D171" i="131"/>
  <c r="DX60" i="130"/>
  <c r="H175" i="73"/>
  <c r="I175" i="73" s="1"/>
  <c r="H83" i="72"/>
  <c r="I83" i="72" s="1"/>
  <c r="H27" i="72" l="1"/>
  <c r="I27" i="72" s="1"/>
  <c r="H30" i="72"/>
  <c r="I30" i="72" s="1"/>
  <c r="H31" i="72" l="1"/>
  <c r="I31" i="72" s="1"/>
  <c r="H22" i="106" l="1"/>
  <c r="I22" i="106" s="1"/>
  <c r="H23" i="106" l="1"/>
  <c r="I23" i="106" s="1"/>
  <c r="AU30" i="4"/>
  <c r="H59" i="106" l="1"/>
  <c r="I59" i="106" s="1"/>
  <c r="AT30" i="4"/>
  <c r="J23" i="106" l="1"/>
  <c r="K23" i="106" s="1"/>
  <c r="EA30" i="4"/>
  <c r="G30" i="4"/>
  <c r="ED30" i="4" l="1"/>
  <c r="D143" i="131"/>
  <c r="E143" i="131" s="1"/>
  <c r="F143" i="131" s="1"/>
  <c r="G143" i="131" s="1"/>
  <c r="H143" i="131" s="1"/>
  <c r="I143" i="131" s="1"/>
  <c r="H60" i="106"/>
  <c r="H61" i="106" s="1"/>
  <c r="H147" i="73"/>
  <c r="I147" i="73" s="1"/>
  <c r="DX30" i="130"/>
  <c r="EB30" i="4"/>
  <c r="H135" i="72"/>
  <c r="I135" i="72" s="1"/>
  <c r="H45" i="125" l="1"/>
  <c r="I45" i="125" s="1"/>
  <c r="H48" i="125" l="1"/>
  <c r="I48" i="125" s="1"/>
  <c r="CD25" i="4"/>
  <c r="H66" i="125" l="1"/>
  <c r="I66" i="125" s="1"/>
  <c r="CC25" i="4"/>
  <c r="CD52" i="4"/>
  <c r="CD55" i="4" s="1"/>
  <c r="CD74" i="4" s="1"/>
  <c r="J48" i="125" l="1"/>
  <c r="K48" i="125" s="1"/>
  <c r="CC52" i="4"/>
  <c r="EA25" i="4"/>
  <c r="G25" i="4"/>
  <c r="ED25" i="4" l="1"/>
  <c r="D138" i="131"/>
  <c r="E138" i="131" s="1"/>
  <c r="F138" i="131" s="1"/>
  <c r="G138" i="131" s="1"/>
  <c r="H138" i="131" s="1"/>
  <c r="I138" i="131" s="1"/>
  <c r="H142" i="73"/>
  <c r="I142" i="73" s="1"/>
  <c r="H67" i="125"/>
  <c r="H68" i="125" s="1"/>
  <c r="DX25" i="130"/>
  <c r="CC55" i="4"/>
  <c r="CC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EB25" i="4"/>
  <c r="H142" i="72"/>
  <c r="I142" i="72" s="1"/>
  <c r="H134" i="72"/>
  <c r="I134" i="72" s="1"/>
  <c r="H130" i="72"/>
  <c r="I130" i="72" s="1"/>
  <c r="H142" i="87"/>
  <c r="I142" i="87" s="1"/>
  <c r="H85" i="72"/>
  <c r="I85" i="72" s="1"/>
  <c r="H72" i="72"/>
  <c r="I72" i="72" s="1"/>
  <c r="H58" i="72"/>
  <c r="I58" i="72" s="1"/>
  <c r="H57" i="72"/>
  <c r="I57" i="72" s="1"/>
  <c r="H86" i="87"/>
  <c r="I86" i="87" s="1"/>
  <c r="H49" i="72"/>
  <c r="I49" i="72" s="1"/>
  <c r="H87" i="72" l="1"/>
  <c r="I87" i="72" s="1"/>
  <c r="V22" i="85"/>
  <c r="W22" i="85" s="1"/>
  <c r="H50" i="72"/>
  <c r="I50" i="72" s="1"/>
  <c r="H137" i="72"/>
  <c r="I137" i="72" s="1"/>
  <c r="H145" i="72"/>
  <c r="I145" i="72" s="1"/>
  <c r="H133" i="72"/>
  <c r="I133" i="72" s="1"/>
  <c r="H143" i="87"/>
  <c r="I143" i="87" s="1"/>
  <c r="H91" i="87"/>
  <c r="H76" i="72"/>
  <c r="I76" i="72" s="1"/>
  <c r="H60" i="72"/>
  <c r="I60" i="72" s="1"/>
  <c r="I91" i="87" l="1"/>
  <c r="H210" i="87"/>
  <c r="I210" i="87" s="1"/>
  <c r="H159" i="72"/>
  <c r="I159" i="72" s="1"/>
  <c r="AV34" i="4"/>
  <c r="EF34" i="4" l="1"/>
  <c r="U34" i="4"/>
  <c r="AV35" i="4"/>
  <c r="U35" i="4" l="1"/>
  <c r="U75" i="4" s="1"/>
  <c r="U76" i="4" s="1"/>
  <c r="EF35" i="4"/>
  <c r="EF52" i="4" s="1"/>
  <c r="EF55" i="4" s="1"/>
  <c r="EF74" i="4" s="1"/>
  <c r="K19" i="117"/>
  <c r="AV52" i="4"/>
  <c r="AV55" i="4" s="1"/>
  <c r="AV74" i="4" s="1"/>
  <c r="EE34" i="4"/>
  <c r="U52" i="4" l="1"/>
  <c r="U55" i="4" s="1"/>
  <c r="U74" i="4" s="1"/>
  <c r="EE35" i="4"/>
  <c r="E19" i="117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U35" i="4" l="1"/>
  <c r="AT35" i="4" s="1"/>
  <c r="J60" i="72" s="1"/>
  <c r="K60" i="72" s="1"/>
  <c r="AU34" i="4"/>
  <c r="BM35" i="4"/>
  <c r="AI35" i="4"/>
  <c r="BL35" i="4" l="1"/>
  <c r="BM52" i="4"/>
  <c r="BM55" i="4" s="1"/>
  <c r="BM74" i="4" s="1"/>
  <c r="AT34" i="4"/>
  <c r="AU52" i="4"/>
  <c r="AU55" i="4" s="1"/>
  <c r="AO35" i="4"/>
  <c r="AH35" i="4"/>
  <c r="AI52" i="4"/>
  <c r="AI55" i="4" s="1"/>
  <c r="AI74" i="4" s="1"/>
  <c r="BP35" i="4"/>
  <c r="BS35" i="4"/>
  <c r="CG35" i="4"/>
  <c r="CK35" i="4"/>
  <c r="CJ35" i="4" s="1"/>
  <c r="J133" i="72" s="1"/>
  <c r="K133" i="72" s="1"/>
  <c r="CK34" i="4"/>
  <c r="CQ35" i="4"/>
  <c r="CV35" i="4" l="1"/>
  <c r="CP35" i="4"/>
  <c r="CQ52" i="4"/>
  <c r="CQ55" i="4" s="1"/>
  <c r="CK52" i="4"/>
  <c r="CK55" i="4" s="1"/>
  <c r="CK74" i="4" s="1"/>
  <c r="CJ34" i="4"/>
  <c r="CF35" i="4"/>
  <c r="CG52" i="4"/>
  <c r="CG55" i="4" s="1"/>
  <c r="BR35" i="4"/>
  <c r="BS52" i="4"/>
  <c r="BS55" i="4" s="1"/>
  <c r="BS74" i="4" s="1"/>
  <c r="BO35" i="4"/>
  <c r="BP52" i="4"/>
  <c r="BP55" i="4" s="1"/>
  <c r="BP74" i="4" s="1"/>
  <c r="J76" i="72"/>
  <c r="K76" i="72" s="1"/>
  <c r="BL52" i="4"/>
  <c r="BL55" i="4" s="1"/>
  <c r="BL74" i="4" s="1"/>
  <c r="J91" i="87"/>
  <c r="K91" i="87" s="1"/>
  <c r="AT52" i="4"/>
  <c r="AT55" i="4" s="1"/>
  <c r="J50" i="72"/>
  <c r="K50" i="72" s="1"/>
  <c r="AO52" i="4"/>
  <c r="AO55" i="4" s="1"/>
  <c r="AO74" i="4" s="1"/>
  <c r="J31" i="72"/>
  <c r="K31" i="72" s="1"/>
  <c r="AH52" i="4"/>
  <c r="AH55" i="4" s="1"/>
  <c r="AH74" i="4" s="1"/>
  <c r="J137" i="72" l="1"/>
  <c r="K137" i="72" s="1"/>
  <c r="J145" i="72"/>
  <c r="K145" i="72" s="1"/>
  <c r="CP52" i="4"/>
  <c r="CP55" i="4" s="1"/>
  <c r="J143" i="87"/>
  <c r="K143" i="87" s="1"/>
  <c r="CJ52" i="4"/>
  <c r="CJ55" i="4" s="1"/>
  <c r="CJ74" i="4" s="1"/>
  <c r="J129" i="72"/>
  <c r="K129" i="72" s="1"/>
  <c r="CF52" i="4"/>
  <c r="CF55" i="4" s="1"/>
  <c r="J83" i="72"/>
  <c r="K83" i="72" s="1"/>
  <c r="BR52" i="4"/>
  <c r="BR55" i="4" s="1"/>
  <c r="BR74" i="4" s="1"/>
  <c r="J87" i="72"/>
  <c r="K87" i="72" s="1"/>
  <c r="BO52" i="4"/>
  <c r="BO55" i="4" s="1"/>
  <c r="BO74" i="4" s="1"/>
  <c r="AL35" i="4"/>
  <c r="AL52" i="4" l="1"/>
  <c r="AL55" i="4" s="1"/>
  <c r="AL74" i="4" s="1"/>
  <c r="AK35" i="4"/>
  <c r="AK52" i="4" l="1"/>
  <c r="AK55" i="4" s="1"/>
  <c r="AK74" i="4" s="1"/>
  <c r="J42" i="72"/>
  <c r="K42" i="72" s="1"/>
  <c r="EA35" i="4"/>
  <c r="G35" i="4"/>
  <c r="ED35" i="4" l="1"/>
  <c r="H152" i="73"/>
  <c r="I152" i="73" s="1"/>
  <c r="D148" i="131"/>
  <c r="E148" i="131" s="1"/>
  <c r="F148" i="131" s="1"/>
  <c r="G148" i="131" s="1"/>
  <c r="H160" i="72"/>
  <c r="H161" i="72" s="1"/>
  <c r="DX35" i="130"/>
  <c r="EB35" i="4"/>
  <c r="H148" i="131" l="1"/>
  <c r="I148" i="131" l="1"/>
  <c r="EA51" i="4" l="1"/>
  <c r="J52" i="4"/>
  <c r="J55" i="4" s="1"/>
  <c r="J74" i="4" s="1"/>
  <c r="G51" i="4"/>
  <c r="EB51" i="4" l="1"/>
  <c r="ED51" i="4"/>
  <c r="H168" i="73"/>
  <c r="I168" i="73" s="1"/>
  <c r="D164" i="131"/>
  <c r="DX51" i="130"/>
  <c r="V25" i="85" l="1"/>
  <c r="E164" i="131"/>
  <c r="F164" i="131" l="1"/>
  <c r="W25" i="85"/>
  <c r="G164" i="131" l="1"/>
  <c r="H164" i="131" l="1"/>
  <c r="I164" i="131" l="1"/>
  <c r="I71" i="4" l="1"/>
  <c r="EA71" i="4" l="1"/>
  <c r="I72" i="4"/>
  <c r="G71" i="4"/>
  <c r="H53" i="4"/>
  <c r="EB71" i="4" l="1"/>
  <c r="D183" i="131"/>
  <c r="G72" i="4"/>
  <c r="H187" i="73"/>
  <c r="I187" i="73" s="1"/>
  <c r="ED71" i="4"/>
  <c r="ED72" i="4" s="1"/>
  <c r="H55" i="4"/>
  <c r="H74" i="4" s="1"/>
  <c r="EA53" i="4"/>
  <c r="G53" i="4"/>
  <c r="V28" i="85"/>
  <c r="W28" i="85" s="1"/>
  <c r="EA72" i="4"/>
  <c r="I74" i="4"/>
  <c r="EB72" i="4" l="1"/>
  <c r="EB53" i="4"/>
  <c r="ED53" i="4"/>
  <c r="D165" i="131"/>
  <c r="DX53" i="130"/>
  <c r="H169" i="73"/>
  <c r="I169" i="73" s="1"/>
  <c r="V53" i="85"/>
  <c r="W53" i="85" s="1"/>
  <c r="H220" i="73"/>
  <c r="H199" i="73"/>
  <c r="D194" i="131"/>
  <c r="D214" i="131"/>
  <c r="H219" i="73" l="1"/>
  <c r="H218" i="73" s="1"/>
  <c r="H211" i="73" s="1"/>
  <c r="D213" i="131"/>
  <c r="D212" i="131" s="1"/>
  <c r="D221" i="131" l="1"/>
  <c r="D222" i="131"/>
  <c r="D205" i="131"/>
  <c r="H228" i="73"/>
  <c r="D220" i="131" l="1"/>
  <c r="W13" i="85" l="1"/>
  <c r="S27" i="85"/>
  <c r="S31" i="85" s="1"/>
  <c r="S52" i="85" s="1"/>
  <c r="S57" i="85" s="1"/>
  <c r="U57" i="85" l="1"/>
  <c r="S59" i="85"/>
  <c r="T5" i="85"/>
  <c r="T27" i="85" s="1"/>
  <c r="T31" i="85" s="1"/>
  <c r="T52" i="85" s="1"/>
  <c r="T57" i="85" s="1"/>
  <c r="T59" i="85" s="1"/>
  <c r="W17" i="85"/>
  <c r="AU58" i="4" l="1"/>
  <c r="L102" i="94"/>
  <c r="M102" i="94" s="1"/>
  <c r="L105" i="94" l="1"/>
  <c r="M105" i="94" s="1"/>
  <c r="AT58" i="4"/>
  <c r="AU69" i="4"/>
  <c r="AU74" i="4" s="1"/>
  <c r="AT69" i="4" l="1"/>
  <c r="V42" i="85" l="1"/>
  <c r="W42" i="85" s="1"/>
  <c r="S105" i="94"/>
  <c r="T105" i="94" s="1"/>
  <c r="AT74" i="4"/>
  <c r="L258" i="94" l="1"/>
  <c r="M258" i="94" s="1"/>
  <c r="CQ58" i="4" l="1"/>
  <c r="CQ69" i="4" l="1"/>
  <c r="CQ74" i="4" s="1"/>
  <c r="CP58" i="4"/>
  <c r="CP69" i="4" l="1"/>
  <c r="V48" i="85" l="1"/>
  <c r="W48" i="85" s="1"/>
  <c r="S258" i="94"/>
  <c r="T258" i="94" s="1"/>
  <c r="CP74" i="4"/>
  <c r="BZ58" i="4" l="1"/>
  <c r="BY58" i="4" l="1"/>
  <c r="BZ69" i="4"/>
  <c r="BZ74" i="4" s="1"/>
  <c r="L172" i="94"/>
  <c r="M172" i="94" s="1"/>
  <c r="BY69" i="4" l="1"/>
  <c r="S172" i="94" s="1"/>
  <c r="T172" i="94" s="1"/>
  <c r="T155" i="94"/>
  <c r="BY74" i="4" l="1"/>
  <c r="V45" i="85"/>
  <c r="W45" i="85" s="1"/>
  <c r="L58" i="4"/>
  <c r="L93" i="94"/>
  <c r="M93" i="94" s="1"/>
  <c r="L84" i="94" l="1"/>
  <c r="M84" i="94" s="1"/>
  <c r="L94" i="94" l="1"/>
  <c r="M94" i="94" s="1"/>
  <c r="L65" i="4" l="1"/>
  <c r="EA65" i="4" l="1"/>
  <c r="G65" i="4"/>
  <c r="V40" i="85"/>
  <c r="W40" i="85" s="1"/>
  <c r="S94" i="94"/>
  <c r="T94" i="94" s="1"/>
  <c r="EB65" i="4" l="1"/>
  <c r="D176" i="131"/>
  <c r="ED65" i="4"/>
  <c r="DX65" i="130"/>
  <c r="H180" i="73"/>
  <c r="I180" i="73" s="1"/>
  <c r="L228" i="94" l="1"/>
  <c r="M228" i="94" s="1"/>
  <c r="L229" i="94"/>
  <c r="M229" i="94" s="1"/>
  <c r="L215" i="94" l="1"/>
  <c r="M215" i="94" s="1"/>
  <c r="L216" i="94"/>
  <c r="M216" i="94" s="1"/>
  <c r="L226" i="94" l="1"/>
  <c r="M226" i="94" s="1"/>
  <c r="L225" i="94" l="1"/>
  <c r="M225" i="94" s="1"/>
  <c r="L223" i="94"/>
  <c r="M223" i="94" s="1"/>
  <c r="L224" i="94"/>
  <c r="M224" i="94" s="1"/>
  <c r="L125" i="94" l="1"/>
  <c r="M125" i="94" s="1"/>
  <c r="L124" i="94" l="1"/>
  <c r="M124" i="94" s="1"/>
  <c r="L222" i="94" l="1"/>
  <c r="M222" i="94" s="1"/>
  <c r="L221" i="94"/>
  <c r="M221" i="94" s="1"/>
  <c r="L198" i="94" l="1"/>
  <c r="M198" i="94" s="1"/>
  <c r="L196" i="94"/>
  <c r="M196" i="94" s="1"/>
  <c r="L194" i="94"/>
  <c r="M194" i="94" s="1"/>
  <c r="L195" i="94" l="1"/>
  <c r="M195" i="94" s="1"/>
  <c r="L193" i="94"/>
  <c r="M193" i="94" s="1"/>
  <c r="L197" i="94"/>
  <c r="M197" i="94" s="1"/>
  <c r="L106" i="94" l="1"/>
  <c r="M106" i="94" s="1"/>
  <c r="AX59" i="4"/>
  <c r="AW59" i="4" s="1"/>
  <c r="L107" i="94" l="1"/>
  <c r="M107" i="94" s="1"/>
  <c r="AX58" i="4"/>
  <c r="L112" i="94"/>
  <c r="M112" i="94" s="1"/>
  <c r="AW58" i="4" l="1"/>
  <c r="AW69" i="4" s="1"/>
  <c r="AX69" i="4"/>
  <c r="AX74" i="4" s="1"/>
  <c r="V43" i="85" l="1"/>
  <c r="W43" i="85" s="1"/>
  <c r="S112" i="94"/>
  <c r="T112" i="94" s="1"/>
  <c r="AW74" i="4"/>
  <c r="L219" i="94"/>
  <c r="M219" i="94" s="1"/>
  <c r="L220" i="94"/>
  <c r="M220" i="94" s="1"/>
  <c r="L214" i="94" l="1"/>
  <c r="M214" i="94" s="1"/>
  <c r="L218" i="94"/>
  <c r="M218" i="94" s="1"/>
  <c r="L213" i="94"/>
  <c r="M213" i="94" s="1"/>
  <c r="L217" i="94"/>
  <c r="M217" i="94" s="1"/>
  <c r="L211" i="94" l="1"/>
  <c r="M211" i="94" s="1"/>
  <c r="L212" i="94"/>
  <c r="M212" i="94" s="1"/>
  <c r="L209" i="94" l="1"/>
  <c r="M209" i="94" s="1"/>
  <c r="L210" i="94"/>
  <c r="M210" i="94" s="1"/>
  <c r="L207" i="94"/>
  <c r="M207" i="94" s="1"/>
  <c r="L208" i="94"/>
  <c r="M208" i="94" s="1"/>
  <c r="L128" i="94" l="1"/>
  <c r="M128" i="94" s="1"/>
  <c r="L136" i="94" l="1"/>
  <c r="M136" i="94" s="1"/>
  <c r="L205" i="94" l="1"/>
  <c r="M205" i="94" s="1"/>
  <c r="L206" i="94"/>
  <c r="M206" i="94" s="1"/>
  <c r="L180" i="94" l="1"/>
  <c r="M180" i="94" s="1"/>
  <c r="BD58" i="4"/>
  <c r="BC58" i="4" l="1"/>
  <c r="BD69" i="4"/>
  <c r="BD74" i="4" s="1"/>
  <c r="BC69" i="4" l="1"/>
  <c r="V44" i="85" l="1"/>
  <c r="W44" i="85" s="1"/>
  <c r="S136" i="94"/>
  <c r="T136" i="94" s="1"/>
  <c r="BC74" i="4"/>
  <c r="L203" i="94"/>
  <c r="M203" i="94" s="1"/>
  <c r="L204" i="94"/>
  <c r="M204" i="94" s="1"/>
  <c r="L201" i="94"/>
  <c r="M201" i="94" s="1"/>
  <c r="L202" i="94"/>
  <c r="M202" i="94" s="1"/>
  <c r="L200" i="94"/>
  <c r="M200" i="94" s="1"/>
  <c r="L192" i="94"/>
  <c r="M192" i="94" s="1"/>
  <c r="L189" i="94"/>
  <c r="M189" i="94" s="1"/>
  <c r="L190" i="94"/>
  <c r="M190" i="94" s="1"/>
  <c r="L191" i="94" l="1"/>
  <c r="M191" i="94" s="1"/>
  <c r="L199" i="94"/>
  <c r="M199" i="94" s="1"/>
  <c r="L179" i="94" l="1"/>
  <c r="M179" i="94" s="1"/>
  <c r="L178" i="94" l="1"/>
  <c r="M178" i="94" s="1"/>
  <c r="L186" i="94" l="1"/>
  <c r="M186" i="94" s="1"/>
  <c r="L187" i="94"/>
  <c r="M187" i="94" s="1"/>
  <c r="L188" i="94"/>
  <c r="M188" i="94" s="1"/>
  <c r="L185" i="94"/>
  <c r="M185" i="94" s="1"/>
  <c r="L181" i="94" l="1"/>
  <c r="M181" i="94" s="1"/>
  <c r="L184" i="94" l="1"/>
  <c r="M184" i="94" s="1"/>
  <c r="L182" i="94" l="1"/>
  <c r="M182" i="94" s="1"/>
  <c r="CG59" i="4"/>
  <c r="CF59" i="4" s="1"/>
  <c r="L183" i="94"/>
  <c r="M183" i="94" s="1"/>
  <c r="CG58" i="4"/>
  <c r="CF58" i="4" l="1"/>
  <c r="CG69" i="4"/>
  <c r="CG74" i="4" s="1"/>
  <c r="L237" i="94"/>
  <c r="M237" i="94" s="1"/>
  <c r="L306" i="94" l="1"/>
  <c r="M306" i="94" s="1"/>
  <c r="CF69" i="4"/>
  <c r="G58" i="4"/>
  <c r="EA58" i="4"/>
  <c r="EB58" i="4" l="1"/>
  <c r="CF74" i="4"/>
  <c r="S237" i="94"/>
  <c r="T237" i="94" s="1"/>
  <c r="V46" i="85"/>
  <c r="W46" i="85" s="1"/>
  <c r="ED58" i="4"/>
  <c r="D169" i="131"/>
  <c r="H173" i="73"/>
  <c r="I173" i="73" s="1"/>
  <c r="DX58" i="130"/>
  <c r="CW34" i="4" l="1"/>
  <c r="CW59" i="4" l="1"/>
  <c r="CV34" i="4"/>
  <c r="CW52" i="4"/>
  <c r="CW55" i="4" s="1"/>
  <c r="CV59" i="4" l="1"/>
  <c r="CW69" i="4"/>
  <c r="CW74" i="4" s="1"/>
  <c r="J146" i="87"/>
  <c r="K146" i="87" s="1"/>
  <c r="G34" i="4"/>
  <c r="EA34" i="4"/>
  <c r="CV52" i="4"/>
  <c r="CV55" i="4" s="1"/>
  <c r="H151" i="73" l="1"/>
  <c r="DX34" i="130"/>
  <c r="H211" i="87"/>
  <c r="H212" i="87" s="1"/>
  <c r="ED34" i="4"/>
  <c r="ED52" i="4" s="1"/>
  <c r="ED55" i="4" s="1"/>
  <c r="D147" i="131"/>
  <c r="G52" i="4"/>
  <c r="G55" i="4" s="1"/>
  <c r="EB34" i="4"/>
  <c r="CV69" i="4"/>
  <c r="EA59" i="4"/>
  <c r="G59" i="4"/>
  <c r="L75" i="4" l="1"/>
  <c r="L67" i="4" s="1"/>
  <c r="L69" i="4" s="1"/>
  <c r="L74" i="4" s="1"/>
  <c r="D170" i="131"/>
  <c r="D167" i="131" s="1"/>
  <c r="D198" i="131" s="1"/>
  <c r="ED59" i="4"/>
  <c r="H174" i="73"/>
  <c r="DX59" i="130"/>
  <c r="L307" i="94"/>
  <c r="L308" i="94" s="1"/>
  <c r="EB59" i="4"/>
  <c r="I151" i="73"/>
  <c r="V23" i="85"/>
  <c r="H133" i="73"/>
  <c r="H195" i="73" s="1"/>
  <c r="E147" i="131"/>
  <c r="D129" i="131"/>
  <c r="S240" i="94"/>
  <c r="T240" i="94" s="1"/>
  <c r="V47" i="85"/>
  <c r="W47" i="85" s="1"/>
  <c r="CV74" i="4"/>
  <c r="G67" i="4" l="1"/>
  <c r="G69" i="4" s="1"/>
  <c r="G74" i="4" s="1"/>
  <c r="G75" i="4" s="1"/>
  <c r="EA67" i="4"/>
  <c r="D191" i="131"/>
  <c r="D192" i="131" s="1"/>
  <c r="D195" i="131" s="1"/>
  <c r="D199" i="131" s="1"/>
  <c r="D118" i="131"/>
  <c r="D217" i="131" s="1"/>
  <c r="D218" i="131" s="1"/>
  <c r="W23" i="85"/>
  <c r="V19" i="85"/>
  <c r="W19" i="85" s="1"/>
  <c r="I174" i="73"/>
  <c r="V33" i="85"/>
  <c r="W33" i="85" s="1"/>
  <c r="H171" i="73"/>
  <c r="I133" i="73"/>
  <c r="H122" i="73"/>
  <c r="H227" i="73" s="1"/>
  <c r="F147" i="131"/>
  <c r="E129" i="131"/>
  <c r="EB67" i="4" l="1"/>
  <c r="H226" i="73"/>
  <c r="DX67" i="130"/>
  <c r="ED67" i="4"/>
  <c r="ED69" i="4" s="1"/>
  <c r="ED74" i="4" s="1"/>
  <c r="D181" i="131"/>
  <c r="D180" i="131" s="1"/>
  <c r="D185" i="131" s="1"/>
  <c r="H185" i="73"/>
  <c r="I185" i="73" s="1"/>
  <c r="I122" i="73"/>
  <c r="C36" i="114"/>
  <c r="H223" i="73"/>
  <c r="H224" i="73" s="1"/>
  <c r="H197" i="73"/>
  <c r="H196" i="73"/>
  <c r="H200" i="73" s="1"/>
  <c r="E118" i="131"/>
  <c r="E191" i="131"/>
  <c r="E192" i="131" s="1"/>
  <c r="E195" i="131" s="1"/>
  <c r="E199" i="131" s="1"/>
  <c r="I171" i="73"/>
  <c r="H203" i="73"/>
  <c r="H205" i="73" s="1"/>
  <c r="C37" i="114"/>
  <c r="G147" i="131"/>
  <c r="F129" i="131"/>
  <c r="H184" i="73" l="1"/>
  <c r="C38" i="114" s="1"/>
  <c r="H204" i="73"/>
  <c r="H147" i="131"/>
  <c r="G129" i="131"/>
  <c r="E185" i="131"/>
  <c r="E187" i="131" s="1"/>
  <c r="E217" i="131"/>
  <c r="E218" i="131" s="1"/>
  <c r="F118" i="131"/>
  <c r="F191" i="131"/>
  <c r="F192" i="131" s="1"/>
  <c r="F195" i="131" s="1"/>
  <c r="F199" i="131" s="1"/>
  <c r="D187" i="131"/>
  <c r="D186" i="131"/>
  <c r="H189" i="73" l="1"/>
  <c r="I189" i="73" s="1"/>
  <c r="I184" i="73"/>
  <c r="G118" i="131"/>
  <c r="G191" i="131"/>
  <c r="G192" i="131" s="1"/>
  <c r="G195" i="131" s="1"/>
  <c r="G199" i="131" s="1"/>
  <c r="F185" i="131"/>
  <c r="F187" i="131" s="1"/>
  <c r="F217" i="131"/>
  <c r="F218" i="131" s="1"/>
  <c r="H191" i="73"/>
  <c r="I191" i="73" s="1"/>
  <c r="I147" i="131"/>
  <c r="I129" i="131" s="1"/>
  <c r="H129" i="131"/>
  <c r="H190" i="73" l="1"/>
  <c r="I190" i="73" s="1"/>
  <c r="I118" i="131"/>
  <c r="I191" i="131"/>
  <c r="I192" i="131" s="1"/>
  <c r="I195" i="131" s="1"/>
  <c r="I199" i="131" s="1"/>
  <c r="H191" i="131"/>
  <c r="H192" i="131" s="1"/>
  <c r="H195" i="131" s="1"/>
  <c r="H199" i="131" s="1"/>
  <c r="H118" i="131"/>
  <c r="G217" i="131"/>
  <c r="G218" i="131" s="1"/>
  <c r="G185" i="131"/>
  <c r="G187" i="131" s="1"/>
  <c r="H217" i="131" l="1"/>
  <c r="H218" i="131" s="1"/>
  <c r="H185" i="131"/>
  <c r="H187" i="131" s="1"/>
  <c r="I217" i="131"/>
  <c r="I218" i="131" s="1"/>
  <c r="I185" i="131"/>
  <c r="I187" i="131" s="1"/>
</calcChain>
</file>

<file path=xl/comments1.xml><?xml version="1.0" encoding="utf-8"?>
<comments xmlns="http://schemas.openxmlformats.org/spreadsheetml/2006/main">
  <authors>
    <author>Jitka Hájková</author>
  </authors>
  <commentList>
    <comment ref="I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<sst xmlns="http://schemas.openxmlformats.org/spreadsheetml/2006/main" count="8594" uniqueCount="2963">
  <si>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</si>
  <si>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</si>
  <si>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</si>
  <si>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</si>
  <si>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</si>
  <si>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</si>
  <si>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</si>
  <si>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</si>
  <si>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</si>
  <si>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</si>
  <si>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</si>
  <si>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</si>
  <si>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</si>
  <si>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</si>
  <si>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</si>
  <si>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</si>
  <si>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</si>
  <si>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</si>
  <si>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</si>
  <si>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</si>
  <si>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</si>
  <si>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</si>
  <si>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</si>
  <si>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</si>
  <si>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</si>
  <si>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</si>
  <si>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</si>
  <si>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</si>
  <si>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</si>
  <si>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</si>
  <si>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</si>
  <si>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</si>
  <si>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</si>
  <si>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</si>
  <si>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</si>
  <si>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</si>
  <si>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</si>
  <si>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</si>
  <si>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</si>
  <si>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</si>
  <si>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</si>
  <si>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</si>
  <si>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</si>
  <si>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</si>
  <si>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</si>
  <si>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</si>
  <si>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</si>
  <si>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</si>
  <si>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</si>
  <si>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</si>
  <si>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</si>
  <si>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</si>
  <si>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</si>
  <si>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</si>
  <si>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</si>
  <si>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</si>
  <si>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</si>
  <si>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</si>
  <si>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</si>
  <si>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</si>
  <si>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</si>
  <si>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</si>
  <si>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</si>
  <si>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</si>
  <si>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</si>
  <si>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</si>
  <si>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</si>
  <si>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</si>
  <si>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</si>
  <si>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</si>
  <si>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</si>
  <si>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</si>
  <si>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</si>
  <si>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</si>
  <si>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</si>
  <si>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</si>
  <si>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</si>
  <si>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</si>
  <si>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</si>
  <si>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</si>
  <si>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</si>
  <si>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</si>
  <si>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</si>
  <si>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</si>
  <si>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</si>
  <si>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</si>
  <si>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</si>
  <si>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</si>
  <si>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</si>
  <si>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</si>
  <si>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</si>
  <si>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</si>
  <si>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</si>
  <si>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</si>
  <si>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</si>
  <si>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</si>
  <si>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</si>
  <si>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</si>
  <si>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</si>
  <si>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</si>
  <si>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</si>
  <si>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</si>
  <si>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</si>
  <si>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</si>
  <si>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</si>
  <si>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</si>
  <si>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</si>
  <si>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</si>
  <si>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</si>
  <si>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</si>
  <si>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</si>
  <si>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</si>
  <si>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</si>
  <si>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</si>
  <si>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</si>
  <si>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</si>
  <si>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</si>
  <si>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</si>
  <si>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</si>
  <si>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</si>
  <si>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</si>
  <si>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</si>
  <si>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</si>
  <si>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</si>
  <si>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</si>
  <si>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</si>
  <si>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</si>
  <si>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</si>
  <si>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</si>
  <si>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</si>
  <si>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</si>
  <si>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</si>
  <si>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</si>
  <si>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</si>
  <si>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</si>
  <si>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</si>
  <si>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</si>
  <si>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</si>
  <si>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</si>
  <si>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</si>
  <si>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</si>
  <si>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</si>
  <si>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</si>
  <si>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</si>
  <si>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</si>
  <si>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</si>
  <si>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</si>
  <si>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</si>
  <si>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</si>
  <si>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</si>
  <si>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</si>
  <si>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</si>
  <si>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</si>
  <si>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</si>
  <si>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</si>
  <si>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</si>
  <si>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</si>
  <si>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</si>
  <si>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</si>
  <si>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</si>
  <si>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</si>
  <si>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</si>
  <si>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</si>
  <si>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</si>
  <si>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</si>
  <si>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</si>
  <si>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</si>
  <si>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</si>
  <si>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</si>
  <si>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</si>
  <si>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</si>
  <si>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</si>
  <si>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</si>
  <si>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</si>
  <si>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</si>
  <si>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</si>
  <si>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</si>
  <si>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</si>
  <si>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</si>
  <si>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</si>
  <si>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</si>
  <si>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</si>
  <si>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</si>
  <si>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</si>
  <si>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</si>
  <si>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</si>
  <si>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</si>
  <si>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</si>
  <si>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</si>
  <si>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</si>
  <si>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</si>
  <si>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</si>
  <si>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</si>
  <si>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</si>
  <si>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</si>
  <si>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</si>
  <si>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</si>
  <si>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</si>
  <si>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</si>
  <si>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</si>
  <si>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</si>
  <si>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</si>
  <si>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</si>
  <si>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</si>
  <si>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</si>
  <si>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</si>
  <si>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</si>
  <si>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</si>
  <si>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</si>
  <si>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</si>
  <si>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</si>
  <si>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</si>
  <si>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</si>
  <si>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</si>
  <si>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</si>
  <si>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</si>
  <si>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</si>
  <si>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</si>
  <si>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</si>
  <si>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</si>
  <si>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</si>
  <si>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</si>
  <si>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</si>
  <si>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</si>
  <si>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</si>
  <si>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</si>
  <si>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</si>
  <si>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</si>
  <si>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</si>
  <si>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</si>
  <si>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</si>
  <si>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</si>
  <si>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</si>
  <si>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</si>
  <si>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</si>
  <si>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</si>
  <si>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</si>
  <si>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</si>
  <si>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</si>
  <si>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</si>
  <si>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</si>
  <si>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</si>
  <si>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</si>
  <si>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</si>
  <si>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</si>
  <si>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</si>
  <si>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</si>
  <si>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</si>
  <si>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</si>
  <si>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</si>
  <si>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</si>
  <si>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</si>
  <si>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</si>
  <si>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</si>
  <si>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</si>
  <si>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</si>
  <si>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</si>
  <si>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</si>
  <si>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</si>
  <si>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</si>
  <si>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</si>
  <si>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</si>
  <si>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</si>
  <si>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</si>
  <si>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</si>
  <si>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</si>
  <si>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</si>
  <si>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</si>
  <si>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</si>
  <si>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</si>
  <si>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</si>
  <si>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</si>
  <si>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</si>
  <si>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</si>
  <si>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</si>
  <si>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</si>
  <si>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</si>
  <si>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</si>
  <si>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</si>
  <si>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</si>
  <si>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</si>
  <si>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</si>
  <si>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</si>
  <si>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</si>
  <si>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</si>
  <si>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</si>
  <si>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</si>
  <si>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</si>
  <si>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</si>
  <si>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</si>
  <si>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</si>
  <si>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</si>
  <si>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</si>
  <si>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</si>
  <si>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</si>
  <si>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</si>
  <si>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</si>
  <si>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</si>
  <si>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</si>
  <si>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</si>
  <si>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</si>
  <si>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</si>
  <si>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</si>
  <si>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</si>
  <si>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</si>
  <si>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</si>
  <si>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</si>
  <si>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</si>
  <si>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</si>
  <si>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</si>
  <si>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</si>
  <si>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</si>
  <si>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</si>
  <si>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</si>
  <si>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</si>
  <si>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</si>
  <si>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</si>
  <si>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</si>
  <si>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</si>
  <si>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</si>
  <si>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</si>
  <si>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</si>
  <si>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</si>
  <si>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</si>
  <si>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</si>
  <si>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</si>
  <si>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</si>
  <si>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</si>
  <si>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</si>
  <si>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</si>
  <si>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</si>
  <si>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</si>
  <si>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</si>
  <si>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</si>
  <si>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</si>
  <si>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</si>
  <si>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</si>
  <si>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</si>
  <si>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</si>
  <si>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</si>
  <si>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</si>
  <si>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</si>
  <si>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</si>
  <si>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</si>
  <si>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</si>
  <si>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</si>
  <si>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</si>
  <si>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</si>
  <si>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</si>
  <si>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</si>
  <si>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</si>
  <si>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</si>
  <si>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</si>
  <si>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</si>
  <si>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</si>
  <si>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</si>
  <si>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</si>
  <si>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</si>
  <si>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</si>
  <si>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</si>
  <si>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</si>
  <si>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</si>
  <si>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</si>
  <si>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</si>
  <si>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</si>
  <si>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</si>
  <si>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</si>
  <si>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</si>
  <si>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</si>
  <si>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</si>
  <si>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</si>
  <si>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</si>
  <si>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</si>
  <si>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</si>
  <si>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</si>
  <si>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</si>
  <si>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</si>
  <si>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</si>
  <si>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</si>
  <si>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</si>
  <si>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</si>
  <si>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</si>
  <si>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</si>
  <si>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</si>
  <si>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</si>
  <si>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</si>
  <si>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</si>
  <si>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</si>
  <si>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</si>
  <si>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</si>
  <si>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</si>
  <si>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</si>
  <si>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</si>
  <si>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</si>
  <si>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</si>
  <si>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</si>
  <si>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</si>
  <si>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</si>
  <si>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</si>
  <si>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</si>
  <si>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</si>
  <si>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</si>
  <si>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</si>
  <si>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</si>
  <si>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</si>
  <si>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</si>
  <si>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</si>
  <si>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</si>
  <si>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</si>
  <si>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</si>
  <si>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</si>
  <si>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</si>
  <si>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</si>
  <si>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</si>
  <si>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</si>
  <si>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</si>
  <si>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</si>
  <si>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</si>
  <si>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</si>
  <si>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</si>
  <si>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</si>
  <si>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</si>
  <si>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</si>
  <si>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</si>
  <si>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</si>
  <si>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</si>
  <si>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</si>
  <si>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</si>
  <si>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</si>
  <si>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</si>
  <si>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</si>
  <si>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</si>
  <si>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</si>
  <si>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</si>
  <si>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</si>
  <si>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</si>
  <si>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</si>
  <si>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</si>
  <si>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</si>
  <si>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</si>
  <si>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</si>
  <si>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</si>
  <si>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</si>
  <si>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</si>
  <si>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</si>
  <si>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</si>
  <si>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</si>
  <si>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</si>
  <si>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</si>
  <si>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</si>
  <si>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</si>
  <si>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</si>
  <si>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</si>
  <si>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</si>
  <si>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</si>
  <si>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</si>
  <si>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</si>
  <si>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</si>
  <si>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</si>
  <si>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</si>
  <si>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</si>
  <si>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</si>
  <si>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</si>
  <si>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</si>
  <si>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</si>
  <si>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</si>
  <si>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</si>
  <si>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</si>
  <si>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</si>
  <si>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</si>
  <si>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</si>
  <si>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</si>
  <si>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</si>
  <si>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</si>
  <si>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</si>
  <si>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</si>
  <si>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</si>
  <si>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</si>
  <si>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</si>
  <si>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</si>
  <si>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</si>
  <si>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</si>
  <si>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</si>
  <si>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</si>
  <si>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</si>
  <si>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</si>
  <si>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</si>
  <si>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</si>
  <si>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</si>
  <si>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</si>
  <si>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</si>
  <si>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</si>
  <si>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</si>
  <si>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</si>
  <si>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</si>
  <si>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</si>
  <si>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</si>
  <si>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</si>
  <si>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</si>
  <si>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</si>
  <si>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</si>
  <si>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</si>
  <si>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</si>
  <si>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</si>
  <si>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</si>
  <si>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</si>
  <si>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</si>
  <si>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</si>
  <si>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</si>
  <si>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</si>
  <si>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</si>
  <si>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</si>
  <si>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</si>
  <si>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</si>
  <si>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</si>
  <si>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</si>
  <si>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</si>
  <si>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</si>
  <si>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</si>
  <si>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</si>
  <si>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</si>
  <si>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</si>
  <si>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</si>
  <si>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</si>
  <si>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</si>
  <si>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</si>
  <si>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</si>
  <si>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</si>
  <si>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</si>
  <si>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</si>
  <si>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</si>
  <si>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</si>
  <si>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</si>
  <si>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</si>
  <si>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</si>
  <si>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</si>
  <si>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</si>
  <si>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</si>
  <si>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</si>
  <si>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</si>
  <si>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</si>
  <si>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</si>
  <si>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</si>
  <si>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</si>
  <si>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</si>
  <si>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</si>
  <si>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</si>
  <si>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</si>
  <si>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</si>
  <si>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</si>
  <si>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</si>
  <si>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</si>
  <si>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</si>
  <si>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</si>
  <si>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</si>
  <si>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</si>
  <si>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</si>
  <si>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</si>
  <si>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</si>
  <si>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</si>
  <si>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</si>
  <si>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</si>
  <si>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</si>
  <si>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</si>
  <si>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</si>
  <si>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</si>
  <si>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</si>
  <si>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</si>
  <si>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</si>
  <si>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</si>
  <si>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</si>
  <si>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</si>
  <si>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</si>
  <si>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</si>
  <si>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</si>
  <si>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</si>
  <si>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</si>
  <si>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</si>
  <si>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</si>
  <si>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</si>
  <si>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</si>
  <si>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</si>
  <si>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</si>
  <si>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</si>
  <si>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</si>
  <si>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</si>
  <si>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</si>
  <si>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</si>
  <si>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</si>
  <si>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</si>
  <si>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</si>
  <si>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</si>
  <si>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</si>
  <si>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</si>
  <si>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</si>
  <si>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</si>
  <si>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</si>
  <si>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</si>
  <si>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</si>
  <si>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</si>
  <si>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</si>
  <si>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</si>
  <si>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</si>
  <si>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</si>
  <si>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</si>
  <si>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</si>
  <si>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</si>
  <si>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</si>
  <si>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</si>
  <si>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</si>
  <si>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</si>
  <si>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</si>
  <si>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</si>
  <si>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</si>
  <si>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</si>
  <si>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</si>
  <si>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</si>
  <si>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</si>
  <si>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</si>
  <si>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</si>
  <si>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</si>
  <si>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</si>
  <si>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</si>
  <si>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</si>
  <si>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</si>
  <si>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</si>
  <si>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</si>
  <si>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</si>
  <si>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</si>
  <si>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</si>
  <si>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</si>
  <si>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</si>
  <si>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</si>
  <si>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</si>
  <si>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</si>
  <si>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</si>
  <si>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</si>
  <si>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</si>
  <si>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</si>
  <si>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</si>
  <si>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</si>
  <si>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</si>
  <si>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</si>
  <si>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</si>
  <si>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</si>
  <si>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</si>
  <si>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</si>
  <si>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</si>
  <si>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</si>
  <si>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</si>
  <si>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</si>
  <si>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</si>
  <si>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</si>
  <si>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</si>
  <si>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</si>
  <si>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</si>
  <si>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</si>
  <si>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</si>
  <si>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</si>
  <si>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</si>
  <si>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</si>
  <si>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</si>
  <si>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</si>
  <si>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</si>
  <si>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</si>
  <si>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</si>
  <si>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</si>
  <si>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</si>
  <si>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</si>
  <si>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</si>
  <si>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</si>
  <si>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</si>
  <si>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</si>
  <si>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</si>
  <si>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</si>
  <si>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</si>
  <si>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</si>
  <si>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</si>
  <si>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</si>
  <si>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</si>
  <si>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</si>
  <si>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</si>
  <si>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</si>
  <si>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</si>
  <si>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</si>
  <si>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</si>
  <si>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</si>
  <si>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</si>
  <si>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</si>
  <si>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</si>
  <si>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</si>
  <si>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</si>
  <si>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</si>
  <si>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</si>
  <si>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</si>
  <si>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</si>
  <si>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</si>
  <si>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</si>
  <si>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</si>
  <si>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</si>
  <si>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</si>
  <si>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</si>
  <si>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</si>
  <si>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</si>
  <si>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</si>
  <si>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</si>
  <si>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</si>
  <si>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</si>
  <si>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</si>
  <si>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</si>
  <si>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</si>
  <si>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</si>
  <si>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</si>
  <si>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</si>
  <si>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</si>
  <si>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</si>
  <si>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</si>
  <si>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</si>
  <si>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</si>
  <si>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</si>
  <si>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</si>
  <si>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</si>
  <si>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</si>
  <si>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</si>
  <si>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</si>
  <si>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</si>
  <si>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</si>
  <si>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</si>
  <si>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</si>
  <si>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</si>
  <si>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</si>
  <si>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</si>
  <si>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</si>
  <si>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</si>
  <si>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</si>
  <si>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</si>
  <si>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</si>
  <si>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</si>
  <si>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</si>
  <si>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</si>
  <si>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</si>
  <si>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</si>
  <si>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</si>
  <si>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</si>
  <si>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</si>
  <si>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</si>
  <si>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</si>
  <si>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</si>
  <si>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</si>
  <si>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</si>
  <si>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</si>
  <si>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</si>
  <si>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</si>
  <si>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</si>
  <si>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</si>
  <si>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</si>
  <si>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</si>
  <si>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</si>
  <si>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</si>
  <si>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</si>
  <si>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</si>
  <si>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</si>
  <si>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</si>
  <si>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</si>
  <si>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</si>
  <si>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</si>
  <si>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</si>
  <si>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</si>
  <si>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</si>
  <si>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</si>
  <si>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</si>
  <si>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</si>
  <si>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</si>
  <si>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</si>
  <si>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</si>
  <si>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</si>
  <si>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</si>
  <si>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</si>
  <si>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</si>
  <si>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</si>
  <si>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</si>
  <si>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</si>
  <si>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</si>
  <si>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</si>
  <si>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</si>
  <si>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</si>
  <si>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</si>
  <si>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</si>
  <si>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</si>
  <si>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</si>
  <si>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</si>
  <si>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</si>
  <si>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</si>
  <si>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</si>
  <si>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</si>
  <si>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</si>
  <si>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</si>
  <si>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</si>
  <si>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</si>
  <si>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</si>
  <si>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</si>
  <si>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</si>
  <si>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</si>
  <si>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</si>
  <si>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</si>
  <si>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</si>
  <si>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</si>
  <si>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</si>
  <si>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</si>
  <si>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</si>
  <si>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</si>
  <si>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</si>
  <si>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</si>
  <si>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</si>
  <si>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</si>
  <si>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</si>
  <si>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</si>
  <si>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</si>
  <si>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</si>
  <si>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</si>
  <si>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</si>
  <si>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</si>
  <si>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</si>
  <si>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</si>
  <si>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</si>
  <si>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</si>
  <si>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</si>
  <si>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</si>
  <si>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</si>
  <si>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</si>
  <si>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</si>
  <si>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</si>
  <si>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</si>
  <si>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</si>
  <si>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</si>
  <si>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</si>
  <si>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</si>
  <si>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</si>
  <si>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</si>
  <si>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</si>
  <si>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</si>
  <si>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</si>
  <si>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</si>
  <si>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</si>
  <si>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</si>
  <si>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</si>
  <si>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</si>
  <si>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</si>
  <si>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</si>
  <si>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</si>
  <si>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</si>
  <si>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</si>
  <si>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</si>
  <si>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</si>
  <si>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</si>
  <si>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</si>
  <si>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</si>
  <si>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</si>
  <si>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</si>
  <si>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</si>
  <si>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</si>
  <si>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</si>
  <si>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</si>
  <si>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</si>
  <si>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</si>
  <si>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</si>
  <si>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</si>
  <si>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</si>
  <si>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</si>
  <si>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</si>
  <si>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</si>
  <si>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</si>
  <si>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</si>
  <si>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</si>
  <si>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</si>
  <si>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</si>
  <si>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</si>
  <si>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</si>
  <si>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</si>
  <si>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</si>
  <si>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</si>
  <si>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</si>
  <si>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</si>
  <si>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</si>
  <si>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</si>
  <si>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</si>
  <si>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</si>
  <si>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</si>
  <si>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</si>
  <si>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</si>
  <si>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</si>
  <si>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</si>
  <si>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</si>
  <si>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</si>
  <si>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</si>
  <si>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</si>
  <si>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</si>
  <si>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</si>
  <si>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</si>
  <si>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</si>
  <si>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</si>
  <si>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</si>
  <si>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</si>
  <si>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</si>
  <si>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</si>
  <si>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</si>
  <si>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</si>
  <si>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</si>
  <si>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</si>
  <si>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</si>
  <si>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</si>
  <si>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</si>
  <si>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</si>
  <si>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</si>
  <si>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</si>
  <si>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</si>
  <si>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</si>
  <si>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</si>
  <si>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</si>
  <si>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</si>
  <si>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</si>
  <si>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</si>
  <si>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</si>
  <si>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</si>
  <si>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</si>
  <si>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</si>
  <si>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</si>
  <si>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</si>
  <si>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</si>
  <si>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</si>
  <si>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</si>
  <si>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</si>
  <si>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</si>
  <si>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</si>
  <si>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</si>
  <si>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</si>
  <si>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</si>
  <si>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</si>
  <si>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</si>
  <si>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</si>
  <si>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</si>
  <si>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</si>
  <si>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</si>
  <si>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</si>
  <si>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</si>
  <si>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</si>
  <si>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</si>
  <si>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</si>
  <si>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</si>
  <si>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</si>
  <si>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</si>
  <si>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</si>
  <si>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</si>
  <si>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</si>
  <si>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</si>
  <si>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</si>
  <si>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</si>
  <si>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</si>
  <si>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</si>
  <si>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</si>
  <si>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</si>
  <si>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</si>
  <si>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</si>
  <si>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</si>
  <si>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</si>
  <si>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</si>
  <si>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</si>
  <si>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</si>
  <si>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</si>
  <si>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</si>
  <si>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</si>
  <si>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</si>
  <si>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</si>
  <si>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</si>
  <si>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</si>
  <si>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</si>
  <si>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</si>
  <si>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</si>
  <si>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</si>
  <si>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</si>
  <si>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</si>
  <si>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</si>
  <si>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</si>
  <si>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</si>
  <si>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</si>
  <si>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</si>
  <si>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</si>
  <si>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</si>
  <si>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</si>
  <si>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</si>
  <si>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</si>
  <si>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</si>
  <si>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</si>
  <si>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</si>
  <si>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</si>
  <si>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</si>
  <si>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</si>
  <si>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</si>
  <si>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</si>
  <si>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</si>
  <si>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</si>
  <si>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</si>
  <si>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</si>
  <si>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</si>
  <si>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</si>
  <si>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</si>
  <si>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</si>
  <si>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</si>
  <si>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</si>
  <si>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</si>
  <si>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</si>
  <si>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</si>
  <si>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</si>
  <si>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</si>
  <si>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</si>
  <si>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</si>
  <si>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</si>
  <si>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</si>
  <si>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</si>
  <si>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</si>
  <si>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</si>
  <si>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</si>
  <si>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</si>
  <si>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</si>
  <si>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</si>
  <si>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</si>
  <si>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</si>
  <si>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</si>
  <si>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</si>
  <si>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</si>
  <si>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</si>
  <si>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</si>
  <si>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</si>
  <si>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</si>
  <si>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</si>
  <si>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</si>
  <si>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</si>
  <si>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</si>
  <si>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</si>
  <si>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</si>
  <si>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</si>
  <si>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</si>
  <si>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</si>
  <si>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</si>
  <si>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</si>
  <si>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</si>
  <si>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</si>
  <si>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</si>
  <si>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</si>
  <si>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</si>
  <si>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</si>
  <si>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</si>
  <si>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</si>
  <si>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</si>
  <si>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</si>
  <si>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</si>
  <si>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</si>
  <si>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</si>
  <si>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</si>
  <si>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</si>
  <si>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</si>
  <si>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</si>
  <si>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</si>
  <si>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</si>
  <si>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</si>
  <si>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</si>
  <si>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</si>
  <si>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</si>
  <si>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</si>
  <si>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</si>
  <si>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</si>
  <si>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</si>
  <si>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</si>
  <si>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</si>
  <si>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</si>
  <si>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</si>
  <si>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</si>
  <si>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</si>
  <si>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</si>
  <si>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</si>
  <si>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</si>
  <si>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</si>
  <si>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</si>
  <si>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</si>
  <si>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</si>
  <si>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</si>
  <si>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</si>
  <si>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</si>
  <si>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</si>
  <si>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</si>
  <si>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</si>
  <si>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</si>
  <si>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</si>
  <si>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</si>
  <si>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</si>
  <si>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</si>
  <si>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</si>
  <si>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</si>
  <si>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</si>
  <si>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</si>
  <si>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</si>
  <si>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</si>
  <si>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</si>
  <si>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</si>
  <si>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</si>
  <si>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</si>
  <si>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</si>
  <si>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</si>
  <si>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</si>
  <si>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</si>
  <si>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</si>
  <si>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</si>
  <si>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</si>
  <si>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</si>
  <si>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</si>
  <si>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</si>
  <si>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</si>
  <si>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</si>
  <si>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</si>
  <si>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</si>
  <si>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</si>
  <si>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</si>
  <si>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</si>
  <si>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</si>
  <si>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</si>
  <si>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</si>
  <si>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</si>
  <si>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</si>
  <si>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</si>
  <si>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</si>
  <si>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</si>
  <si>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</si>
  <si>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</si>
  <si>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</si>
  <si>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</si>
  <si>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</si>
  <si>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</si>
  <si>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</si>
  <si>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</si>
  <si>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</si>
  <si>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</si>
  <si>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</si>
  <si>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</si>
  <si>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</si>
  <si>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</si>
  <si>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</si>
  <si>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</si>
  <si>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</si>
  <si>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</si>
  <si>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</si>
  <si>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</si>
  <si>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</si>
  <si>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</si>
  <si>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</si>
  <si>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</si>
  <si>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</si>
  <si>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</si>
  <si>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</si>
  <si>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</si>
  <si>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</si>
  <si>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</si>
  <si>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</si>
  <si>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</si>
  <si>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</si>
  <si>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</si>
  <si>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</si>
  <si>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</si>
  <si>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</si>
  <si>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</si>
  <si>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</si>
  <si>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</si>
  <si>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</si>
  <si>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</si>
  <si>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</si>
  <si>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</si>
  <si>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</si>
  <si>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</si>
  <si>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</si>
  <si>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</si>
  <si>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</si>
  <si>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</si>
  <si>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</si>
  <si>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</si>
  <si>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</si>
  <si>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</si>
  <si>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</si>
  <si>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</si>
  <si>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</si>
  <si>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</si>
  <si>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</si>
  <si>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</si>
  <si>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</si>
  <si>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</si>
  <si>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</si>
  <si>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</si>
  <si>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</si>
  <si>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</si>
  <si>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</si>
  <si>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</si>
  <si>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</si>
  <si>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</si>
  <si>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</si>
  <si>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</si>
  <si>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</si>
  <si>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</si>
  <si>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</si>
  <si>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</si>
  <si>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</si>
  <si>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</si>
  <si>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</si>
  <si>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</si>
  <si>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</si>
  <si>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</si>
  <si>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</si>
  <si>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</si>
  <si>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</si>
  <si>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</si>
  <si>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</si>
  <si>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</si>
  <si>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</si>
  <si>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</si>
  <si>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</si>
  <si>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</si>
  <si>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</si>
  <si>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</si>
  <si>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</si>
  <si>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</si>
  <si>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</si>
  <si>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</si>
  <si>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</si>
  <si>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</si>
  <si>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</si>
  <si>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</si>
  <si>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</si>
  <si>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</si>
  <si>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</si>
  <si>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</si>
  <si>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</si>
  <si>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</si>
  <si>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</si>
  <si>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</si>
  <si>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</si>
  <si>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</si>
  <si>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</si>
  <si>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</si>
  <si>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</si>
  <si>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</si>
  <si>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</si>
  <si>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</si>
  <si>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</si>
  <si>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</si>
  <si>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</si>
  <si>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</si>
  <si>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</si>
  <si>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</si>
  <si>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</si>
  <si>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</si>
  <si>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</si>
  <si>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</si>
  <si>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</si>
  <si>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</si>
  <si>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</si>
  <si>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</si>
  <si>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</si>
  <si>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</si>
  <si>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</si>
  <si>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</si>
  <si>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</si>
  <si>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</si>
  <si>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</si>
  <si>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</si>
  <si>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</si>
  <si>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</si>
  <si>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</si>
  <si>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</si>
  <si>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</si>
  <si>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</si>
  <si>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</si>
  <si>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</si>
  <si>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</si>
  <si>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</si>
  <si>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</si>
  <si>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</si>
  <si>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</si>
  <si>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</si>
  <si>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</si>
  <si>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</si>
  <si>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</si>
  <si>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</si>
  <si>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</si>
  <si>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</si>
  <si>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</si>
  <si>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</si>
  <si>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</si>
  <si>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</si>
  <si>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</si>
  <si>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</si>
  <si>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</si>
  <si>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</si>
  <si>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</si>
  <si>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</si>
  <si>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</si>
  <si>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</si>
  <si>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</si>
  <si>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</si>
  <si>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</si>
  <si>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</si>
  <si>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</si>
  <si>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</si>
  <si>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</si>
  <si>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</si>
  <si>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</si>
  <si>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</si>
  <si>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</si>
  <si>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</si>
  <si>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</si>
  <si>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</si>
  <si>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</si>
  <si>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</si>
  <si>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</si>
  <si>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</si>
  <si>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</si>
  <si>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</si>
  <si>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</si>
  <si>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</si>
  <si>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</si>
  <si>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</si>
  <si>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</si>
  <si>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</si>
  <si>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</si>
  <si>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</si>
  <si>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</si>
  <si>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</si>
  <si>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</si>
  <si>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</si>
  <si>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</si>
  <si>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</si>
  <si>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</si>
  <si>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</si>
  <si>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</si>
  <si>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</si>
  <si>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</si>
  <si>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</si>
  <si>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</si>
  <si>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</si>
  <si>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</si>
  <si>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</si>
  <si>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</si>
  <si>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</si>
  <si>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</si>
  <si>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</si>
  <si>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</si>
  <si>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</si>
  <si>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</si>
  <si>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</si>
  <si>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</si>
  <si>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</si>
  <si>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</si>
  <si>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</si>
  <si>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</si>
  <si>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</si>
  <si>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</si>
  <si>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</si>
  <si>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</si>
  <si>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</si>
  <si>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</si>
  <si>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</si>
  <si>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</si>
  <si>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</si>
  <si>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</si>
  <si>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</si>
  <si>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</si>
  <si>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</si>
  <si>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</si>
  <si>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</si>
  <si>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</si>
  <si>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</si>
  <si>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</si>
  <si>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</si>
  <si>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</si>
  <si>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</si>
  <si>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</si>
  <si>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</si>
  <si>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</si>
  <si>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</si>
  <si>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</si>
  <si>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</si>
  <si>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</si>
  <si>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</si>
  <si>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</si>
  <si>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</si>
  <si>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</si>
  <si>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</si>
  <si>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</si>
  <si>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</si>
  <si>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</si>
  <si>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</si>
  <si>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</si>
  <si>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</si>
  <si>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</si>
  <si>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</si>
  <si>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</si>
  <si>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</si>
  <si>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</si>
  <si>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</si>
  <si>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</si>
  <si>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</si>
  <si>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</si>
  <si>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</si>
  <si>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</si>
  <si>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</si>
  <si>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</si>
  <si>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</si>
  <si>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</si>
  <si>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</si>
  <si>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</si>
  <si>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</si>
  <si>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</si>
  <si>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</si>
  <si>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</si>
  <si>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</si>
  <si>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</si>
  <si>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</si>
  <si>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</si>
  <si>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</si>
  <si>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</si>
  <si>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</si>
  <si>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</si>
  <si>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</si>
  <si>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</si>
  <si>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</si>
  <si>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</si>
  <si>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</si>
  <si>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</si>
  <si>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</si>
  <si>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</si>
  <si>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</si>
  <si>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</si>
  <si>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</si>
  <si>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</si>
  <si>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</si>
  <si>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</si>
  <si>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</si>
  <si>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</si>
  <si>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</si>
  <si>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</si>
  <si>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</si>
  <si>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</si>
  <si>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</si>
  <si>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</si>
  <si>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</si>
  <si>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</si>
  <si>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</si>
  <si>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</si>
  <si>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</si>
  <si>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</si>
  <si>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</si>
  <si>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</si>
  <si>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</si>
  <si>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</si>
  <si>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</si>
  <si>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</si>
  <si>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</si>
  <si>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</si>
  <si>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</si>
  <si>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</si>
  <si>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</si>
  <si>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</si>
  <si>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</si>
  <si>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</si>
  <si>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</si>
  <si>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</si>
  <si>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</si>
  <si>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</si>
  <si>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</si>
  <si>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</si>
  <si>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</si>
  <si>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</si>
  <si>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</si>
  <si>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</si>
  <si>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</si>
  <si>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</si>
  <si>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</si>
  <si>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</si>
  <si>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</si>
  <si>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</si>
  <si>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</si>
  <si>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</si>
  <si>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</si>
  <si>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</si>
  <si>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</si>
  <si>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</si>
  <si>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</si>
  <si>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</si>
  <si>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</si>
  <si>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</si>
  <si>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</si>
  <si>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</si>
  <si>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</si>
  <si>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</si>
  <si>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</si>
  <si>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</si>
  <si>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</si>
  <si>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</si>
  <si>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</si>
  <si>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</si>
  <si>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</si>
  <si>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</si>
  <si>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</si>
  <si>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</si>
  <si>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</si>
  <si>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</si>
  <si>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</si>
  <si>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</si>
  <si>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</si>
  <si>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</si>
  <si>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</si>
  <si>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</si>
  <si>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</si>
  <si>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</si>
  <si>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</si>
  <si>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</si>
  <si>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</si>
  <si>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</si>
  <si>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</si>
  <si>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</si>
  <si>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</si>
  <si>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</si>
  <si>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</si>
  <si>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</si>
  <si>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</si>
  <si>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</si>
  <si>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</si>
  <si>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</si>
  <si>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</si>
  <si>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</si>
  <si>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</si>
  <si>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</si>
  <si>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</si>
  <si>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</si>
  <si>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</si>
  <si>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</si>
  <si>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</si>
  <si>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</si>
  <si>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</si>
  <si>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</si>
  <si>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</si>
  <si>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</si>
  <si>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</si>
  <si>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</si>
  <si>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</si>
  <si>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</si>
  <si>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</si>
  <si>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</si>
  <si>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</si>
  <si>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</si>
  <si>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</si>
  <si>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</si>
  <si>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</si>
  <si>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</si>
  <si>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</si>
  <si>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</si>
  <si>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</si>
  <si>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</si>
  <si>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</si>
  <si>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</si>
  <si>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</si>
  <si>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</si>
  <si>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</si>
  <si>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</si>
  <si>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</si>
  <si>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</si>
  <si>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</si>
  <si>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</si>
  <si>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</si>
  <si>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</si>
  <si>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</si>
  <si>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</si>
  <si>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</si>
  <si>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</si>
  <si>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</si>
  <si>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</si>
  <si>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</si>
  <si>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</si>
  <si>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</si>
  <si>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</si>
  <si>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</si>
  <si>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</si>
  <si>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</si>
  <si>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</si>
  <si>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</si>
  <si>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</si>
  <si>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</si>
  <si>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</si>
  <si>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</si>
  <si>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</si>
  <si>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</si>
  <si>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</si>
  <si>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</si>
  <si>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</si>
  <si>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</si>
  <si>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</si>
  <si>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</si>
  <si>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</si>
  <si>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</si>
  <si>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</si>
  <si>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</si>
  <si>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</si>
  <si>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</si>
  <si>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</si>
  <si>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</si>
  <si>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</si>
  <si>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</si>
  <si>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</si>
  <si>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</si>
  <si>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</si>
  <si>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</si>
  <si>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</si>
  <si>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</si>
  <si>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</si>
  <si>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</si>
  <si>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</si>
  <si>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</si>
  <si>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</si>
  <si>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</si>
  <si>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</si>
  <si>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</si>
  <si>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</si>
  <si>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</si>
  <si>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</si>
  <si>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</si>
  <si>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</si>
  <si>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</si>
  <si>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</si>
  <si>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</si>
  <si>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</si>
  <si>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</si>
  <si>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</si>
  <si>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</si>
  <si>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</si>
  <si>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</si>
  <si>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</si>
  <si>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</si>
  <si>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</si>
  <si>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</si>
  <si>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</si>
  <si>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</si>
  <si>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</si>
  <si>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</si>
  <si>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</si>
  <si>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</si>
  <si>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</si>
  <si>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</si>
  <si>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</si>
  <si>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</si>
  <si>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</si>
  <si>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</si>
  <si>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</si>
  <si>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</si>
  <si>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</si>
  <si>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</si>
  <si>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</si>
  <si>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</si>
  <si>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</si>
  <si>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</si>
  <si>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</si>
  <si>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</si>
  <si>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</si>
  <si>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</si>
  <si>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</si>
  <si>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</si>
  <si>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</si>
  <si>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</si>
  <si>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</si>
  <si>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</si>
  <si>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</si>
  <si>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</si>
  <si>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</si>
  <si>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</si>
  <si>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</si>
  <si>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</si>
  <si>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</si>
  <si>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</si>
  <si>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</si>
  <si>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</si>
  <si>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</si>
  <si>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</si>
  <si>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</si>
  <si>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</si>
  <si>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</si>
  <si>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</si>
  <si>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</si>
  <si>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</si>
  <si>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</si>
  <si>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</si>
  <si>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</si>
  <si>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</si>
  <si>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</si>
  <si>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</si>
  <si>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</si>
  <si>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</si>
  <si>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</si>
  <si>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</si>
  <si>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</si>
  <si>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</si>
  <si>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</si>
  <si>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</si>
  <si>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</si>
  <si>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</si>
  <si>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</si>
  <si>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</si>
  <si>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</si>
  <si>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</si>
  <si>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</si>
  <si>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</si>
  <si>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</si>
  <si>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</si>
  <si>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</si>
  <si>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</si>
  <si>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</si>
  <si>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</si>
  <si>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</si>
  <si>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</si>
  <si>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</si>
  <si>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</si>
  <si>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</si>
  <si>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</si>
  <si>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</si>
  <si>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</si>
  <si>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</si>
  <si>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</si>
  <si>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</si>
  <si>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</si>
  <si>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</si>
  <si>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</si>
  <si>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</si>
  <si>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</si>
  <si>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</si>
  <si>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</si>
  <si>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</si>
  <si>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</si>
  <si>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</si>
  <si>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</si>
  <si>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</si>
  <si>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</si>
  <si>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</si>
  <si>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</si>
  <si>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</si>
  <si>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</si>
  <si>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</si>
  <si>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</si>
  <si>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</si>
  <si>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</si>
  <si>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</si>
  <si>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</si>
  <si>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</si>
  <si>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</si>
  <si>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</si>
  <si>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</si>
  <si>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</si>
  <si>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</si>
  <si>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</si>
  <si>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</si>
  <si>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</si>
  <si>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</si>
  <si>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</si>
  <si>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</si>
  <si>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</si>
  <si>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</si>
  <si>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</si>
  <si>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</si>
  <si>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</si>
  <si>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</si>
  <si>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</si>
  <si>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</si>
  <si>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</si>
  <si>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</si>
  <si>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</si>
  <si>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</si>
  <si>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</si>
  <si>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</si>
  <si>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</si>
  <si>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</si>
  <si>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</si>
  <si>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</si>
  <si>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</si>
  <si>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</si>
  <si>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</si>
  <si>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</si>
  <si>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</si>
  <si>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</si>
  <si>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</si>
  <si>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</si>
  <si>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</si>
  <si>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</si>
  <si>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</si>
  <si>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</si>
  <si>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</si>
  <si>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</si>
  <si>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</si>
  <si>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</si>
  <si>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</si>
  <si>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</si>
  <si>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</si>
  <si>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</si>
  <si>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</si>
  <si>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</si>
  <si>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</si>
  <si>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</si>
  <si>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</si>
  <si>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</si>
  <si>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</si>
  <si>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</si>
  <si>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</si>
  <si>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</si>
  <si>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</si>
  <si>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</si>
  <si>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</si>
  <si>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</si>
  <si>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</si>
  <si>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</si>
  <si>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</si>
  <si>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</si>
  <si>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</si>
  <si>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</si>
  <si>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</si>
  <si>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</si>
  <si>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</si>
  <si>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</si>
  <si>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</si>
  <si>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</si>
  <si>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</si>
  <si>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</si>
  <si>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</si>
  <si>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</si>
  <si>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</si>
  <si>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</si>
  <si>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</si>
  <si>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</si>
  <si>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</si>
  <si>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</si>
  <si>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</si>
  <si>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</si>
  <si>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</si>
  <si>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</si>
  <si>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</si>
  <si>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</si>
  <si>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</si>
  <si>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</si>
  <si>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</si>
  <si>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</si>
  <si>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</si>
  <si>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</si>
  <si>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</si>
  <si>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</si>
  <si>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</si>
  <si>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</si>
  <si>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</si>
  <si>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</si>
  <si>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</si>
  <si>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</si>
  <si>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</si>
  <si>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</si>
  <si>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</si>
  <si>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</si>
  <si>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</si>
  <si>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</si>
  <si>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</si>
  <si>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</si>
  <si>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</si>
  <si>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</si>
  <si>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</si>
  <si>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</si>
  <si>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</si>
  <si>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</si>
  <si>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</si>
  <si>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</si>
  <si>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</si>
  <si>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</si>
  <si>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</si>
  <si>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</si>
  <si>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</si>
  <si>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</si>
  <si>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</si>
  <si>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</si>
  <si>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</si>
  <si>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</si>
  <si>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</si>
  <si>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</si>
  <si>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</si>
  <si>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</si>
  <si>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</si>
  <si>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</si>
  <si>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</si>
  <si>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</si>
  <si>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</si>
  <si>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</si>
  <si>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</si>
  <si>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</si>
  <si>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</si>
  <si>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</si>
  <si>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</si>
  <si>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</si>
  <si>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</si>
  <si>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</si>
  <si>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</si>
  <si>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</si>
  <si>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</si>
  <si>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</si>
  <si>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</si>
  <si>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</si>
  <si>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</si>
  <si>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</si>
  <si>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</si>
  <si>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</si>
  <si>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</si>
  <si>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</si>
  <si>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</si>
  <si>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</si>
  <si>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</si>
  <si>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</si>
  <si>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</si>
  <si>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</si>
  <si>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</si>
  <si>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</si>
  <si>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</si>
  <si>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</si>
  <si>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</si>
  <si>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</si>
  <si>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</si>
  <si>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</si>
  <si>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</si>
  <si>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</si>
  <si>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</si>
  <si>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</si>
  <si>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</si>
  <si>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</si>
  <si>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</si>
  <si>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</si>
  <si>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</si>
  <si>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</si>
  <si>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</si>
  <si>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</si>
  <si>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</si>
  <si>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</si>
  <si>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</si>
  <si>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</si>
  <si>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</si>
  <si>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</si>
  <si>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</si>
  <si>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</si>
  <si>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</si>
  <si>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</si>
  <si>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</si>
  <si>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</si>
  <si>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</si>
  <si>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</si>
  <si>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</si>
  <si>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</si>
  <si>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</si>
  <si>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</si>
  <si>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</si>
  <si>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</si>
  <si>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</si>
  <si>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</si>
  <si>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</si>
  <si>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</si>
  <si>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</si>
  <si>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</si>
  <si>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</si>
  <si>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</si>
  <si>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</si>
  <si>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</si>
  <si>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</si>
  <si>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</si>
  <si>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</si>
  <si>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</si>
  <si>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</si>
  <si>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</si>
  <si>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</si>
  <si>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</si>
  <si>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</si>
  <si>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</si>
  <si>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</si>
  <si>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</si>
  <si>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</si>
  <si>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</si>
  <si>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</si>
  <si>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</si>
  <si>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</si>
  <si>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</si>
  <si>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</si>
  <si>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</si>
  <si>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</si>
  <si>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</si>
  <si>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</si>
  <si>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</si>
  <si>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</si>
  <si>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</si>
  <si>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</si>
  <si>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</si>
  <si>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</si>
  <si>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</si>
  <si>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</si>
  <si>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</si>
  <si>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</si>
  <si>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</si>
  <si>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</si>
  <si>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</si>
  <si>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</si>
  <si>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</si>
  <si>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</si>
  <si>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</si>
  <si>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</si>
  <si>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</si>
  <si>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</si>
  <si>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</si>
  <si>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</si>
  <si>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</si>
  <si>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</si>
  <si>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</si>
  <si>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</si>
  <si>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</si>
  <si>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</si>
  <si>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</si>
  <si>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</si>
  <si>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</si>
  <si>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</si>
  <si>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</si>
  <si>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</si>
  <si>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</si>
  <si>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</si>
  <si>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</si>
  <si>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</si>
  <si>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</si>
  <si>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</si>
  <si>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</si>
  <si>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</si>
  <si>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</si>
  <si>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</si>
  <si>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</si>
  <si>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</si>
  <si>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</si>
  <si>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</si>
  <si>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</si>
  <si>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</si>
  <si>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</si>
  <si>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</si>
  <si>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</si>
  <si>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</si>
  <si>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</si>
  <si>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</si>
  <si>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</si>
  <si>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</si>
  <si>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</si>
  <si>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</si>
  <si>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</si>
  <si>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</si>
  <si>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</si>
  <si>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</si>
  <si>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</si>
  <si>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</si>
  <si>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</si>
  <si>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</si>
  <si>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</si>
  <si>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</si>
  <si>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</si>
  <si>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</si>
  <si>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</si>
  <si>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</si>
  <si>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</si>
  <si>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</si>
  <si>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</si>
  <si>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</si>
  <si>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</si>
  <si>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</si>
  <si>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</si>
  <si>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</si>
  <si>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</si>
  <si>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</si>
  <si>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</si>
  <si>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</si>
  <si>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</si>
  <si>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</si>
  <si>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</si>
  <si>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</si>
  <si>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</si>
  <si>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</si>
  <si>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</si>
  <si>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</si>
  <si>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</si>
  <si>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</si>
  <si>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</si>
  <si>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</si>
  <si>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</si>
  <si>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</si>
  <si>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</si>
  <si>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</si>
  <si>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</si>
  <si>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</si>
  <si>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</si>
  <si>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</si>
  <si>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</si>
  <si>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</si>
  <si>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</si>
  <si>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</si>
  <si>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</si>
  <si>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</si>
  <si>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</si>
  <si>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</si>
  <si>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</si>
  <si>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</si>
  <si>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</si>
  <si>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</si>
  <si>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</si>
  <si>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</si>
  <si>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</si>
  <si>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</si>
  <si>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</si>
  <si>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</si>
  <si>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</si>
  <si>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</si>
  <si>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</si>
  <si>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</si>
  <si>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</si>
  <si>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</si>
  <si>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</si>
  <si>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</si>
  <si>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</si>
  <si>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</si>
  <si>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</si>
  <si>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</si>
  <si>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</si>
  <si>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</si>
  <si>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</si>
  <si>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</si>
  <si>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neiveestiční příspěvky KÚ UK</t>
  </si>
  <si>
    <t>volby 98008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</si>
  <si>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</si>
  <si>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</si>
  <si>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</si>
  <si>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</si>
  <si>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</si>
  <si>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</si>
  <si>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</si>
  <si>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</si>
  <si>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</si>
  <si>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</si>
  <si>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</si>
  <si>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</si>
  <si>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</si>
  <si>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</si>
  <si>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</si>
  <si>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</si>
  <si>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</si>
  <si>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</si>
  <si>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</si>
  <si>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</si>
  <si>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</si>
  <si>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</si>
  <si>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</si>
  <si>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</si>
  <si>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</si>
  <si>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</si>
  <si>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</si>
  <si>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</si>
  <si>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</si>
  <si>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</si>
  <si>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</si>
  <si>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</si>
  <si>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</si>
  <si>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</si>
  <si>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</si>
  <si>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</si>
  <si>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</si>
  <si>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</si>
  <si>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</si>
  <si>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</si>
  <si>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</si>
  <si>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</si>
  <si>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</si>
  <si>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</si>
  <si>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</si>
  <si>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</si>
  <si>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</si>
  <si>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</si>
  <si>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</si>
  <si>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</si>
  <si>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</si>
  <si>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</si>
  <si>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</si>
  <si>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</si>
  <si>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</si>
  <si>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</si>
  <si>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</si>
  <si>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</si>
  <si>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</si>
  <si>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</si>
  <si>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</si>
  <si>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</si>
  <si>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</si>
  <si>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</si>
  <si>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</si>
  <si>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</si>
  <si>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</si>
  <si>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</si>
  <si>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</si>
  <si>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</si>
  <si>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</si>
  <si>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</si>
  <si>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</si>
  <si>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</si>
  <si>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</si>
  <si>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</si>
  <si>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</si>
  <si>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</si>
  <si>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</si>
  <si>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</si>
  <si>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</si>
  <si>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</si>
  <si>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</si>
  <si>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</si>
  <si>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</si>
  <si>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</si>
  <si>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</si>
  <si>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</si>
  <si>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</si>
  <si>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</si>
  <si>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</si>
  <si>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</si>
  <si>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</si>
  <si>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</si>
  <si>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</si>
  <si>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</si>
  <si>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</si>
  <si>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</si>
  <si>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</si>
  <si>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</si>
  <si>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</si>
  <si>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</si>
  <si>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</si>
  <si>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</si>
  <si>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</si>
  <si>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</si>
  <si>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</si>
  <si>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</si>
  <si>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</si>
  <si>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</si>
  <si>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</si>
  <si>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</si>
  <si>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</si>
  <si>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</si>
  <si>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</si>
  <si>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</si>
  <si>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</si>
  <si>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</si>
  <si>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</si>
  <si>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</si>
  <si>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</si>
  <si>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</si>
  <si>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</si>
  <si>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</si>
  <si>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</si>
  <si>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</si>
  <si>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</si>
  <si>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</si>
  <si>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</si>
  <si>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</si>
  <si>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</si>
  <si>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</si>
  <si>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</si>
  <si>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</si>
  <si>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</si>
  <si>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</si>
  <si>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</si>
  <si>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</si>
  <si>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</si>
  <si>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</si>
  <si>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</si>
  <si>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</si>
  <si>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</si>
  <si>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</si>
  <si>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</si>
  <si>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</si>
  <si>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</si>
  <si>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</si>
  <si>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</si>
  <si>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</si>
  <si>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</si>
  <si>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</si>
  <si>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</si>
  <si>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</si>
  <si>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</si>
  <si>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</si>
  <si>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</si>
  <si>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</si>
  <si>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</si>
  <si>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</si>
  <si>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</si>
  <si>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</si>
  <si>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</si>
  <si>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</si>
  <si>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</si>
  <si>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</si>
  <si>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</si>
  <si>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</si>
  <si>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</si>
  <si>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</si>
  <si>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</si>
  <si>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</si>
  <si>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</si>
  <si>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</si>
  <si>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</si>
  <si>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</si>
  <si>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</si>
  <si>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</si>
  <si>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</si>
  <si>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</si>
  <si>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</si>
  <si>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</si>
  <si>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</si>
  <si>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</si>
  <si>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</si>
  <si>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</si>
  <si>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</si>
  <si>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</si>
  <si>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</si>
  <si>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</si>
  <si>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</si>
  <si>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</si>
  <si>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</si>
  <si>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</si>
  <si>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</si>
  <si>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</si>
  <si>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</si>
  <si>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</si>
  <si>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</si>
  <si>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</si>
  <si>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</si>
  <si>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</si>
  <si>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</si>
  <si>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</si>
  <si>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</si>
  <si>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</si>
  <si>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</si>
  <si>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</si>
  <si>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</si>
  <si>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</si>
  <si>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</si>
  <si>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</si>
  <si>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</si>
  <si>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</si>
  <si>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</si>
  <si>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</si>
  <si>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</si>
  <si>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</si>
  <si>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</si>
  <si>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</si>
  <si>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</si>
  <si>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</si>
  <si>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</si>
  <si>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</si>
  <si>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</si>
  <si>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</si>
  <si>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</si>
  <si>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</si>
  <si>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</si>
  <si>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</si>
  <si>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</si>
  <si>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</si>
  <si>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</si>
  <si>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</si>
  <si>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</si>
  <si>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</si>
  <si>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</si>
  <si>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</si>
  <si>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</si>
  <si>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</si>
  <si>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</si>
  <si>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</si>
  <si>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</si>
  <si>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</si>
  <si>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</si>
  <si>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</si>
  <si>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</si>
  <si>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</si>
  <si>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</si>
  <si>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</si>
  <si>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</si>
  <si>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</si>
  <si>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</si>
  <si>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</si>
  <si>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</si>
  <si>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</si>
  <si>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</si>
  <si>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</si>
  <si>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</si>
  <si>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</si>
  <si>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</si>
  <si>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</si>
  <si>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</si>
  <si>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</si>
  <si>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</si>
  <si>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změna č. 14</t>
  </si>
  <si>
    <t>nad koupadlem</t>
  </si>
  <si>
    <t>4.úvěr+5.úvěr</t>
  </si>
  <si>
    <t>2023 k 31.10.</t>
  </si>
  <si>
    <t xml:space="preserve">dotace 30 3980511.-Kč 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</si>
  <si>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</si>
  <si>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</si>
  <si>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</si>
  <si>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</si>
  <si>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</si>
  <si>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</si>
  <si>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</si>
  <si>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</si>
  <si>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</si>
  <si>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</si>
  <si>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</si>
  <si>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</si>
  <si>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</si>
  <si>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</si>
  <si>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</si>
  <si>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</si>
  <si>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</si>
  <si>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</si>
  <si>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</si>
  <si>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</si>
  <si>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</si>
  <si>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</si>
  <si>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</si>
  <si>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</si>
  <si>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</si>
  <si>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</si>
  <si>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</si>
  <si>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</si>
  <si>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</si>
  <si>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</si>
  <si>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</si>
  <si>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</si>
  <si>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</si>
  <si>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</si>
  <si>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</si>
  <si>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</si>
  <si>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</si>
  <si>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</si>
  <si>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</si>
  <si>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</si>
  <si>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</si>
  <si>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</si>
  <si>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</si>
  <si>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</si>
  <si>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</si>
  <si>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</si>
  <si>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</si>
  <si>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</si>
  <si>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</si>
  <si>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</si>
  <si>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</si>
  <si>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</si>
  <si>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</si>
  <si>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</si>
  <si>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</si>
  <si>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</si>
  <si>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</si>
  <si>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</si>
  <si>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</si>
  <si>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</si>
  <si>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rezerva z přebytku 2023</t>
  </si>
  <si>
    <t xml:space="preserve">Vodovodní obchvat Jiren </t>
  </si>
  <si>
    <t>jistina Exafin - výpustek</t>
  </si>
  <si>
    <t>dotace KÚ ZŠ J.A. Komenský ZŠ</t>
  </si>
  <si>
    <t>Dotace hasičské obleky</t>
  </si>
  <si>
    <t>dotace čarodějnice UZ 601</t>
  </si>
  <si>
    <t>Nový úvěr- vodovodní obchvat Jiren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</si>
  <si>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</si>
  <si>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</si>
  <si>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</si>
  <si>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</si>
  <si>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</si>
  <si>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</si>
  <si>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</si>
  <si>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</si>
  <si>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</si>
  <si>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</si>
  <si>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29.02.2024 CELKEM</t>
  </si>
  <si>
    <t xml:space="preserve">                                                                                                       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</si>
  <si>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</si>
  <si>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</si>
  <si>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</si>
  <si>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</si>
  <si>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</si>
  <si>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Zůstatek k 31.12.2028</t>
  </si>
  <si>
    <t>Humanitární pomoc(UK)</t>
  </si>
  <si>
    <t>suma výdajů= r57 až r66</t>
  </si>
  <si>
    <t>RO č.2</t>
  </si>
  <si>
    <t>66.966.786,-</t>
  </si>
  <si>
    <t>48.860,-</t>
  </si>
  <si>
    <t>13.037,-</t>
  </si>
  <si>
    <t>14.428.435,-</t>
  </si>
  <si>
    <t>57.059,-</t>
  </si>
  <si>
    <t>152.554.352,-</t>
  </si>
  <si>
    <t>118.956,-</t>
  </si>
  <si>
    <t>31.03.2024 CELKEM</t>
  </si>
  <si>
    <t>Příspěvky PO v roce 2024</t>
  </si>
  <si>
    <t>Příspěvková organizace/měsíc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</si>
  <si>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</si>
  <si>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</si>
  <si>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</si>
  <si>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</si>
  <si>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</si>
  <si>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</si>
  <si>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</si>
  <si>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</si>
  <si>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</si>
  <si>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</si>
  <si>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</si>
  <si>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</si>
  <si>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celkem za rok</t>
  </si>
  <si>
    <t>TS neinvestiční</t>
  </si>
  <si>
    <t>TS investiční</t>
  </si>
  <si>
    <t>ZŠ investiční</t>
  </si>
  <si>
    <t>ZŠ neinvestiční</t>
  </si>
  <si>
    <t>MŠ ŠJ</t>
  </si>
  <si>
    <t>Celkem měsíčně</t>
  </si>
  <si>
    <t>Mzdy(5011 - 5038)</t>
  </si>
  <si>
    <t>Materiál(5134 - 5139)</t>
  </si>
  <si>
    <t>Energie(5151 - 5156)</t>
  </si>
  <si>
    <t>Služby+nákup+opravy(5161 - 5194)</t>
  </si>
  <si>
    <t>Neivestiční příspěvek, přísp.org., sociální fond(5329 - 5331)</t>
  </si>
  <si>
    <t>Úroky(5141)</t>
  </si>
  <si>
    <t>Investiční příspěvek(6351)</t>
  </si>
  <si>
    <t>Splátky jistiny(8124)</t>
  </si>
  <si>
    <t>Kapitalové výdaje(6111 - 6130)</t>
  </si>
  <si>
    <t>66.540.245,-</t>
  </si>
  <si>
    <t>51.899,-</t>
  </si>
  <si>
    <t>23.207.520,-</t>
  </si>
  <si>
    <t>114.608,-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</si>
  <si>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</si>
  <si>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</si>
  <si>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</si>
  <si>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</si>
  <si>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</si>
  <si>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pronájem pozemku parc. č. 2934/2 a 3048/14</t>
  </si>
  <si>
    <t>Rezervy na projekty 2023</t>
  </si>
  <si>
    <t>I.týden</t>
  </si>
  <si>
    <t>II.týden</t>
  </si>
  <si>
    <t>III.týden</t>
  </si>
  <si>
    <t>IV.týden</t>
  </si>
  <si>
    <t>66.113.704,-</t>
  </si>
  <si>
    <t>49.905,-</t>
  </si>
  <si>
    <t>43.989,-</t>
  </si>
  <si>
    <t>14.314.826,-</t>
  </si>
  <si>
    <t>58.564,-</t>
  </si>
  <si>
    <t>30.04.2024 CELKEM</t>
  </si>
  <si>
    <t>31.05.2024 CELKEM</t>
  </si>
  <si>
    <t>246.205,-</t>
  </si>
  <si>
    <t>152.458,-</t>
  </si>
  <si>
    <t>Průměr příjmů RUD</t>
  </si>
  <si>
    <t xml:space="preserve">Koupě pozemků </t>
  </si>
  <si>
    <t>65.687.163,-</t>
  </si>
  <si>
    <t>51.238,-</t>
  </si>
  <si>
    <t>65.266,-</t>
  </si>
  <si>
    <t>14.258.021,-</t>
  </si>
  <si>
    <t>60.277,-</t>
  </si>
  <si>
    <t>176.781,-</t>
  </si>
  <si>
    <t>RO č.3</t>
  </si>
  <si>
    <t>2024 - 2026</t>
  </si>
  <si>
    <t xml:space="preserve"> 65.260.622,-</t>
  </si>
  <si>
    <t>49.265,-</t>
  </si>
  <si>
    <t>22.641.480,-</t>
  </si>
  <si>
    <t>115.650,-</t>
  </si>
  <si>
    <t>33.249,-</t>
  </si>
  <si>
    <t>14.201.217,-</t>
  </si>
  <si>
    <t>58.101,-</t>
  </si>
  <si>
    <t>30.06.2024 CELKEM</t>
  </si>
  <si>
    <t>256.265,-</t>
  </si>
  <si>
    <t>Nový úvěr- ČOV</t>
  </si>
  <si>
    <t>Uzavřené Dohody o poskytnutí investičního příspěvku městu ke stavebnímu záměru žadatele</t>
  </si>
  <si>
    <t>Příjmení, jméno, RČ</t>
  </si>
  <si>
    <t>Adresa TP</t>
  </si>
  <si>
    <t>Číslo "Dohody"</t>
  </si>
  <si>
    <t>Podpis "Dohody"</t>
  </si>
  <si>
    <t>Částka:</t>
  </si>
  <si>
    <t>RM dne:</t>
  </si>
  <si>
    <t>Usnesení č.:</t>
  </si>
  <si>
    <t xml:space="preserve">Zaplaceno dne: </t>
  </si>
  <si>
    <t>Položka rozpočtu</t>
  </si>
  <si>
    <t>Korvas Matěj, MSc. (880317/0035)</t>
  </si>
  <si>
    <t>Mechovka 786, 190 14  Praha 9-Klánovice</t>
  </si>
  <si>
    <t>144/S/2020</t>
  </si>
  <si>
    <t>450.000,-</t>
  </si>
  <si>
    <t>R-417/2020</t>
  </si>
  <si>
    <t>Korvasová Karolína, MSc. (875721/1397)</t>
  </si>
  <si>
    <t>Pod Lesem 206, 370 01  Litvínovice</t>
  </si>
  <si>
    <t>Škvára Michal</t>
  </si>
  <si>
    <t>Klenová 892/2, 190 00  Praha 9-Hloubětín</t>
  </si>
  <si>
    <t>NEUZAVŘENO</t>
  </si>
  <si>
    <t>R-361/2020</t>
  </si>
  <si>
    <t>NESOUHLAS</t>
  </si>
  <si>
    <t>X</t>
  </si>
  <si>
    <t>Soukup Radek, Ing.</t>
  </si>
  <si>
    <t>K Hájovně 1508, 250 82  Úvaly</t>
  </si>
  <si>
    <t>180.000,-</t>
  </si>
  <si>
    <t>OD ZÁMĚRU UPUŠTĚNO</t>
  </si>
  <si>
    <t>Soukupová Pavlína</t>
  </si>
  <si>
    <t>dtto</t>
  </si>
  <si>
    <t>Lešetický Petr</t>
  </si>
  <si>
    <t>Žateckých 842/3, 140 00  Praha 4-Nusle</t>
  </si>
  <si>
    <t>Lešetická Kateřina</t>
  </si>
  <si>
    <t>Lesní 1484, 250 82  Úvaly</t>
  </si>
  <si>
    <t>Kouba Robert, Ing.</t>
  </si>
  <si>
    <t>Čelakovského 578, 250 82  Úvaly</t>
  </si>
  <si>
    <t>PROMINUTÍ POPLATKU</t>
  </si>
  <si>
    <t>Petrová Ivana, Ing.</t>
  </si>
  <si>
    <t>Poděbradova 1300, 512 51  Lomnice nad Popelkou</t>
  </si>
  <si>
    <t xml:space="preserve">450.000,- </t>
  </si>
  <si>
    <t>Vít Jan, Ing. (530720/015)</t>
  </si>
  <si>
    <t>Zálesí 1465, 250 82  Úvaly</t>
  </si>
  <si>
    <t>18/S/2021</t>
  </si>
  <si>
    <t>90.000,-</t>
  </si>
  <si>
    <t>R-70/2021</t>
  </si>
  <si>
    <t>Vítová Gabriela, Ing. (555227/1989)</t>
  </si>
  <si>
    <t>Šindelář Martin  (740615/0433)</t>
  </si>
  <si>
    <t>Polská 1671, 250 82  Úvaly</t>
  </si>
  <si>
    <t>87/S/2021</t>
  </si>
  <si>
    <t>149.000,-</t>
  </si>
  <si>
    <t>R-261/2021</t>
  </si>
  <si>
    <t>Sedlák Aleš, Ing. (740327/5363)</t>
  </si>
  <si>
    <t>Muškova 1404/1, 148 00  Praha 4</t>
  </si>
  <si>
    <t>113/S/2021</t>
  </si>
  <si>
    <t>900.000,-</t>
  </si>
  <si>
    <t>R-318/2021</t>
  </si>
  <si>
    <t>Borovská Jitka  (925318/0838)</t>
  </si>
  <si>
    <t>Tismice 40, 282 01  Český Brod</t>
  </si>
  <si>
    <t>112/S/2021</t>
  </si>
  <si>
    <t>R-324/2021</t>
  </si>
  <si>
    <t>Markacz Tomáš, Ing.  (930220/2976)</t>
  </si>
  <si>
    <t>M. J. Husa 537/26, 434 01 Most</t>
  </si>
  <si>
    <t>114/S/2021</t>
  </si>
  <si>
    <t>R-320/2021</t>
  </si>
  <si>
    <t>Markaczová Michaela  (955630/0171)</t>
  </si>
  <si>
    <t>Višňová 168, 252 45 Ohrobec</t>
  </si>
  <si>
    <t>Soukup Radek, Ing.  (780702/3169)</t>
  </si>
  <si>
    <t>134/S/2021</t>
  </si>
  <si>
    <t>R-357/2021</t>
  </si>
  <si>
    <t>Soukupová Pavlína  (816204/3109)</t>
  </si>
  <si>
    <t>Lang Marek  (760813/0772)</t>
  </si>
  <si>
    <t>Nerudova 115, 250 82  Úvaly</t>
  </si>
  <si>
    <t>147/S/2021</t>
  </si>
  <si>
    <t>R-458/2021</t>
  </si>
  <si>
    <t>Koníčková Pavla  (915215/0062)</t>
  </si>
  <si>
    <t>Smetanova 939, 250 82  Úvaly</t>
  </si>
  <si>
    <t>159/S/2021</t>
  </si>
  <si>
    <t>R-497/2021</t>
  </si>
  <si>
    <t>Lanc Zdeněk  (730829/0077)</t>
  </si>
  <si>
    <t>Chorvatská 1864, 250 82  Úvaly</t>
  </si>
  <si>
    <t>160/S/2021</t>
  </si>
  <si>
    <t>R-496/2021</t>
  </si>
  <si>
    <t>Baťková Hana, Ing.</t>
  </si>
  <si>
    <t>Tyršova 158, 387 11  Katovice</t>
  </si>
  <si>
    <t>R-160/2021</t>
  </si>
  <si>
    <t>Hubálková Petra</t>
  </si>
  <si>
    <t>Vltavínová č.ev. 83, 154 00  Praha 5</t>
  </si>
  <si>
    <t>301.374,-</t>
  </si>
  <si>
    <t>R-228/2021</t>
  </si>
  <si>
    <t>UHRAZENO 2015</t>
  </si>
  <si>
    <t>Zajíc Ján, Ing.</t>
  </si>
  <si>
    <t>Nad Vápenkou 401, 250 83  Škvorec</t>
  </si>
  <si>
    <t>R-459/2021</t>
  </si>
  <si>
    <t>Zajícová Lucie, Ing.</t>
  </si>
  <si>
    <t>2.399.000,-</t>
  </si>
  <si>
    <t>RM/ZM dne:</t>
  </si>
  <si>
    <t>Branný Pavel  (610517/0753)</t>
  </si>
  <si>
    <t>Horňátecká 483/8, 182 00  Praha 8-Kobylisy</t>
  </si>
  <si>
    <t>38/S/2022</t>
  </si>
  <si>
    <t>471.500,-</t>
  </si>
  <si>
    <t>R-75/2022</t>
  </si>
  <si>
    <t>Hertlová Eva  (896029/1131)</t>
  </si>
  <si>
    <t>Otokara Březiny 1874, 250 82  Úvaly</t>
  </si>
  <si>
    <t>35/S/2022</t>
  </si>
  <si>
    <t>R-83/2022</t>
  </si>
  <si>
    <t>Zajacová Andrea  (915624/1127)</t>
  </si>
  <si>
    <t>Jiráskova 213, 250 82  Úvaly</t>
  </si>
  <si>
    <t>36/S/2022</t>
  </si>
  <si>
    <t>Hertlová Radka  (025622/0833)</t>
  </si>
  <si>
    <t>37/S/2022</t>
  </si>
  <si>
    <t>99.000,-</t>
  </si>
  <si>
    <t>Šestak Sergej  (970110/4303)</t>
  </si>
  <si>
    <t>Smrková 1875, 250 82  Úvaly</t>
  </si>
  <si>
    <t>34/S/2022</t>
  </si>
  <si>
    <t>R-86/2022</t>
  </si>
  <si>
    <t>Šestak Vira, Bc.  (955804/4320)</t>
  </si>
  <si>
    <t>Zahrádka Jan, Ing.  (910705/1140)</t>
  </si>
  <si>
    <t>Rajmonova 1198/13, 182 00  Praha 8-Kobylisy</t>
  </si>
  <si>
    <t>40/S/2022</t>
  </si>
  <si>
    <t>R-89/2022</t>
  </si>
  <si>
    <t>Zahrádková Monika, Mgr.  (916220/0047)</t>
  </si>
  <si>
    <t>Valská 894, 190 16  Praha 9-Újezd nad Lesy</t>
  </si>
  <si>
    <t>Ing. Vrzák Jaroslav</t>
  </si>
  <si>
    <t>Pernerova 1848, 250 82  Úvaly</t>
  </si>
  <si>
    <t>87/S/2022</t>
  </si>
  <si>
    <t>29.500,-</t>
  </si>
  <si>
    <t>Z-34/2022</t>
  </si>
  <si>
    <t>(Plánovací smlouva)</t>
  </si>
  <si>
    <t>Šindelář Martin (740615/0433)</t>
  </si>
  <si>
    <t>120/S/2022</t>
  </si>
  <si>
    <t>402.500,-</t>
  </si>
  <si>
    <t>R-291/2022</t>
  </si>
  <si>
    <t>(Dodatek č. 1/2022)</t>
  </si>
  <si>
    <t>Satora Zbyšek (880314/5791)</t>
  </si>
  <si>
    <t>Želivského 2057, 250 82  Úvaly</t>
  </si>
  <si>
    <t>132/S/2022</t>
  </si>
  <si>
    <t>R-323/2022</t>
  </si>
  <si>
    <t>Satorová Tereza, Mgr. (875329/3329)</t>
  </si>
  <si>
    <t>Almeco, s.r.o.</t>
  </si>
  <si>
    <t>Škvorecká 1803, 250 82  Úvaly</t>
  </si>
  <si>
    <t>137/S/2022</t>
  </si>
  <si>
    <t>1.950.000,-</t>
  </si>
  <si>
    <t>Z-52/2022</t>
  </si>
  <si>
    <t>Ing. Jaroch Štěpán (30.8.1986)</t>
  </si>
  <si>
    <t>Nám. Svobody 1575, 250 82  Úvaly</t>
  </si>
  <si>
    <t>142/S/2022</t>
  </si>
  <si>
    <t>R-359/2022</t>
  </si>
  <si>
    <t>MUDr. Jarochová Helena (25.09.1980)</t>
  </si>
  <si>
    <t>Najman Štěpán</t>
  </si>
  <si>
    <t>Rašínova 727, 250 82  Úvaly</t>
  </si>
  <si>
    <t>R-84/2022</t>
  </si>
  <si>
    <t>NESOUHLAS RM</t>
  </si>
  <si>
    <t>Najmanová Simona</t>
  </si>
  <si>
    <t>13.</t>
  </si>
  <si>
    <t>Kučera Miloslav</t>
  </si>
  <si>
    <t>Sedlec 46, 294 71  Sedlec</t>
  </si>
  <si>
    <t>R-80/2022</t>
  </si>
  <si>
    <t>4.212.500,-</t>
  </si>
  <si>
    <t>Příjmení, jméno, RČ, IČ</t>
  </si>
  <si>
    <t>DDP</t>
  </si>
  <si>
    <t>Hermanová Gabriela (915515/0158)</t>
  </si>
  <si>
    <t>Atlasová 1449, 250 82  Úvaly</t>
  </si>
  <si>
    <t>22/S/2023</t>
  </si>
  <si>
    <t>R - 38/2023</t>
  </si>
  <si>
    <t>Weisová Renata (706025/0197)</t>
  </si>
  <si>
    <t>Raisova 1200, 250 82  Úvaly</t>
  </si>
  <si>
    <t>PODÁNA NÁMITKA do usn. RM</t>
  </si>
  <si>
    <t>R - 45/2023</t>
  </si>
  <si>
    <t>SOUHLAS RM-43/S/2023</t>
  </si>
  <si>
    <t xml:space="preserve">90.000,- </t>
  </si>
  <si>
    <t>R - 135/2023</t>
  </si>
  <si>
    <t>PANDA PLUS s.r.o. (IČ: 47548177)</t>
  </si>
  <si>
    <t>Požární 94, 251 62  Mukařov</t>
  </si>
  <si>
    <t>78/S/2023</t>
  </si>
  <si>
    <t>69.000,-</t>
  </si>
  <si>
    <t>Z - 44/2023</t>
  </si>
  <si>
    <t>Ing. Vondráček Luboš (630117/0821)</t>
  </si>
  <si>
    <t>Libocká 7/45, 162 00  Praha 6</t>
  </si>
  <si>
    <t>118/S/2023</t>
  </si>
  <si>
    <t>912.000,-</t>
  </si>
  <si>
    <t>R-232/2023</t>
  </si>
  <si>
    <t>Hyblbauer Jan (900923/1143)</t>
  </si>
  <si>
    <t>Hálkova 862, 250 82  Úvaly</t>
  </si>
  <si>
    <t>110/S/2023</t>
  </si>
  <si>
    <t>25.200,-</t>
  </si>
  <si>
    <t>R-228/2023</t>
  </si>
  <si>
    <t>(nebytové prostory)</t>
  </si>
  <si>
    <t>Pashku Ivan (731224/9945)</t>
  </si>
  <si>
    <t>Erbenova 1391, 250 82  Úvaly</t>
  </si>
  <si>
    <t>MATERIÁL STAŽEN</t>
  </si>
  <si>
    <t>DÁNO OPĚT DO MRM-43/S/2023</t>
  </si>
  <si>
    <t>R-275/2023</t>
  </si>
  <si>
    <t>DOYPACKY s.r.o. (IČ: 06281061)</t>
  </si>
  <si>
    <t>Olgy Havlové 2901/28, 130 00 Praha 3-Žižkov</t>
  </si>
  <si>
    <t>135/S/2023</t>
  </si>
  <si>
    <t>832.000,-</t>
  </si>
  <si>
    <t>Z-67/2023</t>
  </si>
  <si>
    <t xml:space="preserve">8. </t>
  </si>
  <si>
    <t>ATID s.r.o. (IČ: 61855707)</t>
  </si>
  <si>
    <t>Poděbradova 926, 250 82  Úvaly</t>
  </si>
  <si>
    <t>Ing. Jan Rambousek (761027/0800)</t>
  </si>
  <si>
    <t>Manželů Dostálových 1305, 198 00  Praha - Kyje</t>
  </si>
  <si>
    <t>47/S/2023</t>
  </si>
  <si>
    <t>120.000.-</t>
  </si>
  <si>
    <t>R-123/2023</t>
  </si>
  <si>
    <r>
      <t>Ing. Kateřina Rambousková</t>
    </r>
    <r>
      <rPr>
        <sz val="8"/>
        <color theme="1"/>
        <rFont val="Calibri"/>
        <family val="2"/>
        <charset val="238"/>
        <scheme val="minor"/>
      </rPr>
      <t xml:space="preserve"> (745325/5513)</t>
    </r>
  </si>
  <si>
    <t>Darovací smlouva</t>
  </si>
  <si>
    <t>MAUDI s.r.o. (IČ: 28897340)</t>
  </si>
  <si>
    <t>Krupá 63, 281 63  Kostelec nad Černými Lesy</t>
  </si>
  <si>
    <t>148/S/2023</t>
  </si>
  <si>
    <t>100.000,-</t>
  </si>
  <si>
    <t>R-321/2023</t>
  </si>
  <si>
    <t>nefinanční plnění</t>
  </si>
  <si>
    <t>350.000,-</t>
  </si>
  <si>
    <t>PROPEC spol. s r.o. (IČ: 48951609)</t>
  </si>
  <si>
    <t>Pražská 691, 250 82  Úvaly</t>
  </si>
  <si>
    <t>210/S/2023</t>
  </si>
  <si>
    <t>396.500,-</t>
  </si>
  <si>
    <t>Z-142/2023</t>
  </si>
  <si>
    <t>na 2 splátky</t>
  </si>
  <si>
    <t>1. splátka</t>
  </si>
  <si>
    <t>198.250,-</t>
  </si>
  <si>
    <t xml:space="preserve">2. splátka </t>
  </si>
  <si>
    <t xml:space="preserve">198.250,- </t>
  </si>
  <si>
    <t>Jan Záruba (860811/0511)</t>
  </si>
  <si>
    <t>V pátém 395/9, 190 14  Praha 9-Klánovice</t>
  </si>
  <si>
    <t>197/S/2023</t>
  </si>
  <si>
    <t>R-428/2023</t>
  </si>
  <si>
    <t>Miroslav Kápar (631114/0462)</t>
  </si>
  <si>
    <t>Poznaňská 437/29, 181 00  Praha-Bohnice</t>
  </si>
  <si>
    <t>Ing. Jana Káparová (665316/0206)</t>
  </si>
  <si>
    <t>14.</t>
  </si>
  <si>
    <t>Mgr. Angelika Bauerová (945522/1138)</t>
  </si>
  <si>
    <t>Komenského 1497, 250 82  Úvaly</t>
  </si>
  <si>
    <t>15.</t>
  </si>
  <si>
    <t>Exafin otevřený podílový fond</t>
  </si>
  <si>
    <t>Jungmannova 745/24, 110 00  Praha 1</t>
  </si>
  <si>
    <t>čj. 9386/2015/OŽPÚR</t>
  </si>
  <si>
    <t>1.943.988,-</t>
  </si>
  <si>
    <t>Z-117/2015</t>
  </si>
  <si>
    <t>(IČ: 75160218)</t>
  </si>
  <si>
    <t xml:space="preserve"> ČEMAT SČ s.r.o.</t>
  </si>
  <si>
    <t>Přátelství 1475/14a, 104 00  Praha 10-Uhříněves</t>
  </si>
  <si>
    <t xml:space="preserve">56.000,- </t>
  </si>
  <si>
    <t>JUDr. Jan Brajer</t>
  </si>
  <si>
    <t>Švermova 794, 250 82  Úvaly</t>
  </si>
  <si>
    <t>171.000,-</t>
  </si>
  <si>
    <t>R - 94/2023</t>
  </si>
  <si>
    <t>Alena Brajerová</t>
  </si>
  <si>
    <t>Mgr. Richard Baar (RČ: 770601/5273)</t>
  </si>
  <si>
    <t>Palackého 2033, 250 82  Úvaly</t>
  </si>
  <si>
    <t xml:space="preserve">226.200,- </t>
  </si>
  <si>
    <t>Od záměru upuštěno</t>
  </si>
  <si>
    <t>Ing. Miroslava Baarová (RČ: 795327/5572)</t>
  </si>
  <si>
    <t>Ing. Lucie Mekhail (RČ: 815814/5699)</t>
  </si>
  <si>
    <t>K Betynce 715, 270 61  Lány</t>
  </si>
  <si>
    <t>23/S/2024</t>
  </si>
  <si>
    <t>Z-9/2024</t>
  </si>
  <si>
    <t>Ing. Martin Kurucz (RČ: 790408/4408)</t>
  </si>
  <si>
    <t>Zlobice 145, 768 31  Zlobice</t>
  </si>
  <si>
    <t>Ing. Bohumil Synáček (RČ: 581222/1294)</t>
  </si>
  <si>
    <t>Prusická 1574/14, 100 00  Praha 10-Strašnice</t>
  </si>
  <si>
    <t>/S/2024</t>
  </si>
  <si>
    <t>R-243/2024</t>
  </si>
  <si>
    <t>Ing. Karel Valenta (RČ: 681227/1235)</t>
  </si>
  <si>
    <t>Nad Přehradou 407, 109 00 Praha 10-H.Měcholupy</t>
  </si>
  <si>
    <t>R-</t>
  </si>
  <si>
    <t>64.834.081,-</t>
  </si>
  <si>
    <t>50.576,</t>
  </si>
  <si>
    <t>42.996,-</t>
  </si>
  <si>
    <t>14.144.411,-</t>
  </si>
  <si>
    <t>59.799,-</t>
  </si>
  <si>
    <t>31.07.2024 CELKEM</t>
  </si>
  <si>
    <t>153.371,-</t>
  </si>
  <si>
    <t>přesun na rok 2025</t>
  </si>
  <si>
    <t>Oprava zahradní altan vč. el. Připojení</t>
  </si>
  <si>
    <t>Obchvat Jiren - usek Fibochová</t>
  </si>
  <si>
    <t>Bus zastávky prazšká</t>
  </si>
  <si>
    <t>Bus zastávky prazšká - PD</t>
  </si>
  <si>
    <t>úrok z úvěru z roku 2014-ČOV</t>
  </si>
  <si>
    <t>jistina z úvěru z roku 2014 - ČOV</t>
  </si>
  <si>
    <t>Jistina ČOV 2024</t>
  </si>
  <si>
    <t>1. úvěr 2013 110 mil</t>
  </si>
  <si>
    <t xml:space="preserve">  - Jistina</t>
  </si>
  <si>
    <t xml:space="preserve">  - úrok</t>
  </si>
  <si>
    <t>2. úvěr 2017 110 mil</t>
  </si>
  <si>
    <t>3. úvěr 2019  30 mil</t>
  </si>
  <si>
    <t>4. úvěr 2020 15 mil.</t>
  </si>
  <si>
    <t>5. úvěr 2020 2,5 mil</t>
  </si>
  <si>
    <t>6. úvěr 90 mil.</t>
  </si>
  <si>
    <t>6. úvěr 2020 100 mil</t>
  </si>
  <si>
    <t>7. úvěr 90 mil. ČOV</t>
  </si>
  <si>
    <t>6. úvěr 100 mil.</t>
  </si>
  <si>
    <t>suma(15 mil+2,5 mil.)</t>
  </si>
  <si>
    <t>Nový úvěr- vodovodní obchvat Jiren zůstatek</t>
  </si>
  <si>
    <t>Krizová situace</t>
  </si>
  <si>
    <t>příjem z ppjistných plnění</t>
  </si>
  <si>
    <t>Příjem z daně z technnic.her</t>
  </si>
  <si>
    <t>Příjem z daně z hazard. her</t>
  </si>
  <si>
    <t>Přeplatek energie z roku 2023 Pětašedesátka</t>
  </si>
  <si>
    <t>Hasiči pojistné plnění</t>
  </si>
  <si>
    <t>Příjmy z pojistného plnění</t>
  </si>
  <si>
    <t>Přijaté platby a sankce</t>
  </si>
  <si>
    <t>vývěska, kopírování, přeplatkyx energií z roku 2023</t>
  </si>
  <si>
    <t>přijaté neinvestiční dary</t>
  </si>
  <si>
    <t>Příjmy z prodeje pozemků</t>
  </si>
  <si>
    <t>VIZ Investice celkem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</si>
  <si>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</si>
  <si>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</si>
  <si>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</si>
  <si>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</si>
  <si>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</si>
  <si>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</si>
  <si>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</si>
  <si>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</si>
  <si>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</si>
  <si>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VIZ 5169_nákup služeb celkem</t>
  </si>
  <si>
    <t>Uhrada na ekologická havarie</t>
  </si>
  <si>
    <t>1 484 000 Kč úspora</t>
  </si>
  <si>
    <t>RO č.4</t>
  </si>
  <si>
    <t>OID/OSM/OŽPÚR</t>
  </si>
  <si>
    <t>52.487.461,-</t>
  </si>
  <si>
    <t>156.606.857,-</t>
  </si>
  <si>
    <t>64.146.313,-</t>
  </si>
  <si>
    <t>167.782.363,-</t>
  </si>
  <si>
    <t>72.977.813,-</t>
  </si>
  <si>
    <t>176.130.517,-</t>
  </si>
  <si>
    <t>72.997.813,-</t>
  </si>
  <si>
    <t>175.101.132,-</t>
  </si>
  <si>
    <t>78.777.128,-</t>
  </si>
  <si>
    <t>180.397.100,-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</si>
  <si>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</si>
  <si>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</si>
  <si>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</si>
  <si>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</si>
  <si>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</si>
  <si>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</si>
  <si>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</si>
  <si>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</si>
  <si>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</si>
  <si>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</si>
  <si>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</si>
  <si>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Úrok celkem </t>
  </si>
  <si>
    <t>7. úvěr 90 mil.</t>
  </si>
  <si>
    <t xml:space="preserve">Jistina  celkem </t>
  </si>
  <si>
    <t>Ukažatel celkové zadlužení města</t>
  </si>
  <si>
    <t>p.č.: 3841/212</t>
  </si>
  <si>
    <t>p.č.: 3137</t>
  </si>
  <si>
    <t>Krizový plán města Úvaly</t>
  </si>
  <si>
    <t>(daňové příjmy + nedaňové příjmy +neinvestiční dotace)-((běžné výdaje-konsolidace výdaje)-úrok))/dluhová služba</t>
  </si>
  <si>
    <t>Evidence sběru dat ELTE Hardware et Software</t>
  </si>
  <si>
    <t>63.554.458,-</t>
  </si>
  <si>
    <t>49.585,-</t>
  </si>
  <si>
    <t>58.617,-</t>
  </si>
  <si>
    <t>13.973.996,-</t>
  </si>
  <si>
    <t>59.081,-</t>
  </si>
  <si>
    <t>31.10.2024 CELKEM</t>
  </si>
  <si>
    <t>113.524.516,-</t>
  </si>
  <si>
    <t>167.283,-</t>
  </si>
  <si>
    <t>datové úložiště výzva 9</t>
  </si>
  <si>
    <t>Ostatní výdaje(5361 - 5903)</t>
  </si>
  <si>
    <t>neinvestiční dotace od obcí MP</t>
  </si>
  <si>
    <t>inv.příspěvek od Svazku Úvalsko</t>
  </si>
  <si>
    <t>volby</t>
  </si>
  <si>
    <t xml:space="preserve">dotace MMR vybavení SÚ </t>
  </si>
  <si>
    <t>Pokuty MP</t>
  </si>
  <si>
    <t>přesun do roku 2025</t>
  </si>
  <si>
    <t>VIZ Investice celkem Evidence sběru dat ELTE Hardware et Software</t>
  </si>
  <si>
    <t>VIZ 5171_Opravy a udržování</t>
  </si>
  <si>
    <t>Sv.školy</t>
  </si>
  <si>
    <t xml:space="preserve">volby </t>
  </si>
  <si>
    <t>Klužiště</t>
  </si>
  <si>
    <t>licence, paušály, IT služby,  mobilní služby, ústředna</t>
  </si>
  <si>
    <t>www+IDM, gordic API, rozvoj systémů</t>
  </si>
  <si>
    <t>platba od svažku za vodovodní ochvat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</si>
  <si>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</si>
  <si>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</si>
  <si>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</si>
  <si>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</si>
  <si>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</si>
  <si>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</si>
  <si>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</si>
  <si>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</si>
  <si>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30.11.2024 CELKEM</t>
  </si>
  <si>
    <t>113.041.171,-</t>
  </si>
  <si>
    <t>161.335,-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</si>
</sst>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#,##0.00000"/>
  </numFmts>
  <fonts count="14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i/>
      <sz val="9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b/>
      <sz val="9"/>
      <color rgb="FF0070C0"/>
      <name val="Courier New"/>
      <family val="3"/>
      <charset val="238"/>
    </font>
    <font>
      <sz val="9"/>
      <color theme="1"/>
      <name val="Courier New"/>
      <family val="3"/>
      <charset val="238"/>
    </font>
    <font>
      <b/>
      <i/>
      <sz val="9"/>
      <color theme="1"/>
      <name val="Courier New"/>
      <family val="3"/>
      <charset val="238"/>
    </font>
    <font>
      <b/>
      <i/>
      <sz val="9"/>
      <color theme="0"/>
      <name val="Courier New"/>
      <family val="3"/>
      <charset val="238"/>
    </font>
    <font>
      <b/>
      <i/>
      <sz val="9"/>
      <color theme="0" tint="-0.249977111117893"/>
      <name val="Courier New"/>
      <family val="3"/>
      <charset val="238"/>
    </font>
    <font>
      <i/>
      <sz val="9"/>
      <color theme="0"/>
      <name val="Courier New"/>
      <family val="3"/>
      <charset val="238"/>
    </font>
    <font>
      <b/>
      <i/>
      <sz val="9"/>
      <color rgb="FF00B050"/>
      <name val="Courier New"/>
      <family val="3"/>
      <charset val="238"/>
    </font>
    <font>
      <i/>
      <sz val="9"/>
      <color rgb="FF00B0F0"/>
      <name val="Courier New"/>
      <family val="3"/>
      <charset val="238"/>
    </font>
    <font>
      <i/>
      <sz val="9"/>
      <color rgb="FF00B050"/>
      <name val="Courier New"/>
      <family val="3"/>
      <charset val="238"/>
    </font>
    <font>
      <i/>
      <sz val="9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B050"/>
      <name val="Courier New"/>
      <family val="3"/>
      <charset val="238"/>
    </font>
    <font>
      <b/>
      <sz val="9"/>
      <color rgb="FF00B050"/>
      <name val="Courier New"/>
      <family val="3"/>
      <charset val="238"/>
    </font>
    <font>
      <b/>
      <sz val="9"/>
      <color theme="0"/>
      <name val="Courier New"/>
      <family val="3"/>
      <charset val="238"/>
    </font>
    <font>
      <sz val="9"/>
      <color theme="0"/>
      <name val="Courier New"/>
      <family val="3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0" tint="-0.14999847407452621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b/>
      <sz val="8"/>
      <name val="Courier New"/>
      <family val="3"/>
      <charset val="238"/>
    </font>
    <font>
      <b/>
      <sz val="16"/>
      <color theme="1"/>
      <name val="Open Sans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rgb="FF002060"/>
      <name val="Courier New"/>
      <family val="3"/>
      <charset val="238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4" borderId="76" applyNumberFormat="0" applyAlignment="0" applyProtection="0"/>
    <xf numFmtId="0" fontId="4" fillId="25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193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1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43" fontId="34" fillId="0" borderId="0" xfId="1" applyFont="1"/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5" fontId="31" fillId="0" borderId="0" xfId="0" applyNumberFormat="1" applyFont="1" applyAlignment="1">
      <alignment horizontal="right"/>
    </xf>
    <xf numFmtId="169" fontId="33" fillId="0" borderId="0" xfId="0" applyNumberFormat="1" applyFont="1"/>
    <xf numFmtId="170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5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8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8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8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8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8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8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8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8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8" fontId="31" fillId="5" borderId="51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8" fontId="31" fillId="15" borderId="23" xfId="0" applyNumberFormat="1" applyFont="1" applyFill="1" applyBorder="1" applyAlignment="1">
      <alignment horizontal="right" indent="1"/>
    </xf>
    <xf numFmtId="168" fontId="31" fillId="15" borderId="42" xfId="0" applyNumberFormat="1" applyFont="1" applyFill="1" applyBorder="1" applyAlignment="1">
      <alignment horizontal="right" indent="1"/>
    </xf>
    <xf numFmtId="168" fontId="31" fillId="14" borderId="23" xfId="0" applyNumberFormat="1" applyFont="1" applyFill="1" applyBorder="1" applyAlignment="1">
      <alignment horizontal="right" indent="1"/>
    </xf>
    <xf numFmtId="168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8" fontId="31" fillId="16" borderId="19" xfId="0" applyNumberFormat="1" applyFont="1" applyFill="1" applyBorder="1" applyAlignment="1">
      <alignment horizontal="right" indent="1"/>
    </xf>
    <xf numFmtId="168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8" fontId="31" fillId="14" borderId="19" xfId="0" applyNumberFormat="1" applyFont="1" applyFill="1" applyBorder="1" applyAlignment="1">
      <alignment horizontal="right" indent="1"/>
    </xf>
    <xf numFmtId="168" fontId="31" fillId="15" borderId="19" xfId="0" applyNumberFormat="1" applyFont="1" applyFill="1" applyBorder="1" applyAlignment="1">
      <alignment horizontal="right" indent="1"/>
    </xf>
    <xf numFmtId="168" fontId="31" fillId="14" borderId="40" xfId="0" applyNumberFormat="1" applyFont="1" applyFill="1" applyBorder="1" applyAlignment="1">
      <alignment horizontal="right" indent="1"/>
    </xf>
    <xf numFmtId="168" fontId="31" fillId="14" borderId="48" xfId="0" applyNumberFormat="1" applyFont="1" applyFill="1" applyBorder="1" applyAlignment="1">
      <alignment horizontal="right" indent="1"/>
    </xf>
    <xf numFmtId="168" fontId="31" fillId="4" borderId="37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8" fontId="31" fillId="16" borderId="23" xfId="0" applyNumberFormat="1" applyFont="1" applyFill="1" applyBorder="1" applyAlignment="1">
      <alignment horizontal="right" indent="1"/>
    </xf>
    <xf numFmtId="168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8" fontId="31" fillId="5" borderId="40" xfId="0" applyNumberFormat="1" applyFont="1" applyFill="1" applyBorder="1" applyAlignment="1">
      <alignment horizontal="right" indent="1"/>
    </xf>
    <xf numFmtId="168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right" indent="1"/>
    </xf>
    <xf numFmtId="168" fontId="31" fillId="5" borderId="42" xfId="0" applyNumberFormat="1" applyFont="1" applyFill="1" applyBorder="1" applyAlignment="1">
      <alignment horizontal="right" indent="1"/>
    </xf>
    <xf numFmtId="168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8" fontId="31" fillId="15" borderId="40" xfId="0" applyNumberFormat="1" applyFont="1" applyFill="1" applyBorder="1" applyAlignment="1">
      <alignment horizontal="right" indent="1"/>
    </xf>
    <xf numFmtId="168" fontId="31" fillId="15" borderId="55" xfId="0" applyNumberFormat="1" applyFont="1" applyFill="1" applyBorder="1" applyAlignment="1">
      <alignment horizontal="right" indent="1"/>
    </xf>
    <xf numFmtId="168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8" fontId="53" fillId="5" borderId="0" xfId="0" applyNumberFormat="1" applyFont="1" applyFill="1"/>
    <xf numFmtId="168" fontId="52" fillId="5" borderId="0" xfId="0" applyNumberFormat="1" applyFont="1" applyFill="1"/>
    <xf numFmtId="168" fontId="54" fillId="5" borderId="0" xfId="0" applyNumberFormat="1" applyFont="1" applyFill="1"/>
    <xf numFmtId="168" fontId="36" fillId="5" borderId="0" xfId="0" applyNumberFormat="1" applyFont="1" applyFill="1"/>
    <xf numFmtId="0" fontId="53" fillId="14" borderId="0" xfId="0" applyFont="1" applyFill="1"/>
    <xf numFmtId="168" fontId="53" fillId="14" borderId="0" xfId="0" applyNumberFormat="1" applyFont="1" applyFill="1"/>
    <xf numFmtId="0" fontId="53" fillId="17" borderId="0" xfId="0" applyFont="1" applyFill="1"/>
    <xf numFmtId="168" fontId="53" fillId="17" borderId="0" xfId="0" applyNumberFormat="1" applyFont="1" applyFill="1"/>
    <xf numFmtId="168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7" fontId="58" fillId="4" borderId="38" xfId="0" applyNumberFormat="1" applyFont="1" applyFill="1" applyBorder="1"/>
    <xf numFmtId="167" fontId="58" fillId="4" borderId="0" xfId="0" applyNumberFormat="1" applyFont="1" applyFill="1"/>
    <xf numFmtId="0" fontId="58" fillId="4" borderId="51" xfId="0" applyFont="1" applyFill="1" applyBorder="1"/>
    <xf numFmtId="167" fontId="58" fillId="4" borderId="51" xfId="0" applyNumberFormat="1" applyFont="1" applyFill="1" applyBorder="1"/>
    <xf numFmtId="167" fontId="58" fillId="4" borderId="45" xfId="0" applyNumberFormat="1" applyFont="1" applyFill="1" applyBorder="1"/>
    <xf numFmtId="2" fontId="59" fillId="0" borderId="53" xfId="0" applyNumberFormat="1" applyFont="1" applyBorder="1"/>
    <xf numFmtId="0" fontId="58" fillId="30" borderId="78" xfId="0" applyFont="1" applyFill="1" applyBorder="1"/>
    <xf numFmtId="3" fontId="58" fillId="30" borderId="78" xfId="0" applyNumberFormat="1" applyFont="1" applyFill="1" applyBorder="1"/>
    <xf numFmtId="3" fontId="59" fillId="0" borderId="4" xfId="0" applyNumberFormat="1" applyFont="1" applyBorder="1"/>
    <xf numFmtId="0" fontId="58" fillId="30" borderId="38" xfId="0" applyFont="1" applyFill="1" applyBorder="1"/>
    <xf numFmtId="3" fontId="58" fillId="30" borderId="38" xfId="0" applyNumberFormat="1" applyFont="1" applyFill="1" applyBorder="1"/>
    <xf numFmtId="3" fontId="58" fillId="30" borderId="0" xfId="0" applyNumberFormat="1" applyFont="1" applyFill="1"/>
    <xf numFmtId="3" fontId="58" fillId="0" borderId="36" xfId="0" applyNumberFormat="1" applyFont="1" applyBorder="1"/>
    <xf numFmtId="167" fontId="58" fillId="30" borderId="38" xfId="0" applyNumberFormat="1" applyFont="1" applyFill="1" applyBorder="1"/>
    <xf numFmtId="167" fontId="58" fillId="30" borderId="0" xfId="0" applyNumberFormat="1" applyFont="1" applyFill="1"/>
    <xf numFmtId="0" fontId="58" fillId="30" borderId="25" xfId="0" applyFont="1" applyFill="1" applyBorder="1"/>
    <xf numFmtId="167" fontId="58" fillId="30" borderId="25" xfId="0" applyNumberFormat="1" applyFont="1" applyFill="1" applyBorder="1"/>
    <xf numFmtId="167" fontId="58" fillId="30" borderId="47" xfId="0" applyNumberFormat="1" applyFont="1" applyFill="1" applyBorder="1"/>
    <xf numFmtId="3" fontId="59" fillId="0" borderId="53" xfId="0" applyNumberFormat="1" applyFont="1" applyBorder="1"/>
    <xf numFmtId="0" fontId="58" fillId="30" borderId="24" xfId="0" applyFont="1" applyFill="1" applyBorder="1"/>
    <xf numFmtId="3" fontId="58" fillId="30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6" borderId="2" xfId="0" applyFont="1" applyFill="1" applyBorder="1" applyAlignment="1">
      <alignment horizontal="center" vertical="center" wrapText="1"/>
    </xf>
    <xf numFmtId="0" fontId="61" fillId="26" borderId="1" xfId="0" applyFont="1" applyFill="1" applyBorder="1" applyAlignment="1">
      <alignment horizontal="center" vertical="center" wrapText="1"/>
    </xf>
    <xf numFmtId="0" fontId="61" fillId="26" borderId="5" xfId="0" applyFont="1" applyFill="1" applyBorder="1"/>
    <xf numFmtId="3" fontId="61" fillId="26" borderId="5" xfId="0" applyNumberFormat="1" applyFont="1" applyFill="1" applyBorder="1"/>
    <xf numFmtId="3" fontId="61" fillId="26" borderId="56" xfId="0" applyNumberFormat="1" applyFont="1" applyFill="1" applyBorder="1"/>
    <xf numFmtId="3" fontId="59" fillId="30" borderId="36" xfId="0" applyNumberFormat="1" applyFont="1" applyFill="1" applyBorder="1" applyAlignment="1">
      <alignment horizontal="center" vertical="center"/>
    </xf>
    <xf numFmtId="0" fontId="62" fillId="28" borderId="38" xfId="0" applyFont="1" applyFill="1" applyBorder="1"/>
    <xf numFmtId="1" fontId="62" fillId="28" borderId="38" xfId="0" applyNumberFormat="1" applyFont="1" applyFill="1" applyBorder="1"/>
    <xf numFmtId="0" fontId="58" fillId="28" borderId="4" xfId="0" applyFont="1" applyFill="1" applyBorder="1"/>
    <xf numFmtId="1" fontId="62" fillId="28" borderId="0" xfId="0" applyNumberFormat="1" applyFont="1" applyFill="1"/>
    <xf numFmtId="0" fontId="58" fillId="28" borderId="36" xfId="0" applyFont="1" applyFill="1" applyBorder="1"/>
    <xf numFmtId="1" fontId="62" fillId="28" borderId="69" xfId="0" applyNumberFormat="1" applyFont="1" applyFill="1" applyBorder="1"/>
    <xf numFmtId="167" fontId="62" fillId="28" borderId="38" xfId="0" applyNumberFormat="1" applyFont="1" applyFill="1" applyBorder="1"/>
    <xf numFmtId="167" fontId="62" fillId="28" borderId="0" xfId="0" applyNumberFormat="1" applyFont="1" applyFill="1"/>
    <xf numFmtId="167" fontId="62" fillId="28" borderId="69" xfId="0" applyNumberFormat="1" applyFont="1" applyFill="1" applyBorder="1"/>
    <xf numFmtId="167" fontId="58" fillId="0" borderId="0" xfId="0" applyNumberFormat="1" applyFont="1"/>
    <xf numFmtId="167" fontId="58" fillId="28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7" fontId="62" fillId="7" borderId="38" xfId="0" applyNumberFormat="1" applyFont="1" applyFill="1" applyBorder="1"/>
    <xf numFmtId="167" fontId="62" fillId="7" borderId="39" xfId="0" applyNumberFormat="1" applyFont="1" applyFill="1" applyBorder="1"/>
    <xf numFmtId="0" fontId="62" fillId="7" borderId="25" xfId="0" applyFont="1" applyFill="1" applyBorder="1"/>
    <xf numFmtId="167" fontId="62" fillId="7" borderId="25" xfId="0" applyNumberFormat="1" applyFont="1" applyFill="1" applyBorder="1"/>
    <xf numFmtId="167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7" fontId="62" fillId="7" borderId="51" xfId="0" applyNumberFormat="1" applyFont="1" applyFill="1" applyBorder="1"/>
    <xf numFmtId="167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3" fontId="58" fillId="7" borderId="37" xfId="0" applyNumberFormat="1" applyFont="1" applyFill="1" applyBorder="1" applyAlignment="1">
      <alignment horizontal="right" wrapText="1"/>
    </xf>
    <xf numFmtId="173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7" borderId="78" xfId="0" applyFont="1" applyFill="1" applyBorder="1"/>
    <xf numFmtId="3" fontId="62" fillId="27" borderId="78" xfId="0" applyNumberFormat="1" applyFont="1" applyFill="1" applyBorder="1"/>
    <xf numFmtId="0" fontId="58" fillId="0" borderId="4" xfId="0" applyFont="1" applyBorder="1"/>
    <xf numFmtId="0" fontId="62" fillId="27" borderId="38" xfId="0" applyFont="1" applyFill="1" applyBorder="1"/>
    <xf numFmtId="3" fontId="62" fillId="27" borderId="38" xfId="0" applyNumberFormat="1" applyFont="1" applyFill="1" applyBorder="1"/>
    <xf numFmtId="3" fontId="62" fillId="27" borderId="39" xfId="0" applyNumberFormat="1" applyFont="1" applyFill="1" applyBorder="1"/>
    <xf numFmtId="0" fontId="58" fillId="0" borderId="36" xfId="0" applyFont="1" applyBorder="1"/>
    <xf numFmtId="3" fontId="62" fillId="27" borderId="61" xfId="0" applyNumberFormat="1" applyFont="1" applyFill="1" applyBorder="1"/>
    <xf numFmtId="167" fontId="62" fillId="27" borderId="38" xfId="0" applyNumberFormat="1" applyFont="1" applyFill="1" applyBorder="1"/>
    <xf numFmtId="167" fontId="62" fillId="27" borderId="39" xfId="0" applyNumberFormat="1" applyFont="1" applyFill="1" applyBorder="1"/>
    <xf numFmtId="0" fontId="62" fillId="27" borderId="25" xfId="0" applyFont="1" applyFill="1" applyBorder="1"/>
    <xf numFmtId="167" fontId="62" fillId="27" borderId="25" xfId="0" applyNumberFormat="1" applyFont="1" applyFill="1" applyBorder="1"/>
    <xf numFmtId="167" fontId="62" fillId="27" borderId="7" xfId="0" applyNumberFormat="1" applyFont="1" applyFill="1" applyBorder="1"/>
    <xf numFmtId="0" fontId="62" fillId="27" borderId="24" xfId="0" applyFont="1" applyFill="1" applyBorder="1"/>
    <xf numFmtId="0" fontId="62" fillId="27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7" borderId="54" xfId="0" applyFont="1" applyFill="1" applyBorder="1" applyAlignment="1">
      <alignment horizontal="center" vertical="center" wrapText="1"/>
    </xf>
    <xf numFmtId="0" fontId="62" fillId="27" borderId="51" xfId="0" applyFont="1" applyFill="1" applyBorder="1"/>
    <xf numFmtId="167" fontId="62" fillId="27" borderId="51" xfId="0" applyNumberFormat="1" applyFont="1" applyFill="1" applyBorder="1"/>
    <xf numFmtId="167" fontId="62" fillId="27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6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6" borderId="4" xfId="0" applyFont="1" applyFill="1" applyBorder="1" applyAlignment="1">
      <alignment horizontal="center" vertical="center" wrapText="1"/>
    </xf>
    <xf numFmtId="0" fontId="61" fillId="26" borderId="77" xfId="0" applyFont="1" applyFill="1" applyBorder="1" applyAlignment="1">
      <alignment horizontal="center" vertical="center" wrapText="1"/>
    </xf>
    <xf numFmtId="0" fontId="61" fillId="26" borderId="78" xfId="0" applyFont="1" applyFill="1" applyBorder="1"/>
    <xf numFmtId="3" fontId="61" fillId="26" borderId="78" xfId="0" applyNumberFormat="1" applyFont="1" applyFill="1" applyBorder="1"/>
    <xf numFmtId="3" fontId="58" fillId="27" borderId="78" xfId="0" applyNumberFormat="1" applyFont="1" applyFill="1" applyBorder="1"/>
    <xf numFmtId="3" fontId="58" fillId="27" borderId="38" xfId="0" applyNumberFormat="1" applyFont="1" applyFill="1" applyBorder="1"/>
    <xf numFmtId="3" fontId="58" fillId="27" borderId="39" xfId="0" applyNumberFormat="1" applyFont="1" applyFill="1" applyBorder="1"/>
    <xf numFmtId="3" fontId="58" fillId="27" borderId="61" xfId="0" applyNumberFormat="1" applyFont="1" applyFill="1" applyBorder="1"/>
    <xf numFmtId="167" fontId="58" fillId="27" borderId="38" xfId="0" applyNumberFormat="1" applyFont="1" applyFill="1" applyBorder="1"/>
    <xf numFmtId="167" fontId="58" fillId="27" borderId="39" xfId="0" applyNumberFormat="1" applyFont="1" applyFill="1" applyBorder="1"/>
    <xf numFmtId="167" fontId="58" fillId="27" borderId="51" xfId="0" applyNumberFormat="1" applyFont="1" applyFill="1" applyBorder="1"/>
    <xf numFmtId="167" fontId="58" fillId="27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7" fontId="58" fillId="11" borderId="38" xfId="0" applyNumberFormat="1" applyFont="1" applyFill="1" applyBorder="1"/>
    <xf numFmtId="167" fontId="58" fillId="11" borderId="39" xfId="0" applyNumberFormat="1" applyFont="1" applyFill="1" applyBorder="1"/>
    <xf numFmtId="0" fontId="62" fillId="11" borderId="51" xfId="0" applyFont="1" applyFill="1" applyBorder="1"/>
    <xf numFmtId="167" fontId="58" fillId="11" borderId="51" xfId="0" applyNumberFormat="1" applyFont="1" applyFill="1" applyBorder="1"/>
    <xf numFmtId="167" fontId="58" fillId="11" borderId="28" xfId="0" applyNumberFormat="1" applyFont="1" applyFill="1" applyBorder="1"/>
    <xf numFmtId="0" fontId="62" fillId="30" borderId="78" xfId="0" applyFont="1" applyFill="1" applyBorder="1"/>
    <xf numFmtId="3" fontId="58" fillId="30" borderId="67" xfId="0" applyNumberFormat="1" applyFont="1" applyFill="1" applyBorder="1"/>
    <xf numFmtId="0" fontId="62" fillId="30" borderId="38" xfId="0" applyFont="1" applyFill="1" applyBorder="1"/>
    <xf numFmtId="3" fontId="58" fillId="30" borderId="39" xfId="0" applyNumberFormat="1" applyFont="1" applyFill="1" applyBorder="1"/>
    <xf numFmtId="3" fontId="58" fillId="30" borderId="61" xfId="0" applyNumberFormat="1" applyFont="1" applyFill="1" applyBorder="1"/>
    <xf numFmtId="167" fontId="58" fillId="30" borderId="61" xfId="0" applyNumberFormat="1" applyFont="1" applyFill="1" applyBorder="1"/>
    <xf numFmtId="0" fontId="62" fillId="30" borderId="51" xfId="0" applyFont="1" applyFill="1" applyBorder="1"/>
    <xf numFmtId="167" fontId="58" fillId="30" borderId="51" xfId="0" applyNumberFormat="1" applyFont="1" applyFill="1" applyBorder="1"/>
    <xf numFmtId="167" fontId="58" fillId="30" borderId="28" xfId="0" applyNumberFormat="1" applyFont="1" applyFill="1" applyBorder="1"/>
    <xf numFmtId="0" fontId="58" fillId="29" borderId="63" xfId="0" applyFont="1" applyFill="1" applyBorder="1"/>
    <xf numFmtId="0" fontId="62" fillId="29" borderId="78" xfId="0" applyFont="1" applyFill="1" applyBorder="1"/>
    <xf numFmtId="1" fontId="58" fillId="29" borderId="78" xfId="0" applyNumberFormat="1" applyFont="1" applyFill="1" applyBorder="1"/>
    <xf numFmtId="0" fontId="58" fillId="29" borderId="59" xfId="0" applyFont="1" applyFill="1" applyBorder="1"/>
    <xf numFmtId="0" fontId="62" fillId="29" borderId="38" xfId="0" applyFont="1" applyFill="1" applyBorder="1"/>
    <xf numFmtId="1" fontId="58" fillId="29" borderId="38" xfId="0" applyNumberFormat="1" applyFont="1" applyFill="1" applyBorder="1"/>
    <xf numFmtId="1" fontId="58" fillId="29" borderId="61" xfId="0" applyNumberFormat="1" applyFont="1" applyFill="1" applyBorder="1"/>
    <xf numFmtId="0" fontId="58" fillId="29" borderId="17" xfId="0" applyFont="1" applyFill="1" applyBorder="1"/>
    <xf numFmtId="0" fontId="62" fillId="29" borderId="25" xfId="0" applyFont="1" applyFill="1" applyBorder="1"/>
    <xf numFmtId="1" fontId="58" fillId="29" borderId="25" xfId="0" applyNumberFormat="1" applyFont="1" applyFill="1" applyBorder="1"/>
    <xf numFmtId="1" fontId="58" fillId="29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2" borderId="24" xfId="0" applyFont="1" applyFill="1" applyBorder="1"/>
    <xf numFmtId="1" fontId="58" fillId="32" borderId="24" xfId="0" applyNumberFormat="1" applyFont="1" applyFill="1" applyBorder="1"/>
    <xf numFmtId="0" fontId="62" fillId="32" borderId="38" xfId="0" applyFont="1" applyFill="1" applyBorder="1"/>
    <xf numFmtId="1" fontId="58" fillId="32" borderId="38" xfId="0" applyNumberFormat="1" applyFont="1" applyFill="1" applyBorder="1"/>
    <xf numFmtId="1" fontId="58" fillId="32" borderId="39" xfId="0" applyNumberFormat="1" applyFont="1" applyFill="1" applyBorder="1"/>
    <xf numFmtId="0" fontId="62" fillId="32" borderId="51" xfId="0" applyFont="1" applyFill="1" applyBorder="1"/>
    <xf numFmtId="1" fontId="58" fillId="32" borderId="51" xfId="0" applyNumberFormat="1" applyFont="1" applyFill="1" applyBorder="1"/>
    <xf numFmtId="1" fontId="58" fillId="32" borderId="28" xfId="0" applyNumberFormat="1" applyFont="1" applyFill="1" applyBorder="1"/>
    <xf numFmtId="0" fontId="26" fillId="0" borderId="14" xfId="0" applyFont="1" applyBorder="1"/>
    <xf numFmtId="167" fontId="61" fillId="0" borderId="0" xfId="0" applyNumberFormat="1" applyFont="1"/>
    <xf numFmtId="3" fontId="59" fillId="0" borderId="0" xfId="0" applyNumberFormat="1" applyFont="1"/>
    <xf numFmtId="169" fontId="43" fillId="0" borderId="46" xfId="0" applyNumberFormat="1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1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8" fontId="35" fillId="14" borderId="37" xfId="0" applyNumberFormat="1" applyFont="1" applyFill="1" applyBorder="1" applyAlignment="1">
      <alignment horizontal="right" indent="1"/>
    </xf>
    <xf numFmtId="168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8" fontId="35" fillId="14" borderId="25" xfId="0" applyNumberFormat="1" applyFont="1" applyFill="1" applyBorder="1" applyAlignment="1">
      <alignment horizontal="right" indent="1"/>
    </xf>
    <xf numFmtId="168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6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3" fontId="72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2" fillId="22" borderId="0" xfId="0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2" fillId="22" borderId="0" xfId="5" applyNumberFormat="1" applyFont="1" applyFill="1"/>
    <xf numFmtId="0" fontId="72" fillId="22" borderId="0" xfId="5" applyFont="1" applyFill="1"/>
    <xf numFmtId="0" fontId="38" fillId="22" borderId="0" xfId="5" applyFont="1" applyFill="1"/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49" fontId="72" fillId="22" borderId="0" xfId="0" applyNumberFormat="1" applyFont="1" applyFill="1" applyAlignment="1">
      <alignment horizontal="center"/>
    </xf>
    <xf numFmtId="4" fontId="72" fillId="22" borderId="0" xfId="0" applyNumberFormat="1" applyFont="1" applyFill="1" applyAlignment="1">
      <alignment horizontal="center"/>
    </xf>
    <xf numFmtId="0" fontId="70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0" fontId="38" fillId="0" borderId="19" xfId="0" applyFont="1" applyBorder="1" applyAlignment="1">
      <alignment horizontal="center"/>
    </xf>
    <xf numFmtId="0" fontId="38" fillId="0" borderId="8" xfId="0" applyFont="1" applyBorder="1" applyAlignment="1">
      <alignment wrapText="1"/>
    </xf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75" fillId="3" borderId="2" xfId="0" applyFont="1" applyFill="1" applyBorder="1"/>
    <xf numFmtId="0" fontId="75" fillId="3" borderId="30" xfId="0" applyFont="1" applyFill="1" applyBorder="1"/>
    <xf numFmtId="0" fontId="75" fillId="3" borderId="6" xfId="0" applyFont="1" applyFill="1" applyBorder="1"/>
    <xf numFmtId="0" fontId="38" fillId="0" borderId="0" xfId="0" applyFont="1" applyAlignment="1">
      <alignment wrapText="1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75" fillId="0" borderId="29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76" fillId="0" borderId="9" xfId="0" applyFont="1" applyBorder="1" applyAlignment="1">
      <alignment vertical="center" wrapText="1"/>
    </xf>
    <xf numFmtId="0" fontId="73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0" fontId="38" fillId="22" borderId="0" xfId="6" applyFont="1" applyFill="1"/>
    <xf numFmtId="0" fontId="68" fillId="0" borderId="0" xfId="0" applyFont="1" applyAlignment="1">
      <alignment horizontal="center"/>
    </xf>
    <xf numFmtId="49" fontId="77" fillId="2" borderId="2" xfId="6" applyNumberFormat="1" applyFont="1" applyFill="1" applyBorder="1" applyAlignment="1">
      <alignment horizontal="center" vertical="center" wrapText="1"/>
    </xf>
    <xf numFmtId="49" fontId="77" fillId="2" borderId="5" xfId="6" applyNumberFormat="1" applyFont="1" applyFill="1" applyBorder="1" applyAlignment="1">
      <alignment horizontal="center" vertical="center" wrapText="1"/>
    </xf>
    <xf numFmtId="0" fontId="78" fillId="0" borderId="23" xfId="6" applyFont="1" applyBorder="1" applyAlignment="1">
      <alignment horizontal="center" wrapText="1"/>
    </xf>
    <xf numFmtId="0" fontId="78" fillId="0" borderId="25" xfId="6" applyFont="1" applyBorder="1" applyAlignment="1">
      <alignment horizontal="center" wrapText="1"/>
    </xf>
    <xf numFmtId="0" fontId="78" fillId="0" borderId="25" xfId="6" applyFont="1" applyBorder="1" applyAlignment="1">
      <alignment wrapText="1"/>
    </xf>
    <xf numFmtId="0" fontId="68" fillId="0" borderId="0" xfId="5" applyFont="1"/>
    <xf numFmtId="0" fontId="66" fillId="0" borderId="0" xfId="5" applyFont="1" applyAlignment="1">
      <alignment horizontal="center"/>
    </xf>
    <xf numFmtId="0" fontId="78" fillId="22" borderId="0" xfId="5" applyFont="1" applyFill="1"/>
    <xf numFmtId="0" fontId="68" fillId="0" borderId="0" xfId="6" applyFont="1"/>
    <xf numFmtId="0" fontId="66" fillId="0" borderId="0" xfId="6" applyFont="1" applyAlignment="1">
      <alignment horizontal="center"/>
    </xf>
    <xf numFmtId="0" fontId="78" fillId="22" borderId="0" xfId="6" applyFont="1" applyFill="1"/>
    <xf numFmtId="0" fontId="78" fillId="0" borderId="0" xfId="0" applyFont="1"/>
    <xf numFmtId="3" fontId="78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78" fillId="22" borderId="0" xfId="0" applyFont="1" applyFill="1"/>
    <xf numFmtId="3" fontId="68" fillId="0" borderId="0" xfId="0" applyNumberFormat="1" applyFont="1"/>
    <xf numFmtId="3" fontId="77" fillId="22" borderId="0" xfId="0" applyNumberFormat="1" applyFont="1" applyFill="1"/>
    <xf numFmtId="0" fontId="77" fillId="22" borderId="0" xfId="0" applyFont="1" applyFill="1"/>
    <xf numFmtId="0" fontId="66" fillId="0" borderId="0" xfId="0" applyFont="1"/>
    <xf numFmtId="0" fontId="66" fillId="22" borderId="0" xfId="0" applyFont="1" applyFill="1"/>
    <xf numFmtId="0" fontId="78" fillId="0" borderId="0" xfId="3" applyFont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79" fillId="5" borderId="0" xfId="0" applyFont="1" applyFill="1"/>
    <xf numFmtId="0" fontId="79" fillId="12" borderId="0" xfId="0" applyFont="1" applyFill="1"/>
    <xf numFmtId="0" fontId="79" fillId="5" borderId="2" xfId="0" applyFont="1" applyFill="1" applyBorder="1"/>
    <xf numFmtId="0" fontId="79" fillId="5" borderId="30" xfId="0" applyFont="1" applyFill="1" applyBorder="1"/>
    <xf numFmtId="0" fontId="79" fillId="5" borderId="5" xfId="0" applyFont="1" applyFill="1" applyBorder="1"/>
    <xf numFmtId="0" fontId="79" fillId="5" borderId="50" xfId="0" applyFont="1" applyFill="1" applyBorder="1"/>
    <xf numFmtId="0" fontId="79" fillId="5" borderId="40" xfId="0" applyFont="1" applyFill="1" applyBorder="1"/>
    <xf numFmtId="0" fontId="79" fillId="5" borderId="37" xfId="0" applyFont="1" applyFill="1" applyBorder="1"/>
    <xf numFmtId="0" fontId="79" fillId="5" borderId="33" xfId="0" applyFont="1" applyFill="1" applyBorder="1"/>
    <xf numFmtId="0" fontId="79" fillId="0" borderId="16" xfId="0" applyFont="1" applyBorder="1"/>
    <xf numFmtId="0" fontId="79" fillId="0" borderId="18" xfId="0" applyFont="1" applyBorder="1" applyAlignment="1">
      <alignment horizontal="center"/>
    </xf>
    <xf numFmtId="0" fontId="79" fillId="0" borderId="13" xfId="0" applyFont="1" applyBorder="1" applyAlignment="1">
      <alignment horizontal="center"/>
    </xf>
    <xf numFmtId="0" fontId="79" fillId="0" borderId="71" xfId="0" applyFont="1" applyBorder="1" applyAlignment="1">
      <alignment horizontal="center"/>
    </xf>
    <xf numFmtId="0" fontId="79" fillId="0" borderId="47" xfId="0" applyFont="1" applyBorder="1" applyAlignment="1">
      <alignment horizontal="center"/>
    </xf>
    <xf numFmtId="0" fontId="79" fillId="5" borderId="23" xfId="0" applyFont="1" applyFill="1" applyBorder="1"/>
    <xf numFmtId="0" fontId="79" fillId="5" borderId="25" xfId="0" applyFont="1" applyFill="1" applyBorder="1"/>
    <xf numFmtId="0" fontId="79" fillId="5" borderId="27" xfId="0" applyFont="1" applyFill="1" applyBorder="1"/>
    <xf numFmtId="0" fontId="79" fillId="0" borderId="10" xfId="0" applyFont="1" applyBorder="1"/>
    <xf numFmtId="0" fontId="79" fillId="0" borderId="23" xfId="0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5" borderId="19" xfId="0" applyFont="1" applyFill="1" applyBorder="1"/>
    <xf numFmtId="0" fontId="79" fillId="5" borderId="14" xfId="0" applyFont="1" applyFill="1" applyBorder="1"/>
    <xf numFmtId="0" fontId="79" fillId="5" borderId="43" xfId="0" applyFont="1" applyFill="1" applyBorder="1"/>
    <xf numFmtId="0" fontId="79" fillId="0" borderId="11" xfId="0" applyFont="1" applyBorder="1"/>
    <xf numFmtId="0" fontId="79" fillId="0" borderId="19" xfId="0" applyFont="1" applyBorder="1" applyAlignment="1">
      <alignment horizontal="center"/>
    </xf>
    <xf numFmtId="0" fontId="79" fillId="0" borderId="70" xfId="0" applyFont="1" applyBorder="1" applyAlignment="1">
      <alignment horizontal="center"/>
    </xf>
    <xf numFmtId="0" fontId="79" fillId="0" borderId="58" xfId="0" applyFont="1" applyBorder="1" applyAlignment="1">
      <alignment horizontal="center"/>
    </xf>
    <xf numFmtId="0" fontId="79" fillId="0" borderId="59" xfId="0" applyFont="1" applyBorder="1" applyAlignment="1">
      <alignment horizontal="center"/>
    </xf>
    <xf numFmtId="0" fontId="79" fillId="0" borderId="69" xfId="0" applyFont="1" applyBorder="1" applyAlignment="1">
      <alignment horizontal="center"/>
    </xf>
    <xf numFmtId="0" fontId="79" fillId="0" borderId="62" xfId="0" applyFont="1" applyBorder="1" applyAlignment="1">
      <alignment horizontal="center"/>
    </xf>
    <xf numFmtId="0" fontId="79" fillId="0" borderId="34" xfId="0" applyFont="1" applyBorder="1"/>
    <xf numFmtId="0" fontId="79" fillId="0" borderId="40" xfId="0" applyFont="1" applyBorder="1" applyAlignment="1">
      <alignment horizontal="center"/>
    </xf>
    <xf numFmtId="0" fontId="79" fillId="0" borderId="37" xfId="0" applyFont="1" applyBorder="1" applyAlignment="1">
      <alignment horizontal="center"/>
    </xf>
    <xf numFmtId="0" fontId="79" fillId="0" borderId="49" xfId="0" applyFont="1" applyBorder="1" applyAlignment="1">
      <alignment horizontal="center"/>
    </xf>
    <xf numFmtId="0" fontId="79" fillId="0" borderId="44" xfId="0" applyFont="1" applyBorder="1" applyAlignment="1">
      <alignment horizontal="center"/>
    </xf>
    <xf numFmtId="0" fontId="81" fillId="12" borderId="0" xfId="0" applyFont="1" applyFill="1"/>
    <xf numFmtId="0" fontId="80" fillId="12" borderId="0" xfId="0" applyFont="1" applyFill="1"/>
    <xf numFmtId="0" fontId="80" fillId="12" borderId="0" xfId="0" applyFont="1" applyFill="1" applyAlignment="1">
      <alignment horizontal="right"/>
    </xf>
    <xf numFmtId="0" fontId="79" fillId="5" borderId="0" xfId="0" applyFont="1" applyFill="1" applyAlignment="1">
      <alignment horizontal="right" wrapText="1"/>
    </xf>
    <xf numFmtId="0" fontId="80" fillId="0" borderId="39" xfId="0" applyFont="1" applyBorder="1"/>
    <xf numFmtId="0" fontId="79" fillId="0" borderId="1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50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 wrapText="1"/>
    </xf>
    <xf numFmtId="0" fontId="79" fillId="5" borderId="18" xfId="0" applyFont="1" applyFill="1" applyBorder="1" applyAlignment="1">
      <alignment vertical="center"/>
    </xf>
    <xf numFmtId="0" fontId="79" fillId="5" borderId="13" xfId="0" applyFont="1" applyFill="1" applyBorder="1" applyAlignment="1">
      <alignment vertical="center"/>
    </xf>
    <xf numFmtId="0" fontId="7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4" borderId="76" xfId="11" applyAlignment="1">
      <alignment horizontal="center"/>
    </xf>
    <xf numFmtId="0" fontId="27" fillId="24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6" borderId="62" xfId="0" applyFill="1" applyBorder="1"/>
    <xf numFmtId="0" fontId="0" fillId="26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6" borderId="62" xfId="0" applyNumberFormat="1" applyFill="1" applyBorder="1"/>
    <xf numFmtId="0" fontId="0" fillId="0" borderId="0" xfId="0" applyAlignment="1">
      <alignment horizontal="right" vertical="center"/>
    </xf>
    <xf numFmtId="14" fontId="4" fillId="25" borderId="70" xfId="12" applyNumberFormat="1" applyBorder="1"/>
    <xf numFmtId="0" fontId="4" fillId="25" borderId="62" xfId="12" applyBorder="1"/>
    <xf numFmtId="0" fontId="4" fillId="25" borderId="62" xfId="12" applyBorder="1" applyAlignment="1">
      <alignment horizontal="right" vertical="center"/>
    </xf>
    <xf numFmtId="0" fontId="4" fillId="25" borderId="21" xfId="12" applyBorder="1" applyAlignment="1">
      <alignment horizontal="right"/>
    </xf>
    <xf numFmtId="0" fontId="0" fillId="25" borderId="62" xfId="12" applyFont="1" applyBorder="1" applyAlignment="1">
      <alignment horizontal="right"/>
    </xf>
    <xf numFmtId="0" fontId="0" fillId="25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6" borderId="70" xfId="0" applyNumberFormat="1" applyFill="1" applyBorder="1"/>
    <xf numFmtId="0" fontId="0" fillId="26" borderId="21" xfId="0" applyFill="1" applyBorder="1" applyAlignment="1">
      <alignment horizontal="right"/>
    </xf>
    <xf numFmtId="0" fontId="0" fillId="26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83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83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0" fontId="33" fillId="0" borderId="0" xfId="3" applyFont="1" applyAlignment="1">
      <alignment vertical="center" textRotation="90"/>
    </xf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7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31" fillId="5" borderId="57" xfId="10" applyNumberFormat="1" applyFont="1" applyFill="1" applyBorder="1"/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58" fillId="0" borderId="19" xfId="0" applyFont="1" applyBorder="1" applyAlignment="1">
      <alignment wrapText="1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2" fillId="10" borderId="0" xfId="0" applyNumberFormat="1" applyFont="1" applyFill="1"/>
    <xf numFmtId="0" fontId="83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83" fillId="0" borderId="70" xfId="0" applyNumberFormat="1" applyFont="1" applyBorder="1"/>
    <xf numFmtId="3" fontId="83" fillId="0" borderId="43" xfId="0" applyNumberFormat="1" applyFont="1" applyBorder="1"/>
    <xf numFmtId="0" fontId="83" fillId="0" borderId="14" xfId="0" applyFont="1" applyBorder="1" applyAlignment="1">
      <alignment horizontal="right" wrapText="1"/>
    </xf>
    <xf numFmtId="0" fontId="78" fillId="0" borderId="0" xfId="0" applyFont="1" applyAlignment="1">
      <alignment wrapText="1"/>
    </xf>
    <xf numFmtId="0" fontId="85" fillId="5" borderId="0" xfId="0" applyFont="1" applyFill="1"/>
    <xf numFmtId="0" fontId="0" fillId="5" borderId="0" xfId="0" applyFill="1"/>
    <xf numFmtId="0" fontId="86" fillId="5" borderId="0" xfId="0" applyFont="1" applyFill="1"/>
    <xf numFmtId="0" fontId="87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88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89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88" fillId="5" borderId="0" xfId="0" applyFont="1" applyFill="1" applyAlignment="1">
      <alignment horizontal="right"/>
    </xf>
    <xf numFmtId="168" fontId="88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88" fillId="5" borderId="0" xfId="0" applyNumberFormat="1" applyFont="1" applyFill="1" applyAlignment="1">
      <alignment horizontal="right"/>
    </xf>
    <xf numFmtId="0" fontId="19" fillId="5" borderId="0" xfId="0" applyFont="1" applyFill="1"/>
    <xf numFmtId="0" fontId="90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8" borderId="23" xfId="0" applyFill="1" applyBorder="1"/>
    <xf numFmtId="0" fontId="0" fillId="28" borderId="25" xfId="0" applyFill="1" applyBorder="1" applyAlignment="1">
      <alignment horizontal="right" indent="5"/>
    </xf>
    <xf numFmtId="168" fontId="0" fillId="28" borderId="25" xfId="0" applyNumberFormat="1" applyFill="1" applyBorder="1" applyAlignment="1">
      <alignment horizontal="right" indent="1"/>
    </xf>
    <xf numFmtId="0" fontId="0" fillId="28" borderId="25" xfId="0" applyFill="1" applyBorder="1"/>
    <xf numFmtId="0" fontId="0" fillId="28" borderId="27" xfId="0" applyFill="1" applyBorder="1" applyAlignment="1">
      <alignment horizontal="center"/>
    </xf>
    <xf numFmtId="0" fontId="0" fillId="28" borderId="14" xfId="0" applyFill="1" applyBorder="1"/>
    <xf numFmtId="0" fontId="0" fillId="28" borderId="23" xfId="0" applyFill="1" applyBorder="1" applyAlignment="1">
      <alignment wrapText="1"/>
    </xf>
    <xf numFmtId="168" fontId="0" fillId="28" borderId="14" xfId="0" applyNumberFormat="1" applyFill="1" applyBorder="1" applyAlignment="1">
      <alignment horizontal="right" indent="1"/>
    </xf>
    <xf numFmtId="0" fontId="0" fillId="28" borderId="19" xfId="0" applyFill="1" applyBorder="1"/>
    <xf numFmtId="0" fontId="0" fillId="28" borderId="14" xfId="0" applyFill="1" applyBorder="1" applyAlignment="1">
      <alignment horizontal="right" indent="5"/>
    </xf>
    <xf numFmtId="0" fontId="0" fillId="28" borderId="43" xfId="0" applyFill="1" applyBorder="1" applyAlignment="1">
      <alignment horizontal="center"/>
    </xf>
    <xf numFmtId="0" fontId="0" fillId="28" borderId="40" xfId="0" applyFill="1" applyBorder="1"/>
    <xf numFmtId="0" fontId="0" fillId="28" borderId="37" xfId="0" applyFill="1" applyBorder="1" applyAlignment="1">
      <alignment horizontal="right" indent="5"/>
    </xf>
    <xf numFmtId="168" fontId="0" fillId="28" borderId="37" xfId="0" applyNumberFormat="1" applyFill="1" applyBorder="1" applyAlignment="1">
      <alignment horizontal="right" indent="1"/>
    </xf>
    <xf numFmtId="0" fontId="0" fillId="28" borderId="37" xfId="0" applyFill="1" applyBorder="1"/>
    <xf numFmtId="0" fontId="0" fillId="28" borderId="33" xfId="0" applyFill="1" applyBorder="1" applyAlignment="1">
      <alignment horizontal="center"/>
    </xf>
    <xf numFmtId="0" fontId="0" fillId="28" borderId="27" xfId="0" applyFill="1" applyBorder="1" applyAlignment="1">
      <alignment horizontal="right" indent="5"/>
    </xf>
    <xf numFmtId="168" fontId="0" fillId="28" borderId="23" xfId="0" applyNumberFormat="1" applyFill="1" applyBorder="1" applyAlignment="1">
      <alignment horizontal="right" indent="1"/>
    </xf>
    <xf numFmtId="0" fontId="0" fillId="28" borderId="27" xfId="0" applyFill="1" applyBorder="1"/>
    <xf numFmtId="3" fontId="0" fillId="28" borderId="27" xfId="0" applyNumberFormat="1" applyFill="1" applyBorder="1" applyAlignment="1">
      <alignment horizontal="right" indent="5"/>
    </xf>
    <xf numFmtId="0" fontId="0" fillId="28" borderId="33" xfId="0" applyFill="1" applyBorder="1" applyAlignment="1">
      <alignment horizontal="right" indent="5"/>
    </xf>
    <xf numFmtId="168" fontId="0" fillId="28" borderId="40" xfId="0" applyNumberFormat="1" applyFill="1" applyBorder="1" applyAlignment="1">
      <alignment horizontal="right" indent="1"/>
    </xf>
    <xf numFmtId="0" fontId="0" fillId="28" borderId="33" xfId="0" applyFill="1" applyBorder="1"/>
    <xf numFmtId="0" fontId="0" fillId="28" borderId="10" xfId="0" applyFill="1" applyBorder="1"/>
    <xf numFmtId="168" fontId="0" fillId="28" borderId="42" xfId="0" applyNumberFormat="1" applyFill="1" applyBorder="1" applyAlignment="1">
      <alignment horizontal="right" indent="1"/>
    </xf>
    <xf numFmtId="0" fontId="0" fillId="28" borderId="43" xfId="0" applyFill="1" applyBorder="1" applyAlignment="1">
      <alignment horizontal="center" wrapText="1"/>
    </xf>
    <xf numFmtId="0" fontId="0" fillId="28" borderId="53" xfId="0" applyFill="1" applyBorder="1"/>
    <xf numFmtId="168" fontId="0" fillId="28" borderId="54" xfId="0" applyNumberFormat="1" applyFill="1" applyBorder="1" applyAlignment="1">
      <alignment horizontal="right" indent="1"/>
    </xf>
    <xf numFmtId="168" fontId="0" fillId="28" borderId="55" xfId="0" applyNumberFormat="1" applyFill="1" applyBorder="1" applyAlignment="1">
      <alignment horizontal="right" indent="1"/>
    </xf>
    <xf numFmtId="168" fontId="0" fillId="28" borderId="51" xfId="0" applyNumberFormat="1" applyFill="1" applyBorder="1" applyAlignment="1">
      <alignment horizontal="right" indent="1"/>
    </xf>
    <xf numFmtId="0" fontId="0" fillId="28" borderId="28" xfId="0" applyFill="1" applyBorder="1"/>
    <xf numFmtId="0" fontId="0" fillId="28" borderId="33" xfId="0" applyFill="1" applyBorder="1" applyAlignment="1">
      <alignment horizontal="center" wrapText="1"/>
    </xf>
    <xf numFmtId="168" fontId="0" fillId="28" borderId="19" xfId="0" applyNumberFormat="1" applyFill="1" applyBorder="1" applyAlignment="1">
      <alignment horizontal="right" indent="1"/>
    </xf>
    <xf numFmtId="0" fontId="0" fillId="28" borderId="34" xfId="0" applyFill="1" applyBorder="1"/>
    <xf numFmtId="168" fontId="0" fillId="28" borderId="48" xfId="0" applyNumberFormat="1" applyFill="1" applyBorder="1" applyAlignment="1">
      <alignment horizontal="right" indent="1"/>
    </xf>
    <xf numFmtId="0" fontId="0" fillId="28" borderId="51" xfId="0" applyFill="1" applyBorder="1"/>
    <xf numFmtId="0" fontId="0" fillId="28" borderId="11" xfId="0" applyFill="1" applyBorder="1"/>
    <xf numFmtId="0" fontId="0" fillId="28" borderId="43" xfId="0" applyFill="1" applyBorder="1"/>
    <xf numFmtId="0" fontId="0" fillId="28" borderId="11" xfId="0" applyFill="1" applyBorder="1" applyAlignment="1">
      <alignment horizontal="center"/>
    </xf>
    <xf numFmtId="0" fontId="0" fillId="28" borderId="34" xfId="0" applyFill="1" applyBorder="1" applyAlignment="1">
      <alignment wrapText="1"/>
    </xf>
    <xf numFmtId="168" fontId="11" fillId="5" borderId="0" xfId="0" applyNumberFormat="1" applyFont="1" applyFill="1" applyAlignment="1">
      <alignment horizontal="center"/>
    </xf>
    <xf numFmtId="0" fontId="11" fillId="33" borderId="0" xfId="0" applyFont="1" applyFill="1"/>
    <xf numFmtId="168" fontId="11" fillId="33" borderId="0" xfId="0" applyNumberFormat="1" applyFont="1" applyFill="1" applyAlignment="1">
      <alignment horizontal="center"/>
    </xf>
    <xf numFmtId="168" fontId="0" fillId="33" borderId="0" xfId="0" applyNumberFormat="1" applyFill="1"/>
    <xf numFmtId="0" fontId="88" fillId="33" borderId="0" xfId="0" applyFont="1" applyFill="1" applyAlignment="1">
      <alignment horizontal="right"/>
    </xf>
    <xf numFmtId="168" fontId="88" fillId="33" borderId="0" xfId="0" applyNumberFormat="1" applyFont="1" applyFill="1"/>
    <xf numFmtId="0" fontId="0" fillId="33" borderId="0" xfId="0" applyFill="1"/>
    <xf numFmtId="0" fontId="0" fillId="28" borderId="8" xfId="0" applyFill="1" applyBorder="1" applyAlignment="1">
      <alignment horizontal="center"/>
    </xf>
    <xf numFmtId="43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43" fontId="33" fillId="4" borderId="0" xfId="1" applyFont="1" applyFill="1" applyAlignment="1"/>
    <xf numFmtId="3" fontId="31" fillId="5" borderId="0" xfId="0" applyNumberFormat="1" applyFont="1" applyFill="1"/>
    <xf numFmtId="0" fontId="91" fillId="22" borderId="23" xfId="0" applyFont="1" applyFill="1" applyBorder="1"/>
    <xf numFmtId="0" fontId="91" fillId="22" borderId="25" xfId="0" applyFont="1" applyFill="1" applyBorder="1" applyAlignment="1">
      <alignment horizontal="right" indent="5"/>
    </xf>
    <xf numFmtId="168" fontId="91" fillId="22" borderId="25" xfId="0" applyNumberFormat="1" applyFont="1" applyFill="1" applyBorder="1" applyAlignment="1">
      <alignment horizontal="right" indent="1"/>
    </xf>
    <xf numFmtId="0" fontId="91" fillId="22" borderId="25" xfId="0" applyFont="1" applyFill="1" applyBorder="1"/>
    <xf numFmtId="0" fontId="91" fillId="22" borderId="25" xfId="0" applyFont="1" applyFill="1" applyBorder="1" applyAlignment="1">
      <alignment horizontal="center"/>
    </xf>
    <xf numFmtId="0" fontId="91" fillId="22" borderId="27" xfId="0" applyFont="1" applyFill="1" applyBorder="1"/>
    <xf numFmtId="0" fontId="91" fillId="22" borderId="23" xfId="0" applyFont="1" applyFill="1" applyBorder="1" applyAlignment="1">
      <alignment wrapText="1"/>
    </xf>
    <xf numFmtId="0" fontId="91" fillId="22" borderId="14" xfId="0" applyFont="1" applyFill="1" applyBorder="1"/>
    <xf numFmtId="0" fontId="92" fillId="22" borderId="25" xfId="0" applyFont="1" applyFill="1" applyBorder="1" applyAlignment="1">
      <alignment horizontal="center"/>
    </xf>
    <xf numFmtId="0" fontId="91" fillId="22" borderId="27" xfId="0" applyFont="1" applyFill="1" applyBorder="1" applyAlignment="1">
      <alignment horizontal="center"/>
    </xf>
    <xf numFmtId="0" fontId="91" fillId="22" borderId="25" xfId="0" applyFont="1" applyFill="1" applyBorder="1" applyAlignment="1">
      <alignment horizontal="left"/>
    </xf>
    <xf numFmtId="0" fontId="91" fillId="22" borderId="19" xfId="0" applyFont="1" applyFill="1" applyBorder="1"/>
    <xf numFmtId="0" fontId="91" fillId="22" borderId="14" xfId="0" applyFont="1" applyFill="1" applyBorder="1" applyAlignment="1">
      <alignment horizontal="right" indent="5"/>
    </xf>
    <xf numFmtId="0" fontId="91" fillId="22" borderId="14" xfId="0" applyFont="1" applyFill="1" applyBorder="1" applyAlignment="1">
      <alignment horizontal="center"/>
    </xf>
    <xf numFmtId="0" fontId="92" fillId="22" borderId="14" xfId="0" applyFont="1" applyFill="1" applyBorder="1" applyAlignment="1">
      <alignment horizontal="center"/>
    </xf>
    <xf numFmtId="0" fontId="91" fillId="22" borderId="43" xfId="0" applyFont="1" applyFill="1" applyBorder="1" applyAlignment="1">
      <alignment horizontal="center"/>
    </xf>
    <xf numFmtId="0" fontId="91" fillId="22" borderId="43" xfId="0" applyFont="1" applyFill="1" applyBorder="1"/>
    <xf numFmtId="0" fontId="91" fillId="22" borderId="24" xfId="0" applyFont="1" applyFill="1" applyBorder="1" applyAlignment="1">
      <alignment horizontal="right" indent="5"/>
    </xf>
    <xf numFmtId="168" fontId="91" fillId="22" borderId="14" xfId="0" applyNumberFormat="1" applyFont="1" applyFill="1" applyBorder="1" applyAlignment="1">
      <alignment horizontal="right" indent="1"/>
    </xf>
    <xf numFmtId="168" fontId="91" fillId="22" borderId="38" xfId="0" applyNumberFormat="1" applyFont="1" applyFill="1" applyBorder="1" applyAlignment="1">
      <alignment horizontal="right" indent="1"/>
    </xf>
    <xf numFmtId="0" fontId="91" fillId="22" borderId="24" xfId="0" applyFont="1" applyFill="1" applyBorder="1" applyAlignment="1">
      <alignment horizontal="center"/>
    </xf>
    <xf numFmtId="0" fontId="92" fillId="22" borderId="24" xfId="0" applyFont="1" applyFill="1" applyBorder="1" applyAlignment="1">
      <alignment horizontal="center"/>
    </xf>
    <xf numFmtId="0" fontId="91" fillId="22" borderId="24" xfId="0" applyFont="1" applyFill="1" applyBorder="1"/>
    <xf numFmtId="0" fontId="91" fillId="22" borderId="40" xfId="0" applyFont="1" applyFill="1" applyBorder="1"/>
    <xf numFmtId="0" fontId="91" fillId="22" borderId="37" xfId="0" applyFont="1" applyFill="1" applyBorder="1" applyAlignment="1">
      <alignment horizontal="right" indent="5"/>
    </xf>
    <xf numFmtId="168" fontId="91" fillId="22" borderId="37" xfId="0" applyNumberFormat="1" applyFont="1" applyFill="1" applyBorder="1" applyAlignment="1">
      <alignment horizontal="right" indent="1"/>
    </xf>
    <xf numFmtId="168" fontId="91" fillId="22" borderId="51" xfId="0" applyNumberFormat="1" applyFont="1" applyFill="1" applyBorder="1" applyAlignment="1">
      <alignment horizontal="right" indent="1"/>
    </xf>
    <xf numFmtId="0" fontId="91" fillId="22" borderId="37" xfId="0" applyFont="1" applyFill="1" applyBorder="1"/>
    <xf numFmtId="0" fontId="91" fillId="22" borderId="37" xfId="0" applyFont="1" applyFill="1" applyBorder="1" applyAlignment="1">
      <alignment horizontal="center"/>
    </xf>
    <xf numFmtId="0" fontId="92" fillId="22" borderId="37" xfId="0" applyFont="1" applyFill="1" applyBorder="1" applyAlignment="1">
      <alignment horizontal="center"/>
    </xf>
    <xf numFmtId="0" fontId="91" fillId="22" borderId="33" xfId="0" applyFont="1" applyFill="1" applyBorder="1" applyAlignment="1">
      <alignment horizontal="center"/>
    </xf>
    <xf numFmtId="0" fontId="91" fillId="22" borderId="33" xfId="0" applyFont="1" applyFill="1" applyBorder="1"/>
    <xf numFmtId="0" fontId="91" fillId="5" borderId="0" xfId="0" applyFont="1" applyFill="1"/>
    <xf numFmtId="0" fontId="92" fillId="5" borderId="0" xfId="0" applyFont="1" applyFill="1"/>
    <xf numFmtId="3" fontId="91" fillId="5" borderId="0" xfId="0" applyNumberFormat="1" applyFont="1" applyFill="1" applyAlignment="1">
      <alignment horizontal="right" indent="5"/>
    </xf>
    <xf numFmtId="168" fontId="91" fillId="5" borderId="0" xfId="0" applyNumberFormat="1" applyFont="1" applyFill="1"/>
    <xf numFmtId="0" fontId="92" fillId="5" borderId="1" xfId="0" applyFont="1" applyFill="1" applyBorder="1"/>
    <xf numFmtId="0" fontId="92" fillId="5" borderId="56" xfId="0" applyFont="1" applyFill="1" applyBorder="1"/>
    <xf numFmtId="0" fontId="92" fillId="5" borderId="5" xfId="0" applyFont="1" applyFill="1" applyBorder="1"/>
    <xf numFmtId="0" fontId="91" fillId="34" borderId="18" xfId="0" applyFont="1" applyFill="1" applyBorder="1"/>
    <xf numFmtId="0" fontId="91" fillId="34" borderId="60" xfId="0" applyFont="1" applyFill="1" applyBorder="1" applyAlignment="1">
      <alignment horizontal="right" indent="5"/>
    </xf>
    <xf numFmtId="168" fontId="91" fillId="34" borderId="23" xfId="0" applyNumberFormat="1" applyFont="1" applyFill="1" applyBorder="1" applyAlignment="1">
      <alignment horizontal="right" indent="1"/>
    </xf>
    <xf numFmtId="168" fontId="91" fillId="34" borderId="25" xfId="0" applyNumberFormat="1" applyFont="1" applyFill="1" applyBorder="1" applyAlignment="1">
      <alignment horizontal="right" indent="1"/>
    </xf>
    <xf numFmtId="168" fontId="91" fillId="34" borderId="14" xfId="0" applyNumberFormat="1" applyFont="1" applyFill="1" applyBorder="1" applyAlignment="1">
      <alignment horizontal="right" indent="1"/>
    </xf>
    <xf numFmtId="0" fontId="91" fillId="34" borderId="25" xfId="0" applyFont="1" applyFill="1" applyBorder="1"/>
    <xf numFmtId="0" fontId="91" fillId="34" borderId="27" xfId="0" applyFont="1" applyFill="1" applyBorder="1"/>
    <xf numFmtId="0" fontId="93" fillId="5" borderId="0" xfId="0" applyFont="1" applyFill="1"/>
    <xf numFmtId="0" fontId="91" fillId="34" borderId="23" xfId="0" applyFont="1" applyFill="1" applyBorder="1"/>
    <xf numFmtId="0" fontId="91" fillId="34" borderId="27" xfId="0" applyFont="1" applyFill="1" applyBorder="1" applyAlignment="1">
      <alignment horizontal="right" indent="5"/>
    </xf>
    <xf numFmtId="0" fontId="91" fillId="0" borderId="0" xfId="0" applyFont="1"/>
    <xf numFmtId="0" fontId="91" fillId="34" borderId="14" xfId="0" applyFont="1" applyFill="1" applyBorder="1"/>
    <xf numFmtId="0" fontId="91" fillId="34" borderId="14" xfId="0" applyFont="1" applyFill="1" applyBorder="1" applyAlignment="1">
      <alignment horizontal="right" indent="5"/>
    </xf>
    <xf numFmtId="0" fontId="92" fillId="5" borderId="3" xfId="0" applyFont="1" applyFill="1" applyBorder="1"/>
    <xf numFmtId="0" fontId="92" fillId="5" borderId="22" xfId="0" applyFont="1" applyFill="1" applyBorder="1"/>
    <xf numFmtId="0" fontId="91" fillId="20" borderId="10" xfId="0" applyFont="1" applyFill="1" applyBorder="1"/>
    <xf numFmtId="168" fontId="91" fillId="20" borderId="19" xfId="0" applyNumberFormat="1" applyFont="1" applyFill="1" applyBorder="1" applyAlignment="1">
      <alignment horizontal="right" indent="1"/>
    </xf>
    <xf numFmtId="168" fontId="91" fillId="20" borderId="42" xfId="0" applyNumberFormat="1" applyFont="1" applyFill="1" applyBorder="1" applyAlignment="1">
      <alignment horizontal="right" indent="1"/>
    </xf>
    <xf numFmtId="168" fontId="91" fillId="20" borderId="25" xfId="0" applyNumberFormat="1" applyFont="1" applyFill="1" applyBorder="1" applyAlignment="1">
      <alignment horizontal="right" indent="1"/>
    </xf>
    <xf numFmtId="0" fontId="91" fillId="20" borderId="25" xfId="0" applyFont="1" applyFill="1" applyBorder="1"/>
    <xf numFmtId="0" fontId="91" fillId="20" borderId="14" xfId="0" applyFont="1" applyFill="1" applyBorder="1"/>
    <xf numFmtId="0" fontId="91" fillId="20" borderId="27" xfId="0" applyFont="1" applyFill="1" applyBorder="1"/>
    <xf numFmtId="0" fontId="91" fillId="20" borderId="34" xfId="0" applyFont="1" applyFill="1" applyBorder="1"/>
    <xf numFmtId="168" fontId="91" fillId="20" borderId="40" xfId="0" applyNumberFormat="1" applyFont="1" applyFill="1" applyBorder="1" applyAlignment="1">
      <alignment horizontal="right" indent="1"/>
    </xf>
    <xf numFmtId="168" fontId="91" fillId="20" borderId="48" xfId="0" applyNumberFormat="1" applyFont="1" applyFill="1" applyBorder="1" applyAlignment="1">
      <alignment horizontal="right" indent="1"/>
    </xf>
    <xf numFmtId="168" fontId="91" fillId="20" borderId="37" xfId="0" applyNumberFormat="1" applyFont="1" applyFill="1" applyBorder="1" applyAlignment="1">
      <alignment horizontal="right" indent="1"/>
    </xf>
    <xf numFmtId="0" fontId="91" fillId="20" borderId="37" xfId="0" applyFont="1" applyFill="1" applyBorder="1"/>
    <xf numFmtId="0" fontId="91" fillId="20" borderId="51" xfId="0" applyFont="1" applyFill="1" applyBorder="1"/>
    <xf numFmtId="0" fontId="91" fillId="20" borderId="28" xfId="0" applyFont="1" applyFill="1" applyBorder="1"/>
    <xf numFmtId="0" fontId="91" fillId="27" borderId="10" xfId="0" applyFont="1" applyFill="1" applyBorder="1"/>
    <xf numFmtId="168" fontId="91" fillId="27" borderId="23" xfId="0" applyNumberFormat="1" applyFont="1" applyFill="1" applyBorder="1" applyAlignment="1">
      <alignment horizontal="right" indent="1"/>
    </xf>
    <xf numFmtId="168" fontId="91" fillId="27" borderId="42" xfId="0" applyNumberFormat="1" applyFont="1" applyFill="1" applyBorder="1" applyAlignment="1">
      <alignment horizontal="right" indent="1"/>
    </xf>
    <xf numFmtId="168" fontId="91" fillId="27" borderId="25" xfId="0" applyNumberFormat="1" applyFont="1" applyFill="1" applyBorder="1" applyAlignment="1">
      <alignment horizontal="right" indent="1"/>
    </xf>
    <xf numFmtId="0" fontId="91" fillId="27" borderId="27" xfId="0" applyFont="1" applyFill="1" applyBorder="1"/>
    <xf numFmtId="0" fontId="91" fillId="27" borderId="25" xfId="0" applyFont="1" applyFill="1" applyBorder="1"/>
    <xf numFmtId="168" fontId="91" fillId="27" borderId="19" xfId="0" applyNumberFormat="1" applyFont="1" applyFill="1" applyBorder="1" applyAlignment="1">
      <alignment horizontal="right" indent="1"/>
    </xf>
    <xf numFmtId="168" fontId="91" fillId="27" borderId="21" xfId="0" applyNumberFormat="1" applyFont="1" applyFill="1" applyBorder="1" applyAlignment="1">
      <alignment horizontal="right" indent="1"/>
    </xf>
    <xf numFmtId="168" fontId="91" fillId="27" borderId="14" xfId="0" applyNumberFormat="1" applyFont="1" applyFill="1" applyBorder="1" applyAlignment="1">
      <alignment horizontal="right" indent="1"/>
    </xf>
    <xf numFmtId="0" fontId="91" fillId="27" borderId="43" xfId="0" applyFont="1" applyFill="1" applyBorder="1"/>
    <xf numFmtId="0" fontId="91" fillId="27" borderId="34" xfId="0" applyFont="1" applyFill="1" applyBorder="1"/>
    <xf numFmtId="168" fontId="91" fillId="27" borderId="54" xfId="0" applyNumberFormat="1" applyFont="1" applyFill="1" applyBorder="1" applyAlignment="1">
      <alignment horizontal="right" indent="1"/>
    </xf>
    <xf numFmtId="168" fontId="91" fillId="27" borderId="55" xfId="0" applyNumberFormat="1" applyFont="1" applyFill="1" applyBorder="1" applyAlignment="1">
      <alignment horizontal="right" indent="1"/>
    </xf>
    <xf numFmtId="168" fontId="91" fillId="27" borderId="51" xfId="0" applyNumberFormat="1" applyFont="1" applyFill="1" applyBorder="1" applyAlignment="1">
      <alignment horizontal="right" indent="1"/>
    </xf>
    <xf numFmtId="0" fontId="91" fillId="27" borderId="28" xfId="0" applyFont="1" applyFill="1" applyBorder="1"/>
    <xf numFmtId="0" fontId="91" fillId="8" borderId="10" xfId="0" applyFont="1" applyFill="1" applyBorder="1"/>
    <xf numFmtId="168" fontId="91" fillId="8" borderId="23" xfId="0" applyNumberFormat="1" applyFont="1" applyFill="1" applyBorder="1" applyAlignment="1">
      <alignment horizontal="right" indent="1"/>
    </xf>
    <xf numFmtId="168" fontId="91" fillId="8" borderId="42" xfId="0" applyNumberFormat="1" applyFont="1" applyFill="1" applyBorder="1" applyAlignment="1">
      <alignment horizontal="right" indent="1"/>
    </xf>
    <xf numFmtId="168" fontId="91" fillId="8" borderId="25" xfId="0" applyNumberFormat="1" applyFont="1" applyFill="1" applyBorder="1" applyAlignment="1">
      <alignment horizontal="right" indent="1"/>
    </xf>
    <xf numFmtId="0" fontId="91" fillId="8" borderId="27" xfId="0" applyFont="1" applyFill="1" applyBorder="1"/>
    <xf numFmtId="0" fontId="91" fillId="8" borderId="25" xfId="0" applyFont="1" applyFill="1" applyBorder="1"/>
    <xf numFmtId="0" fontId="91" fillId="8" borderId="14" xfId="0" applyFont="1" applyFill="1" applyBorder="1"/>
    <xf numFmtId="168" fontId="91" fillId="8" borderId="14" xfId="0" applyNumberFormat="1" applyFont="1" applyFill="1" applyBorder="1" applyAlignment="1">
      <alignment horizontal="right" indent="1"/>
    </xf>
    <xf numFmtId="0" fontId="92" fillId="5" borderId="0" xfId="0" applyFont="1" applyFill="1" applyAlignment="1">
      <alignment horizontal="center"/>
    </xf>
    <xf numFmtId="0" fontId="93" fillId="5" borderId="0" xfId="0" applyFont="1" applyFill="1" applyAlignment="1">
      <alignment horizontal="right"/>
    </xf>
    <xf numFmtId="168" fontId="93" fillId="5" borderId="0" xfId="0" applyNumberFormat="1" applyFont="1" applyFill="1"/>
    <xf numFmtId="168" fontId="92" fillId="5" borderId="0" xfId="0" applyNumberFormat="1" applyFont="1" applyFill="1"/>
    <xf numFmtId="0" fontId="94" fillId="5" borderId="0" xfId="0" applyFont="1" applyFill="1"/>
    <xf numFmtId="6" fontId="94" fillId="5" borderId="0" xfId="0" applyNumberFormat="1" applyFont="1" applyFill="1"/>
    <xf numFmtId="6" fontId="91" fillId="5" borderId="0" xfId="0" applyNumberFormat="1" applyFont="1" applyFill="1"/>
    <xf numFmtId="0" fontId="91" fillId="4" borderId="0" xfId="0" applyFont="1" applyFill="1"/>
    <xf numFmtId="168" fontId="91" fillId="4" borderId="0" xfId="0" applyNumberFormat="1" applyFont="1" applyFill="1"/>
    <xf numFmtId="0" fontId="94" fillId="4" borderId="0" xfId="0" applyFont="1" applyFill="1"/>
    <xf numFmtId="6" fontId="94" fillId="4" borderId="0" xfId="0" applyNumberFormat="1" applyFont="1" applyFill="1"/>
    <xf numFmtId="0" fontId="93" fillId="4" borderId="0" xfId="0" applyFont="1" applyFill="1" applyAlignment="1">
      <alignment horizontal="right"/>
    </xf>
    <xf numFmtId="168" fontId="93" fillId="4" borderId="0" xfId="0" applyNumberFormat="1" applyFont="1" applyFill="1"/>
    <xf numFmtId="0" fontId="92" fillId="4" borderId="0" xfId="0" applyFont="1" applyFill="1"/>
    <xf numFmtId="0" fontId="95" fillId="5" borderId="0" xfId="0" applyFont="1" applyFill="1"/>
    <xf numFmtId="0" fontId="96" fillId="5" borderId="0" xfId="0" applyFont="1" applyFill="1"/>
    <xf numFmtId="0" fontId="96" fillId="5" borderId="63" xfId="0" applyFont="1" applyFill="1" applyBorder="1"/>
    <xf numFmtId="0" fontId="92" fillId="5" borderId="64" xfId="0" applyFont="1" applyFill="1" applyBorder="1"/>
    <xf numFmtId="0" fontId="92" fillId="5" borderId="64" xfId="0" applyFont="1" applyFill="1" applyBorder="1" applyAlignment="1">
      <alignment horizontal="center"/>
    </xf>
    <xf numFmtId="0" fontId="92" fillId="5" borderId="67" xfId="0" applyFont="1" applyFill="1" applyBorder="1"/>
    <xf numFmtId="0" fontId="93" fillId="5" borderId="0" xfId="0" applyFont="1" applyFill="1" applyAlignment="1">
      <alignment horizontal="left" indent="8"/>
    </xf>
    <xf numFmtId="168" fontId="91" fillId="34" borderId="54" xfId="0" applyNumberFormat="1" applyFont="1" applyFill="1" applyBorder="1" applyAlignment="1">
      <alignment horizontal="right" indent="1"/>
    </xf>
    <xf numFmtId="168" fontId="91" fillId="34" borderId="51" xfId="0" applyNumberFormat="1" applyFont="1" applyFill="1" applyBorder="1" applyAlignment="1">
      <alignment horizontal="right" indent="1"/>
    </xf>
    <xf numFmtId="168" fontId="97" fillId="5" borderId="0" xfId="0" applyNumberFormat="1" applyFont="1" applyFill="1"/>
    <xf numFmtId="0" fontId="91" fillId="27" borderId="70" xfId="0" applyFont="1" applyFill="1" applyBorder="1"/>
    <xf numFmtId="0" fontId="91" fillId="27" borderId="14" xfId="0" applyFont="1" applyFill="1" applyBorder="1"/>
    <xf numFmtId="0" fontId="92" fillId="5" borderId="77" xfId="0" applyFont="1" applyFill="1" applyBorder="1"/>
    <xf numFmtId="0" fontId="92" fillId="5" borderId="95" xfId="0" applyFont="1" applyFill="1" applyBorder="1"/>
    <xf numFmtId="0" fontId="92" fillId="5" borderId="78" xfId="0" applyFont="1" applyFill="1" applyBorder="1"/>
    <xf numFmtId="0" fontId="92" fillId="5" borderId="79" xfId="0" applyFont="1" applyFill="1" applyBorder="1"/>
    <xf numFmtId="0" fontId="91" fillId="8" borderId="21" xfId="0" applyFont="1" applyFill="1" applyBorder="1"/>
    <xf numFmtId="168" fontId="91" fillId="8" borderId="19" xfId="0" applyNumberFormat="1" applyFont="1" applyFill="1" applyBorder="1" applyAlignment="1">
      <alignment horizontal="right" indent="1"/>
    </xf>
    <xf numFmtId="168" fontId="91" fillId="8" borderId="21" xfId="0" applyNumberFormat="1" applyFont="1" applyFill="1" applyBorder="1" applyAlignment="1">
      <alignment horizontal="right" indent="1"/>
    </xf>
    <xf numFmtId="0" fontId="91" fillId="8" borderId="43" xfId="0" applyFont="1" applyFill="1" applyBorder="1"/>
    <xf numFmtId="0" fontId="91" fillId="8" borderId="53" xfId="0" applyFont="1" applyFill="1" applyBorder="1"/>
    <xf numFmtId="168" fontId="91" fillId="8" borderId="54" xfId="0" applyNumberFormat="1" applyFont="1" applyFill="1" applyBorder="1" applyAlignment="1">
      <alignment horizontal="right" indent="1"/>
    </xf>
    <xf numFmtId="168" fontId="91" fillId="8" borderId="55" xfId="0" applyNumberFormat="1" applyFont="1" applyFill="1" applyBorder="1" applyAlignment="1">
      <alignment horizontal="right" indent="1"/>
    </xf>
    <xf numFmtId="168" fontId="91" fillId="8" borderId="51" xfId="0" applyNumberFormat="1" applyFont="1" applyFill="1" applyBorder="1" applyAlignment="1">
      <alignment horizontal="right" indent="1"/>
    </xf>
    <xf numFmtId="0" fontId="91" fillId="8" borderId="28" xfId="0" applyFont="1" applyFill="1" applyBorder="1"/>
    <xf numFmtId="0" fontId="91" fillId="8" borderId="51" xfId="0" applyFont="1" applyFill="1" applyBorder="1"/>
    <xf numFmtId="168" fontId="91" fillId="0" borderId="0" xfId="0" applyNumberFormat="1" applyFont="1" applyAlignment="1">
      <alignment horizontal="right" indent="1"/>
    </xf>
    <xf numFmtId="0" fontId="91" fillId="8" borderId="42" xfId="0" applyFont="1" applyFill="1" applyBorder="1"/>
    <xf numFmtId="0" fontId="91" fillId="8" borderId="55" xfId="0" applyFont="1" applyFill="1" applyBorder="1"/>
    <xf numFmtId="168" fontId="90" fillId="4" borderId="0" xfId="0" applyNumberFormat="1" applyFont="1" applyFill="1"/>
    <xf numFmtId="0" fontId="11" fillId="5" borderId="6" xfId="0" applyFont="1" applyFill="1" applyBorder="1"/>
    <xf numFmtId="0" fontId="91" fillId="22" borderId="7" xfId="0" applyFont="1" applyFill="1" applyBorder="1"/>
    <xf numFmtId="0" fontId="91" fillId="22" borderId="8" xfId="0" applyFont="1" applyFill="1" applyBorder="1"/>
    <xf numFmtId="0" fontId="91" fillId="22" borderId="9" xfId="0" applyFont="1" applyFill="1" applyBorder="1"/>
    <xf numFmtId="0" fontId="91" fillId="22" borderId="35" xfId="0" applyFont="1" applyFill="1" applyBorder="1"/>
    <xf numFmtId="0" fontId="91" fillId="22" borderId="23" xfId="0" applyFont="1" applyFill="1" applyBorder="1" applyAlignment="1">
      <alignment horizontal="right" indent="5"/>
    </xf>
    <xf numFmtId="0" fontId="91" fillId="22" borderId="19" xfId="0" applyFont="1" applyFill="1" applyBorder="1" applyAlignment="1">
      <alignment horizontal="right" indent="5"/>
    </xf>
    <xf numFmtId="0" fontId="91" fillId="22" borderId="29" xfId="0" applyFont="1" applyFill="1" applyBorder="1" applyAlignment="1">
      <alignment horizontal="right" indent="5"/>
    </xf>
    <xf numFmtId="0" fontId="91" fillId="22" borderId="66" xfId="0" applyFont="1" applyFill="1" applyBorder="1" applyAlignment="1">
      <alignment horizontal="center"/>
    </xf>
    <xf numFmtId="0" fontId="91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91" fillId="22" borderId="10" xfId="0" applyFont="1" applyFill="1" applyBorder="1"/>
    <xf numFmtId="0" fontId="91" fillId="22" borderId="10" xfId="0" applyFont="1" applyFill="1" applyBorder="1" applyAlignment="1">
      <alignment wrapText="1"/>
    </xf>
    <xf numFmtId="0" fontId="91" fillId="22" borderId="11" xfId="0" applyFont="1" applyFill="1" applyBorder="1"/>
    <xf numFmtId="0" fontId="91" fillId="22" borderId="12" xfId="0" applyFont="1" applyFill="1" applyBorder="1"/>
    <xf numFmtId="0" fontId="91" fillId="22" borderId="34" xfId="0" applyFont="1" applyFill="1" applyBorder="1"/>
    <xf numFmtId="0" fontId="91" fillId="34" borderId="70" xfId="0" applyFont="1" applyFill="1" applyBorder="1"/>
    <xf numFmtId="3" fontId="91" fillId="34" borderId="53" xfId="0" applyNumberFormat="1" applyFont="1" applyFill="1" applyBorder="1" applyAlignment="1">
      <alignment horizontal="right" indent="5"/>
    </xf>
    <xf numFmtId="0" fontId="91" fillId="34" borderId="21" xfId="0" applyFont="1" applyFill="1" applyBorder="1"/>
    <xf numFmtId="0" fontId="91" fillId="34" borderId="28" xfId="0" applyFont="1" applyFill="1" applyBorder="1"/>
    <xf numFmtId="3" fontId="62" fillId="0" borderId="0" xfId="0" applyNumberFormat="1" applyFont="1"/>
    <xf numFmtId="3" fontId="98" fillId="0" borderId="0" xfId="0" applyNumberFormat="1" applyFont="1"/>
    <xf numFmtId="3" fontId="61" fillId="0" borderId="0" xfId="0" applyNumberFormat="1" applyFont="1"/>
    <xf numFmtId="3" fontId="60" fillId="0" borderId="0" xfId="0" applyNumberFormat="1" applyFont="1"/>
    <xf numFmtId="3" fontId="98" fillId="0" borderId="0" xfId="0" applyNumberFormat="1" applyFont="1" applyAlignment="1">
      <alignment horizontal="center"/>
    </xf>
    <xf numFmtId="3" fontId="98" fillId="0" borderId="0" xfId="0" applyNumberFormat="1" applyFont="1" applyAlignment="1">
      <alignment horizontal="right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0" fontId="38" fillId="9" borderId="14" xfId="0" applyFont="1" applyFill="1" applyBorder="1" applyAlignment="1">
      <alignment horizontal="center"/>
    </xf>
    <xf numFmtId="3" fontId="38" fillId="0" borderId="0" xfId="0" applyNumberFormat="1" applyFont="1" applyAlignment="1">
      <alignment horizontal="right"/>
    </xf>
    <xf numFmtId="0" fontId="101" fillId="11" borderId="14" xfId="0" applyFont="1" applyFill="1" applyBorder="1" applyAlignment="1">
      <alignment horizontal="center"/>
    </xf>
    <xf numFmtId="0" fontId="101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02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02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03" fillId="0" borderId="0" xfId="0" applyNumberFormat="1" applyFont="1" applyAlignment="1">
      <alignment horizontal="center"/>
    </xf>
    <xf numFmtId="49" fontId="45" fillId="0" borderId="0" xfId="0" applyNumberFormat="1" applyFont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0" fontId="33" fillId="4" borderId="56" xfId="5" applyFont="1" applyFill="1" applyBorder="1" applyAlignment="1">
      <alignment horizontal="center" vertical="center" wrapText="1"/>
    </xf>
    <xf numFmtId="0" fontId="83" fillId="3" borderId="25" xfId="0" applyFont="1" applyFill="1" applyBorder="1" applyAlignment="1">
      <alignment horizontal="center"/>
    </xf>
    <xf numFmtId="0" fontId="83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83" fillId="0" borderId="19" xfId="0" applyNumberFormat="1" applyFont="1" applyBorder="1"/>
    <xf numFmtId="3" fontId="83" fillId="0" borderId="14" xfId="0" applyNumberFormat="1" applyFont="1" applyBorder="1"/>
    <xf numFmtId="3" fontId="83" fillId="0" borderId="8" xfId="0" applyNumberFormat="1" applyFont="1" applyBorder="1"/>
    <xf numFmtId="3" fontId="83" fillId="0" borderId="0" xfId="0" applyNumberFormat="1" applyFont="1"/>
    <xf numFmtId="4" fontId="83" fillId="0" borderId="0" xfId="0" applyNumberFormat="1" applyFont="1"/>
    <xf numFmtId="4" fontId="83" fillId="0" borderId="0" xfId="0" applyNumberFormat="1" applyFont="1" applyAlignment="1">
      <alignment horizontal="center"/>
    </xf>
    <xf numFmtId="0" fontId="83" fillId="22" borderId="0" xfId="0" applyFont="1" applyFill="1"/>
    <xf numFmtId="3" fontId="83" fillId="22" borderId="0" xfId="0" applyNumberFormat="1" applyFont="1" applyFill="1"/>
    <xf numFmtId="3" fontId="83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9" fontId="39" fillId="0" borderId="0" xfId="8" applyFont="1" applyAlignment="1">
      <alignment horizontal="center"/>
    </xf>
    <xf numFmtId="0" fontId="71" fillId="0" borderId="23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51" fillId="0" borderId="7" xfId="0" applyFont="1" applyBorder="1" applyAlignment="1">
      <alignment vertical="center" wrapText="1"/>
    </xf>
    <xf numFmtId="3" fontId="61" fillId="0" borderId="0" xfId="0" applyNumberFormat="1" applyFont="1" applyAlignment="1">
      <alignment horizontal="center"/>
    </xf>
    <xf numFmtId="3" fontId="84" fillId="4" borderId="3" xfId="0" applyNumberFormat="1" applyFont="1" applyFill="1" applyBorder="1"/>
    <xf numFmtId="3" fontId="70" fillId="22" borderId="0" xfId="0" applyNumberFormat="1" applyFont="1" applyFill="1"/>
    <xf numFmtId="0" fontId="51" fillId="4" borderId="25" xfId="0" applyFont="1" applyFill="1" applyBorder="1" applyAlignment="1">
      <alignment horizontal="center"/>
    </xf>
    <xf numFmtId="0" fontId="51" fillId="4" borderId="7" xfId="0" applyFont="1" applyFill="1" applyBorder="1" applyAlignment="1">
      <alignment wrapText="1"/>
    </xf>
    <xf numFmtId="0" fontId="31" fillId="0" borderId="0" xfId="5" applyFont="1"/>
    <xf numFmtId="0" fontId="35" fillId="0" borderId="0" xfId="5" applyFont="1"/>
    <xf numFmtId="0" fontId="31" fillId="0" borderId="0" xfId="6" applyFont="1"/>
    <xf numFmtId="0" fontId="35" fillId="0" borderId="0" xfId="6" applyFont="1"/>
    <xf numFmtId="3" fontId="104" fillId="2" borderId="3" xfId="5" applyNumberFormat="1" applyFont="1" applyFill="1" applyBorder="1" applyAlignment="1">
      <alignment horizontal="center" vertical="center" wrapText="1"/>
    </xf>
    <xf numFmtId="3" fontId="105" fillId="2" borderId="3" xfId="5" applyNumberFormat="1" applyFont="1" applyFill="1" applyBorder="1" applyAlignment="1">
      <alignment horizontal="center" vertical="center" wrapText="1"/>
    </xf>
    <xf numFmtId="3" fontId="106" fillId="0" borderId="16" xfId="6" applyNumberFormat="1" applyFont="1" applyBorder="1"/>
    <xf numFmtId="3" fontId="49" fillId="0" borderId="16" xfId="6" applyNumberFormat="1" applyFont="1" applyBorder="1"/>
    <xf numFmtId="3" fontId="106" fillId="0" borderId="10" xfId="6" applyNumberFormat="1" applyFont="1" applyBorder="1"/>
    <xf numFmtId="3" fontId="49" fillId="0" borderId="10" xfId="6" applyNumberFormat="1" applyFont="1" applyBorder="1"/>
    <xf numFmtId="3" fontId="104" fillId="8" borderId="34" xfId="6" applyNumberFormat="1" applyFont="1" applyFill="1" applyBorder="1"/>
    <xf numFmtId="3" fontId="105" fillId="8" borderId="34" xfId="6" applyNumberFormat="1" applyFont="1" applyFill="1" applyBorder="1"/>
    <xf numFmtId="3" fontId="104" fillId="0" borderId="10" xfId="6" applyNumberFormat="1" applyFont="1" applyBorder="1"/>
    <xf numFmtId="3" fontId="105" fillId="0" borderId="10" xfId="6" applyNumberFormat="1" applyFont="1" applyBorder="1"/>
    <xf numFmtId="3" fontId="106" fillId="0" borderId="11" xfId="6" applyNumberFormat="1" applyFont="1" applyBorder="1"/>
    <xf numFmtId="3" fontId="106" fillId="0" borderId="36" xfId="6" applyNumberFormat="1" applyFont="1" applyBorder="1"/>
    <xf numFmtId="3" fontId="49" fillId="0" borderId="36" xfId="6" applyNumberFormat="1" applyFont="1" applyBorder="1"/>
    <xf numFmtId="3" fontId="104" fillId="5" borderId="3" xfId="0" applyNumberFormat="1" applyFont="1" applyFill="1" applyBorder="1"/>
    <xf numFmtId="3" fontId="105" fillId="5" borderId="3" xfId="0" applyNumberFormat="1" applyFont="1" applyFill="1" applyBorder="1"/>
    <xf numFmtId="3" fontId="104" fillId="0" borderId="0" xfId="0" applyNumberFormat="1" applyFont="1"/>
    <xf numFmtId="3" fontId="105" fillId="0" borderId="0" xfId="0" applyNumberFormat="1" applyFont="1"/>
    <xf numFmtId="0" fontId="106" fillId="0" borderId="0" xfId="5" applyFont="1"/>
    <xf numFmtId="0" fontId="49" fillId="0" borderId="0" xfId="5" applyFont="1"/>
    <xf numFmtId="0" fontId="106" fillId="0" borderId="0" xfId="6" applyFont="1"/>
    <xf numFmtId="0" fontId="49" fillId="0" borderId="0" xfId="6" applyFont="1"/>
    <xf numFmtId="3" fontId="106" fillId="0" borderId="0" xfId="0" applyNumberFormat="1" applyFont="1" applyAlignment="1">
      <alignment horizontal="center"/>
    </xf>
    <xf numFmtId="3" fontId="49" fillId="0" borderId="0" xfId="0" applyNumberFormat="1" applyFont="1"/>
    <xf numFmtId="3" fontId="104" fillId="33" borderId="34" xfId="6" applyNumberFormat="1" applyFont="1" applyFill="1" applyBorder="1"/>
    <xf numFmtId="3" fontId="105" fillId="33" borderId="34" xfId="6" applyNumberFormat="1" applyFont="1" applyFill="1" applyBorder="1"/>
    <xf numFmtId="3" fontId="49" fillId="0" borderId="11" xfId="6" applyNumberFormat="1" applyFont="1" applyBorder="1"/>
    <xf numFmtId="3" fontId="105" fillId="0" borderId="11" xfId="6" applyNumberFormat="1" applyFont="1" applyBorder="1"/>
    <xf numFmtId="3" fontId="106" fillId="0" borderId="12" xfId="6" applyNumberFormat="1" applyFont="1" applyBorder="1"/>
    <xf numFmtId="3" fontId="105" fillId="0" borderId="12" xfId="6" applyNumberFormat="1" applyFont="1" applyBorder="1"/>
    <xf numFmtId="3" fontId="104" fillId="0" borderId="11" xfId="6" applyNumberFormat="1" applyFont="1" applyBorder="1"/>
    <xf numFmtId="3" fontId="105" fillId="0" borderId="36" xfId="6" applyNumberFormat="1" applyFont="1" applyBorder="1"/>
    <xf numFmtId="3" fontId="104" fillId="0" borderId="36" xfId="6" applyNumberFormat="1" applyFont="1" applyBorder="1"/>
    <xf numFmtId="3" fontId="105" fillId="0" borderId="16" xfId="6" applyNumberFormat="1" applyFont="1" applyBorder="1"/>
    <xf numFmtId="3" fontId="49" fillId="5" borderId="16" xfId="6" applyNumberFormat="1" applyFont="1" applyFill="1" applyBorder="1"/>
    <xf numFmtId="3" fontId="106" fillId="0" borderId="0" xfId="0" applyNumberFormat="1" applyFont="1"/>
    <xf numFmtId="3" fontId="106" fillId="22" borderId="0" xfId="0" applyNumberFormat="1" applyFont="1" applyFill="1"/>
    <xf numFmtId="3" fontId="49" fillId="22" borderId="0" xfId="0" applyNumberFormat="1" applyFont="1" applyFill="1"/>
    <xf numFmtId="3" fontId="49" fillId="0" borderId="12" xfId="6" applyNumberFormat="1" applyFont="1" applyBorder="1"/>
    <xf numFmtId="3" fontId="33" fillId="2" borderId="4" xfId="5" applyNumberFormat="1" applyFont="1" applyFill="1" applyBorder="1" applyAlignment="1">
      <alignment horizontal="center" vertical="center" wrapText="1"/>
    </xf>
    <xf numFmtId="3" fontId="48" fillId="10" borderId="0" xfId="0" applyNumberFormat="1" applyFont="1" applyFill="1"/>
    <xf numFmtId="3" fontId="33" fillId="5" borderId="0" xfId="5" applyNumberFormat="1" applyFont="1" applyFill="1"/>
    <xf numFmtId="3" fontId="33" fillId="5" borderId="0" xfId="0" applyNumberFormat="1" applyFont="1" applyFill="1" applyAlignment="1">
      <alignment horizontal="right"/>
    </xf>
    <xf numFmtId="3" fontId="33" fillId="0" borderId="3" xfId="0" applyNumberFormat="1" applyFont="1" applyBorder="1"/>
    <xf numFmtId="3" fontId="31" fillId="5" borderId="11" xfId="0" applyNumberFormat="1" applyFont="1" applyFill="1" applyBorder="1"/>
    <xf numFmtId="3" fontId="35" fillId="5" borderId="11" xfId="0" applyNumberFormat="1" applyFont="1" applyFill="1" applyBorder="1"/>
    <xf numFmtId="3" fontId="31" fillId="9" borderId="11" xfId="0" applyNumberFormat="1" applyFont="1" applyFill="1" applyBorder="1"/>
    <xf numFmtId="3" fontId="107" fillId="3" borderId="3" xfId="0" applyNumberFormat="1" applyFont="1" applyFill="1" applyBorder="1"/>
    <xf numFmtId="3" fontId="35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0" fontId="67" fillId="0" borderId="19" xfId="0" applyFont="1" applyBorder="1" applyAlignment="1">
      <alignment horizontal="center"/>
    </xf>
    <xf numFmtId="0" fontId="67" fillId="5" borderId="14" xfId="0" applyFont="1" applyFill="1" applyBorder="1" applyAlignment="1">
      <alignment horizontal="center"/>
    </xf>
    <xf numFmtId="0" fontId="67" fillId="5" borderId="8" xfId="0" applyFont="1" applyFill="1" applyBorder="1" applyAlignment="1">
      <alignment wrapText="1"/>
    </xf>
    <xf numFmtId="3" fontId="39" fillId="5" borderId="11" xfId="0" applyNumberFormat="1" applyFont="1" applyFill="1" applyBorder="1"/>
    <xf numFmtId="0" fontId="41" fillId="0" borderId="0" xfId="5" applyFont="1"/>
    <xf numFmtId="0" fontId="109" fillId="0" borderId="0" xfId="5" applyFont="1"/>
    <xf numFmtId="0" fontId="49" fillId="0" borderId="0" xfId="5" applyFont="1" applyAlignment="1">
      <alignment horizontal="center"/>
    </xf>
    <xf numFmtId="0" fontId="109" fillId="0" borderId="0" xfId="6" applyFont="1"/>
    <xf numFmtId="0" fontId="49" fillId="0" borderId="0" xfId="6" applyFont="1" applyAlignment="1">
      <alignment horizontal="center"/>
    </xf>
    <xf numFmtId="0" fontId="106" fillId="0" borderId="0" xfId="0" applyFont="1" applyAlignment="1">
      <alignment horizontal="right"/>
    </xf>
    <xf numFmtId="0" fontId="106" fillId="0" borderId="0" xfId="0" applyFont="1"/>
    <xf numFmtId="0" fontId="109" fillId="0" borderId="0" xfId="0" applyFont="1"/>
    <xf numFmtId="0" fontId="49" fillId="0" borderId="0" xfId="0" applyFont="1" applyAlignment="1">
      <alignment horizontal="center"/>
    </xf>
    <xf numFmtId="49" fontId="104" fillId="2" borderId="2" xfId="6" applyNumberFormat="1" applyFont="1" applyFill="1" applyBorder="1" applyAlignment="1">
      <alignment horizontal="center" vertical="center" wrapText="1"/>
    </xf>
    <xf numFmtId="49" fontId="104" fillId="2" borderId="5" xfId="6" applyNumberFormat="1" applyFont="1" applyFill="1" applyBorder="1" applyAlignment="1">
      <alignment horizontal="center" vertical="center" wrapText="1"/>
    </xf>
    <xf numFmtId="0" fontId="104" fillId="2" borderId="5" xfId="6" applyFont="1" applyFill="1" applyBorder="1" applyAlignment="1">
      <alignment horizontal="center" vertical="center"/>
    </xf>
    <xf numFmtId="0" fontId="109" fillId="0" borderId="0" xfId="0" applyFont="1" applyAlignment="1">
      <alignment horizontal="center"/>
    </xf>
    <xf numFmtId="0" fontId="106" fillId="0" borderId="18" xfId="6" applyFont="1" applyBorder="1" applyAlignment="1">
      <alignment horizontal="right" wrapText="1"/>
    </xf>
    <xf numFmtId="0" fontId="106" fillId="0" borderId="13" xfId="6" applyFont="1" applyBorder="1" applyAlignment="1">
      <alignment horizontal="center" wrapText="1"/>
    </xf>
    <xf numFmtId="0" fontId="106" fillId="0" borderId="13" xfId="6" applyFont="1" applyBorder="1" applyAlignment="1">
      <alignment wrapText="1"/>
    </xf>
    <xf numFmtId="0" fontId="106" fillId="0" borderId="23" xfId="6" applyFont="1" applyBorder="1" applyAlignment="1">
      <alignment horizontal="right" wrapText="1"/>
    </xf>
    <xf numFmtId="0" fontId="106" fillId="0" borderId="25" xfId="6" applyFont="1" applyBorder="1" applyAlignment="1">
      <alignment horizontal="center" wrapText="1"/>
    </xf>
    <xf numFmtId="0" fontId="106" fillId="0" borderId="25" xfId="6" applyFont="1" applyBorder="1" applyAlignment="1">
      <alignment wrapText="1"/>
    </xf>
    <xf numFmtId="0" fontId="104" fillId="33" borderId="37" xfId="6" applyFont="1" applyFill="1" applyBorder="1" applyAlignment="1">
      <alignment wrapText="1"/>
    </xf>
    <xf numFmtId="3" fontId="109" fillId="0" borderId="0" xfId="0" applyNumberFormat="1" applyFont="1"/>
    <xf numFmtId="3" fontId="105" fillId="0" borderId="0" xfId="0" applyNumberFormat="1" applyFont="1" applyAlignment="1">
      <alignment horizontal="center"/>
    </xf>
    <xf numFmtId="0" fontId="106" fillId="0" borderId="19" xfId="6" applyFont="1" applyBorder="1" applyAlignment="1">
      <alignment horizontal="right" wrapText="1"/>
    </xf>
    <xf numFmtId="0" fontId="106" fillId="0" borderId="14" xfId="6" applyFont="1" applyBorder="1" applyAlignment="1">
      <alignment horizontal="center" wrapText="1"/>
    </xf>
    <xf numFmtId="0" fontId="106" fillId="0" borderId="14" xfId="6" applyFont="1" applyBorder="1" applyAlignment="1">
      <alignment wrapText="1"/>
    </xf>
    <xf numFmtId="0" fontId="106" fillId="0" borderId="74" xfId="6" applyFont="1" applyBorder="1" applyAlignment="1">
      <alignment horizontal="right" wrapText="1"/>
    </xf>
    <xf numFmtId="0" fontId="106" fillId="0" borderId="24" xfId="6" applyFont="1" applyBorder="1" applyAlignment="1">
      <alignment wrapText="1"/>
    </xf>
    <xf numFmtId="0" fontId="106" fillId="0" borderId="29" xfId="6" applyFont="1" applyBorder="1" applyAlignment="1">
      <alignment horizontal="right" wrapText="1"/>
    </xf>
    <xf numFmtId="0" fontId="106" fillId="0" borderId="24" xfId="6" applyFont="1" applyBorder="1" applyAlignment="1">
      <alignment horizontal="center" wrapText="1"/>
    </xf>
    <xf numFmtId="0" fontId="106" fillId="0" borderId="38" xfId="6" applyFont="1" applyBorder="1" applyAlignment="1">
      <alignment wrapText="1"/>
    </xf>
    <xf numFmtId="0" fontId="106" fillId="0" borderId="41" xfId="6" applyFont="1" applyBorder="1" applyAlignment="1">
      <alignment horizontal="right" wrapText="1"/>
    </xf>
    <xf numFmtId="0" fontId="106" fillId="0" borderId="38" xfId="6" applyFont="1" applyBorder="1" applyAlignment="1">
      <alignment horizontal="center" wrapText="1"/>
    </xf>
    <xf numFmtId="0" fontId="105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106" fillId="22" borderId="0" xfId="3" applyFont="1" applyFill="1" applyAlignment="1">
      <alignment horizontal="right"/>
    </xf>
    <xf numFmtId="0" fontId="106" fillId="22" borderId="0" xfId="0" applyFont="1" applyFill="1"/>
    <xf numFmtId="0" fontId="109" fillId="22" borderId="0" xfId="0" applyFont="1" applyFill="1"/>
    <xf numFmtId="0" fontId="49" fillId="22" borderId="0" xfId="0" applyFont="1" applyFill="1" applyAlignment="1">
      <alignment horizontal="center"/>
    </xf>
    <xf numFmtId="0" fontId="106" fillId="22" borderId="0" xfId="0" applyFont="1" applyFill="1" applyAlignment="1">
      <alignment horizontal="right"/>
    </xf>
    <xf numFmtId="0" fontId="106" fillId="0" borderId="18" xfId="6" applyFont="1" applyBorder="1" applyAlignment="1">
      <alignment horizontal="center" wrapText="1"/>
    </xf>
    <xf numFmtId="0" fontId="106" fillId="0" borderId="23" xfId="6" applyFont="1" applyBorder="1" applyAlignment="1">
      <alignment horizontal="center" wrapText="1"/>
    </xf>
    <xf numFmtId="0" fontId="106" fillId="0" borderId="23" xfId="6" applyFont="1" applyBorder="1" applyAlignment="1">
      <alignment horizontal="center" vertical="center" wrapText="1"/>
    </xf>
    <xf numFmtId="0" fontId="106" fillId="0" borderId="25" xfId="6" applyFont="1" applyBorder="1" applyAlignment="1">
      <alignment horizontal="center" vertical="center" wrapText="1"/>
    </xf>
    <xf numFmtId="0" fontId="106" fillId="0" borderId="25" xfId="6" applyFont="1" applyBorder="1" applyAlignment="1">
      <alignment horizontal="left" vertical="center" wrapText="1"/>
    </xf>
    <xf numFmtId="0" fontId="106" fillId="0" borderId="0" xfId="6" applyFont="1" applyAlignment="1">
      <alignment horizontal="center" wrapText="1"/>
    </xf>
    <xf numFmtId="0" fontId="106" fillId="0" borderId="19" xfId="6" applyFont="1" applyBorder="1" applyAlignment="1">
      <alignment horizontal="center" wrapText="1"/>
    </xf>
    <xf numFmtId="0" fontId="106" fillId="0" borderId="74" xfId="6" applyFont="1" applyBorder="1" applyAlignment="1">
      <alignment horizontal="center" wrapText="1"/>
    </xf>
    <xf numFmtId="0" fontId="106" fillId="0" borderId="29" xfId="6" applyFont="1" applyBorder="1" applyAlignment="1">
      <alignment horizontal="center" wrapText="1"/>
    </xf>
    <xf numFmtId="0" fontId="106" fillId="0" borderId="41" xfId="6" applyFont="1" applyBorder="1" applyAlignment="1">
      <alignment horizontal="center" wrapText="1"/>
    </xf>
    <xf numFmtId="0" fontId="104" fillId="0" borderId="13" xfId="6" applyFont="1" applyBorder="1" applyAlignment="1">
      <alignment wrapText="1"/>
    </xf>
    <xf numFmtId="0" fontId="104" fillId="0" borderId="14" xfId="6" applyFont="1" applyBorder="1" applyAlignment="1">
      <alignment wrapText="1"/>
    </xf>
    <xf numFmtId="0" fontId="106" fillId="0" borderId="0" xfId="3" applyFont="1"/>
    <xf numFmtId="0" fontId="35" fillId="0" borderId="0" xfId="5" applyFont="1" applyAlignment="1">
      <alignment horizontal="center"/>
    </xf>
    <xf numFmtId="0" fontId="35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31" fillId="0" borderId="0" xfId="3" applyFont="1"/>
    <xf numFmtId="0" fontId="35" fillId="22" borderId="0" xfId="0" applyFont="1" applyFill="1" applyAlignment="1">
      <alignment horizontal="center"/>
    </xf>
    <xf numFmtId="0" fontId="109" fillId="0" borderId="0" xfId="5" applyFont="1" applyAlignment="1">
      <alignment horizontal="center"/>
    </xf>
    <xf numFmtId="0" fontId="109" fillId="0" borderId="0" xfId="6" applyFont="1" applyAlignment="1">
      <alignment horizontal="center"/>
    </xf>
    <xf numFmtId="0" fontId="104" fillId="8" borderId="37" xfId="6" applyFont="1" applyFill="1" applyBorder="1" applyAlignment="1">
      <alignment wrapText="1"/>
    </xf>
    <xf numFmtId="3" fontId="109" fillId="0" borderId="0" xfId="0" applyNumberFormat="1" applyFont="1" applyAlignment="1">
      <alignment horizontal="center"/>
    </xf>
    <xf numFmtId="0" fontId="104" fillId="0" borderId="0" xfId="0" applyFont="1" applyAlignment="1">
      <alignment horizontal="left" wrapText="1"/>
    </xf>
    <xf numFmtId="0" fontId="109" fillId="22" borderId="0" xfId="0" applyFont="1" applyFill="1" applyAlignment="1">
      <alignment horizontal="center"/>
    </xf>
    <xf numFmtId="0" fontId="104" fillId="0" borderId="0" xfId="5" applyFont="1"/>
    <xf numFmtId="3" fontId="109" fillId="5" borderId="0" xfId="0" applyNumberFormat="1" applyFont="1" applyFill="1" applyAlignment="1">
      <alignment horizontal="center"/>
    </xf>
    <xf numFmtId="3" fontId="105" fillId="5" borderId="0" xfId="0" applyNumberFormat="1" applyFont="1" applyFill="1" applyAlignment="1">
      <alignment horizontal="center"/>
    </xf>
    <xf numFmtId="3" fontId="104" fillId="0" borderId="3" xfId="0" applyNumberFormat="1" applyFont="1" applyBorder="1"/>
    <xf numFmtId="3" fontId="105" fillId="0" borderId="3" xfId="0" applyNumberFormat="1" applyFont="1" applyBorder="1"/>
    <xf numFmtId="0" fontId="106" fillId="22" borderId="0" xfId="5" applyFont="1" applyFill="1"/>
    <xf numFmtId="0" fontId="106" fillId="22" borderId="0" xfId="6" applyFont="1" applyFill="1"/>
    <xf numFmtId="3" fontId="104" fillId="22" borderId="0" xfId="0" applyNumberFormat="1" applyFont="1" applyFill="1"/>
    <xf numFmtId="3" fontId="104" fillId="0" borderId="12" xfId="6" applyNumberFormat="1" applyFont="1" applyBorder="1"/>
    <xf numFmtId="0" fontId="106" fillId="0" borderId="71" xfId="6" applyFont="1" applyBorder="1" applyAlignment="1">
      <alignment wrapText="1"/>
    </xf>
    <xf numFmtId="0" fontId="106" fillId="0" borderId="69" xfId="6" applyFont="1" applyBorder="1" applyAlignment="1">
      <alignment wrapText="1"/>
    </xf>
    <xf numFmtId="0" fontId="106" fillId="0" borderId="72" xfId="6" applyFont="1" applyBorder="1" applyAlignment="1">
      <alignment wrapText="1"/>
    </xf>
    <xf numFmtId="0" fontId="49" fillId="22" borderId="0" xfId="0" applyFont="1" applyFill="1"/>
    <xf numFmtId="0" fontId="104" fillId="2" borderId="50" xfId="6" applyFont="1" applyFill="1" applyBorder="1" applyAlignment="1">
      <alignment horizontal="center" vertical="center"/>
    </xf>
    <xf numFmtId="0" fontId="106" fillId="0" borderId="26" xfId="6" applyFont="1" applyBorder="1" applyAlignment="1">
      <alignment wrapText="1"/>
    </xf>
    <xf numFmtId="0" fontId="104" fillId="8" borderId="49" xfId="6" applyFont="1" applyFill="1" applyBorder="1" applyAlignment="1">
      <alignment wrapText="1"/>
    </xf>
    <xf numFmtId="0" fontId="106" fillId="0" borderId="70" xfId="6" applyFont="1" applyBorder="1" applyAlignment="1">
      <alignment wrapText="1"/>
    </xf>
    <xf numFmtId="0" fontId="104" fillId="0" borderId="0" xfId="7" applyFont="1" applyAlignment="1">
      <alignment wrapText="1"/>
    </xf>
    <xf numFmtId="0" fontId="106" fillId="0" borderId="0" xfId="0" applyFont="1" applyAlignment="1">
      <alignment horizontal="center"/>
    </xf>
    <xf numFmtId="0" fontId="49" fillId="0" borderId="0" xfId="7" applyFont="1"/>
    <xf numFmtId="0" fontId="109" fillId="0" borderId="0" xfId="7" applyFont="1"/>
    <xf numFmtId="0" fontId="106" fillId="0" borderId="0" xfId="7" applyFont="1"/>
    <xf numFmtId="0" fontId="106" fillId="0" borderId="0" xfId="7" applyFont="1" applyAlignment="1">
      <alignment horizontal="center"/>
    </xf>
    <xf numFmtId="0" fontId="109" fillId="0" borderId="0" xfId="7" applyFont="1" applyAlignment="1">
      <alignment horizontal="center"/>
    </xf>
    <xf numFmtId="0" fontId="49" fillId="0" borderId="0" xfId="7" applyFont="1" applyAlignment="1">
      <alignment horizontal="center"/>
    </xf>
    <xf numFmtId="0" fontId="106" fillId="22" borderId="0" xfId="7" applyFont="1" applyFill="1"/>
    <xf numFmtId="0" fontId="78" fillId="22" borderId="0" xfId="7" applyFont="1" applyFill="1"/>
    <xf numFmtId="0" fontId="104" fillId="0" borderId="0" xfId="7" applyFont="1"/>
    <xf numFmtId="3" fontId="106" fillId="0" borderId="0" xfId="7" applyNumberFormat="1" applyFont="1" applyAlignment="1">
      <alignment horizontal="center"/>
    </xf>
    <xf numFmtId="0" fontId="104" fillId="3" borderId="3" xfId="4" applyFont="1" applyFill="1" applyBorder="1" applyAlignment="1">
      <alignment horizontal="center" vertical="center"/>
    </xf>
    <xf numFmtId="2" fontId="104" fillId="3" borderId="3" xfId="4" applyNumberFormat="1" applyFont="1" applyFill="1" applyBorder="1" applyAlignment="1">
      <alignment horizontal="center" vertical="center" wrapText="1"/>
    </xf>
    <xf numFmtId="0" fontId="104" fillId="3" borderId="2" xfId="4" applyFont="1" applyFill="1" applyBorder="1" applyAlignment="1">
      <alignment horizontal="center" vertical="center"/>
    </xf>
    <xf numFmtId="3" fontId="104" fillId="3" borderId="3" xfId="4" applyNumberFormat="1" applyFont="1" applyFill="1" applyBorder="1" applyAlignment="1">
      <alignment horizontal="center" vertical="center" wrapText="1"/>
    </xf>
    <xf numFmtId="3" fontId="105" fillId="3" borderId="3" xfId="4" applyNumberFormat="1" applyFont="1" applyFill="1" applyBorder="1" applyAlignment="1">
      <alignment horizontal="center" vertical="center" wrapText="1"/>
    </xf>
    <xf numFmtId="3" fontId="110" fillId="3" borderId="3" xfId="4" applyNumberFormat="1" applyFont="1" applyFill="1" applyBorder="1" applyAlignment="1">
      <alignment horizontal="center" vertical="center" wrapText="1"/>
    </xf>
    <xf numFmtId="0" fontId="106" fillId="0" borderId="30" xfId="7" applyFont="1" applyBorder="1"/>
    <xf numFmtId="0" fontId="104" fillId="0" borderId="30" xfId="4" applyFont="1" applyBorder="1"/>
    <xf numFmtId="3" fontId="104" fillId="5" borderId="30" xfId="7" applyNumberFormat="1" applyFont="1" applyFill="1" applyBorder="1"/>
    <xf numFmtId="3" fontId="105" fillId="5" borderId="30" xfId="7" applyNumberFormat="1" applyFont="1" applyFill="1" applyBorder="1"/>
    <xf numFmtId="3" fontId="110" fillId="5" borderId="30" xfId="7" applyNumberFormat="1" applyFont="1" applyFill="1" applyBorder="1"/>
    <xf numFmtId="3" fontId="104" fillId="5" borderId="6" xfId="7" applyNumberFormat="1" applyFont="1" applyFill="1" applyBorder="1"/>
    <xf numFmtId="0" fontId="104" fillId="0" borderId="59" xfId="7" applyFont="1" applyBorder="1" applyAlignment="1">
      <alignment vertical="center" textRotation="180"/>
    </xf>
    <xf numFmtId="49" fontId="106" fillId="0" borderId="16" xfId="7" applyNumberFormat="1" applyFont="1" applyBorder="1" applyAlignment="1">
      <alignment horizontal="left"/>
    </xf>
    <xf numFmtId="0" fontId="106" fillId="0" borderId="10" xfId="7" applyFont="1" applyBorder="1"/>
    <xf numFmtId="0" fontId="106" fillId="0" borderId="16" xfId="7" applyFont="1" applyBorder="1" applyAlignment="1">
      <alignment horizontal="center"/>
    </xf>
    <xf numFmtId="0" fontId="106" fillId="0" borderId="15" xfId="7" applyFont="1" applyBorder="1" applyAlignment="1">
      <alignment horizontal="center"/>
    </xf>
    <xf numFmtId="3" fontId="106" fillId="0" borderId="16" xfId="7" applyNumberFormat="1" applyFont="1" applyBorder="1" applyAlignment="1">
      <alignment horizontal="right"/>
    </xf>
    <xf numFmtId="3" fontId="49" fillId="0" borderId="16" xfId="7" applyNumberFormat="1" applyFont="1" applyBorder="1" applyAlignment="1">
      <alignment horizontal="right"/>
    </xf>
    <xf numFmtId="3" fontId="109" fillId="0" borderId="16" xfId="7" applyNumberFormat="1" applyFont="1" applyBorder="1" applyAlignment="1">
      <alignment horizontal="right"/>
    </xf>
    <xf numFmtId="3" fontId="104" fillId="0" borderId="16" xfId="7" applyNumberFormat="1" applyFont="1" applyBorder="1" applyAlignment="1">
      <alignment horizontal="right"/>
    </xf>
    <xf numFmtId="3" fontId="104" fillId="0" borderId="16" xfId="7" applyNumberFormat="1" applyFont="1" applyBorder="1" applyAlignment="1">
      <alignment horizontal="center"/>
    </xf>
    <xf numFmtId="49" fontId="106" fillId="0" borderId="10" xfId="7" applyNumberFormat="1" applyFont="1" applyBorder="1" applyAlignment="1">
      <alignment horizontal="left"/>
    </xf>
    <xf numFmtId="0" fontId="106" fillId="0" borderId="10" xfId="7" applyFont="1" applyBorder="1" applyAlignment="1">
      <alignment horizontal="center"/>
    </xf>
    <xf numFmtId="0" fontId="106" fillId="0" borderId="17" xfId="7" applyFont="1" applyBorder="1" applyAlignment="1">
      <alignment horizontal="center"/>
    </xf>
    <xf numFmtId="3" fontId="106" fillId="0" borderId="10" xfId="7" applyNumberFormat="1" applyFont="1" applyBorder="1" applyAlignment="1">
      <alignment horizontal="right"/>
    </xf>
    <xf numFmtId="3" fontId="49" fillId="0" borderId="10" xfId="7" applyNumberFormat="1" applyFont="1" applyBorder="1" applyAlignment="1">
      <alignment horizontal="right"/>
    </xf>
    <xf numFmtId="3" fontId="109" fillId="0" borderId="10" xfId="7" applyNumberFormat="1" applyFont="1" applyBorder="1" applyAlignment="1">
      <alignment horizontal="right"/>
    </xf>
    <xf numFmtId="3" fontId="104" fillId="0" borderId="10" xfId="7" applyNumberFormat="1" applyFont="1" applyBorder="1" applyAlignment="1">
      <alignment horizontal="right"/>
    </xf>
    <xf numFmtId="3" fontId="104" fillId="0" borderId="10" xfId="7" applyNumberFormat="1" applyFont="1" applyBorder="1" applyAlignment="1">
      <alignment horizontal="center"/>
    </xf>
    <xf numFmtId="0" fontId="106" fillId="26" borderId="53" xfId="7" applyFont="1" applyFill="1" applyBorder="1"/>
    <xf numFmtId="0" fontId="106" fillId="26" borderId="53" xfId="7" applyFont="1" applyFill="1" applyBorder="1" applyAlignment="1">
      <alignment horizontal="center"/>
    </xf>
    <xf numFmtId="0" fontId="106" fillId="26" borderId="65" xfId="7" applyFont="1" applyFill="1" applyBorder="1" applyAlignment="1">
      <alignment horizontal="center"/>
    </xf>
    <xf numFmtId="3" fontId="106" fillId="26" borderId="53" xfId="7" applyNumberFormat="1" applyFont="1" applyFill="1" applyBorder="1" applyAlignment="1">
      <alignment horizontal="right"/>
    </xf>
    <xf numFmtId="3" fontId="49" fillId="26" borderId="53" xfId="7" applyNumberFormat="1" applyFont="1" applyFill="1" applyBorder="1" applyAlignment="1">
      <alignment horizontal="right"/>
    </xf>
    <xf numFmtId="3" fontId="109" fillId="0" borderId="0" xfId="7" applyNumberFormat="1" applyFont="1" applyAlignment="1">
      <alignment horizontal="center"/>
    </xf>
    <xf numFmtId="3" fontId="49" fillId="0" borderId="0" xfId="7" applyNumberFormat="1" applyFont="1" applyAlignment="1">
      <alignment horizontal="center"/>
    </xf>
    <xf numFmtId="0" fontId="104" fillId="0" borderId="63" xfId="7" applyFont="1" applyBorder="1" applyAlignment="1">
      <alignment horizontal="left" vertical="center"/>
    </xf>
    <xf numFmtId="0" fontId="104" fillId="0" borderId="59" xfId="7" applyFont="1" applyBorder="1" applyAlignment="1">
      <alignment horizontal="left" vertical="center"/>
    </xf>
    <xf numFmtId="0" fontId="104" fillId="0" borderId="53" xfId="7" applyFont="1" applyBorder="1" applyAlignment="1">
      <alignment horizontal="left" vertical="center"/>
    </xf>
    <xf numFmtId="0" fontId="106" fillId="0" borderId="34" xfId="7" applyFont="1" applyBorder="1"/>
    <xf numFmtId="0" fontId="106" fillId="0" borderId="34" xfId="7" applyFont="1" applyBorder="1" applyAlignment="1">
      <alignment horizontal="center"/>
    </xf>
    <xf numFmtId="0" fontId="106" fillId="0" borderId="32" xfId="7" applyFont="1" applyBorder="1" applyAlignment="1">
      <alignment horizontal="center"/>
    </xf>
    <xf numFmtId="3" fontId="106" fillId="0" borderId="34" xfId="7" applyNumberFormat="1" applyFont="1" applyBorder="1" applyAlignment="1">
      <alignment horizontal="right"/>
    </xf>
    <xf numFmtId="3" fontId="49" fillId="0" borderId="34" xfId="7" applyNumberFormat="1" applyFont="1" applyBorder="1" applyAlignment="1">
      <alignment horizontal="right"/>
    </xf>
    <xf numFmtId="49" fontId="106" fillId="0" borderId="10" xfId="7" applyNumberFormat="1" applyFont="1" applyBorder="1" applyAlignment="1">
      <alignment horizontal="left" vertical="center"/>
    </xf>
    <xf numFmtId="0" fontId="106" fillId="0" borderId="10" xfId="7" applyFont="1" applyBorder="1" applyAlignment="1">
      <alignment vertical="center" wrapText="1"/>
    </xf>
    <xf numFmtId="0" fontId="106" fillId="0" borderId="10" xfId="7" applyFont="1" applyBorder="1" applyAlignment="1">
      <alignment horizontal="center" vertical="center"/>
    </xf>
    <xf numFmtId="0" fontId="106" fillId="0" borderId="17" xfId="7" applyFont="1" applyBorder="1" applyAlignment="1">
      <alignment horizontal="center" vertical="center"/>
    </xf>
    <xf numFmtId="3" fontId="106" fillId="0" borderId="10" xfId="7" applyNumberFormat="1" applyFont="1" applyBorder="1" applyAlignment="1">
      <alignment horizontal="right" vertical="center"/>
    </xf>
    <xf numFmtId="3" fontId="49" fillId="0" borderId="10" xfId="7" applyNumberFormat="1" applyFont="1" applyBorder="1" applyAlignment="1">
      <alignment horizontal="right" vertical="center"/>
    </xf>
    <xf numFmtId="0" fontId="109" fillId="0" borderId="0" xfId="7" applyFont="1" applyAlignment="1">
      <alignment horizontal="center" vertical="center"/>
    </xf>
    <xf numFmtId="0" fontId="106" fillId="22" borderId="0" xfId="7" applyFont="1" applyFill="1" applyAlignment="1">
      <alignment vertical="center"/>
    </xf>
    <xf numFmtId="0" fontId="78" fillId="22" borderId="0" xfId="7" applyFont="1" applyFill="1" applyAlignment="1">
      <alignment vertical="center"/>
    </xf>
    <xf numFmtId="0" fontId="104" fillId="0" borderId="65" xfId="7" applyFont="1" applyBorder="1" applyAlignment="1">
      <alignment horizontal="left" vertical="center"/>
    </xf>
    <xf numFmtId="49" fontId="106" fillId="0" borderId="11" xfId="7" applyNumberFormat="1" applyFont="1" applyBorder="1" applyAlignment="1">
      <alignment horizontal="left" vertical="center"/>
    </xf>
    <xf numFmtId="0" fontId="106" fillId="0" borderId="11" xfId="7" applyFont="1" applyBorder="1" applyAlignment="1">
      <alignment vertical="center" wrapText="1"/>
    </xf>
    <xf numFmtId="0" fontId="106" fillId="0" borderId="11" xfId="7" applyFont="1" applyBorder="1" applyAlignment="1">
      <alignment horizontal="center" vertical="center"/>
    </xf>
    <xf numFmtId="0" fontId="106" fillId="0" borderId="58" xfId="7" applyFont="1" applyBorder="1" applyAlignment="1">
      <alignment horizontal="center" vertical="center"/>
    </xf>
    <xf numFmtId="3" fontId="106" fillId="0" borderId="11" xfId="7" applyNumberFormat="1" applyFont="1" applyBorder="1" applyAlignment="1">
      <alignment horizontal="right" vertical="center"/>
    </xf>
    <xf numFmtId="3" fontId="49" fillId="0" borderId="11" xfId="7" applyNumberFormat="1" applyFont="1" applyBorder="1" applyAlignment="1">
      <alignment horizontal="right" vertical="center"/>
    </xf>
    <xf numFmtId="49" fontId="106" fillId="0" borderId="53" xfId="7" applyNumberFormat="1" applyFont="1" applyBorder="1" applyAlignment="1">
      <alignment horizontal="left"/>
    </xf>
    <xf numFmtId="0" fontId="106" fillId="0" borderId="53" xfId="7" applyFont="1" applyBorder="1"/>
    <xf numFmtId="0" fontId="106" fillId="0" borderId="53" xfId="7" applyFont="1" applyBorder="1" applyAlignment="1">
      <alignment horizontal="center"/>
    </xf>
    <xf numFmtId="0" fontId="106" fillId="0" borderId="65" xfId="7" applyFont="1" applyBorder="1" applyAlignment="1">
      <alignment horizontal="center"/>
    </xf>
    <xf numFmtId="3" fontId="106" fillId="0" borderId="53" xfId="7" applyNumberFormat="1" applyFont="1" applyBorder="1" applyAlignment="1">
      <alignment horizontal="right"/>
    </xf>
    <xf numFmtId="3" fontId="49" fillId="0" borderId="53" xfId="7" applyNumberFormat="1" applyFont="1" applyBorder="1" applyAlignment="1">
      <alignment horizontal="right"/>
    </xf>
    <xf numFmtId="49" fontId="106" fillId="0" borderId="11" xfId="7" applyNumberFormat="1" applyFont="1" applyBorder="1" applyAlignment="1">
      <alignment horizontal="left"/>
    </xf>
    <xf numFmtId="0" fontId="106" fillId="0" borderId="11" xfId="7" applyFont="1" applyBorder="1"/>
    <xf numFmtId="0" fontId="106" fillId="0" borderId="11" xfId="7" applyFont="1" applyBorder="1" applyAlignment="1">
      <alignment horizontal="center"/>
    </xf>
    <xf numFmtId="0" fontId="106" fillId="0" borderId="58" xfId="7" applyFont="1" applyBorder="1" applyAlignment="1">
      <alignment horizontal="center"/>
    </xf>
    <xf numFmtId="3" fontId="106" fillId="0" borderId="11" xfId="7" applyNumberFormat="1" applyFont="1" applyBorder="1" applyAlignment="1">
      <alignment horizontal="right"/>
    </xf>
    <xf numFmtId="0" fontId="104" fillId="0" borderId="59" xfId="7" applyFont="1" applyBorder="1" applyAlignment="1">
      <alignment horizontal="left" vertical="center" textRotation="180"/>
    </xf>
    <xf numFmtId="0" fontId="106" fillId="0" borderId="10" xfId="0" applyFont="1" applyBorder="1" applyAlignment="1">
      <alignment wrapText="1"/>
    </xf>
    <xf numFmtId="0" fontId="106" fillId="0" borderId="10" xfId="0" applyFont="1" applyBorder="1" applyAlignment="1">
      <alignment horizontal="center" wrapText="1"/>
    </xf>
    <xf numFmtId="0" fontId="106" fillId="0" borderId="17" xfId="0" applyFont="1" applyBorder="1" applyAlignment="1">
      <alignment horizontal="center" wrapText="1"/>
    </xf>
    <xf numFmtId="3" fontId="106" fillId="0" borderId="10" xfId="0" applyNumberFormat="1" applyFont="1" applyBorder="1" applyAlignment="1">
      <alignment horizontal="right" wrapText="1"/>
    </xf>
    <xf numFmtId="3" fontId="49" fillId="0" borderId="10" xfId="0" applyNumberFormat="1" applyFont="1" applyBorder="1" applyAlignment="1">
      <alignment horizontal="right" wrapText="1"/>
    </xf>
    <xf numFmtId="0" fontId="104" fillId="22" borderId="0" xfId="7" applyFont="1" applyFill="1"/>
    <xf numFmtId="0" fontId="77" fillId="22" borderId="0" xfId="7" applyFont="1" applyFill="1"/>
    <xf numFmtId="0" fontId="106" fillId="0" borderId="11" xfId="0" applyFont="1" applyBorder="1" applyAlignment="1">
      <alignment wrapText="1"/>
    </xf>
    <xf numFmtId="0" fontId="106" fillId="0" borderId="11" xfId="0" applyFont="1" applyBorder="1" applyAlignment="1">
      <alignment horizontal="center" wrapText="1"/>
    </xf>
    <xf numFmtId="0" fontId="106" fillId="0" borderId="58" xfId="0" applyFont="1" applyBorder="1" applyAlignment="1">
      <alignment horizontal="center" wrapText="1"/>
    </xf>
    <xf numFmtId="3" fontId="106" fillId="0" borderId="11" xfId="0" applyNumberFormat="1" applyFont="1" applyBorder="1" applyAlignment="1">
      <alignment horizontal="right" wrapText="1"/>
    </xf>
    <xf numFmtId="3" fontId="49" fillId="0" borderId="11" xfId="0" applyNumberFormat="1" applyFont="1" applyBorder="1" applyAlignment="1">
      <alignment horizontal="right" wrapText="1"/>
    </xf>
    <xf numFmtId="0" fontId="106" fillId="0" borderId="11" xfId="0" applyFont="1" applyBorder="1" applyAlignment="1">
      <alignment horizontal="left" wrapText="1"/>
    </xf>
    <xf numFmtId="0" fontId="106" fillId="0" borderId="10" xfId="0" applyFont="1" applyBorder="1" applyAlignment="1">
      <alignment horizontal="left" wrapText="1"/>
    </xf>
    <xf numFmtId="3" fontId="106" fillId="0" borderId="12" xfId="7" applyNumberFormat="1" applyFont="1" applyBorder="1" applyAlignment="1">
      <alignment horizontal="right"/>
    </xf>
    <xf numFmtId="0" fontId="106" fillId="0" borderId="53" xfId="0" applyFont="1" applyBorder="1" applyAlignment="1">
      <alignment horizontal="left" wrapText="1"/>
    </xf>
    <xf numFmtId="0" fontId="106" fillId="0" borderId="53" xfId="0" applyFont="1" applyBorder="1" applyAlignment="1">
      <alignment horizontal="center" wrapText="1"/>
    </xf>
    <xf numFmtId="0" fontId="106" fillId="0" borderId="65" xfId="0" applyFont="1" applyBorder="1" applyAlignment="1">
      <alignment horizontal="center" wrapText="1"/>
    </xf>
    <xf numFmtId="3" fontId="106" fillId="0" borderId="53" xfId="0" applyNumberFormat="1" applyFont="1" applyBorder="1" applyAlignment="1">
      <alignment horizontal="right" wrapText="1"/>
    </xf>
    <xf numFmtId="3" fontId="49" fillId="0" borderId="53" xfId="0" applyNumberFormat="1" applyFont="1" applyBorder="1" applyAlignment="1">
      <alignment horizontal="right" wrapText="1"/>
    </xf>
    <xf numFmtId="0" fontId="106" fillId="0" borderId="53" xfId="0" applyFont="1" applyBorder="1" applyAlignment="1">
      <alignment wrapText="1"/>
    </xf>
    <xf numFmtId="0" fontId="106" fillId="0" borderId="34" xfId="0" applyFont="1" applyBorder="1" applyAlignment="1">
      <alignment horizontal="center" wrapText="1"/>
    </xf>
    <xf numFmtId="3" fontId="106" fillId="0" borderId="34" xfId="0" applyNumberFormat="1" applyFont="1" applyBorder="1" applyAlignment="1">
      <alignment horizontal="right" wrapText="1"/>
    </xf>
    <xf numFmtId="3" fontId="49" fillId="0" borderId="34" xfId="0" applyNumberFormat="1" applyFont="1" applyBorder="1" applyAlignment="1">
      <alignment horizontal="right" wrapText="1"/>
    </xf>
    <xf numFmtId="0" fontId="106" fillId="7" borderId="11" xfId="0" applyFont="1" applyFill="1" applyBorder="1" applyAlignment="1">
      <alignment wrapText="1"/>
    </xf>
    <xf numFmtId="0" fontId="106" fillId="7" borderId="11" xfId="0" applyFont="1" applyFill="1" applyBorder="1" applyAlignment="1">
      <alignment horizontal="center" wrapText="1"/>
    </xf>
    <xf numFmtId="0" fontId="106" fillId="7" borderId="58" xfId="0" applyFont="1" applyFill="1" applyBorder="1" applyAlignment="1">
      <alignment horizontal="center" wrapText="1"/>
    </xf>
    <xf numFmtId="3" fontId="106" fillId="7" borderId="11" xfId="0" applyNumberFormat="1" applyFont="1" applyFill="1" applyBorder="1" applyAlignment="1">
      <alignment horizontal="right" wrapText="1"/>
    </xf>
    <xf numFmtId="3" fontId="49" fillId="7" borderId="11" xfId="0" applyNumberFormat="1" applyFont="1" applyFill="1" applyBorder="1" applyAlignment="1">
      <alignment horizontal="right" wrapText="1"/>
    </xf>
    <xf numFmtId="0" fontId="106" fillId="0" borderId="34" xfId="0" applyFont="1" applyBorder="1" applyAlignment="1">
      <alignment wrapText="1"/>
    </xf>
    <xf numFmtId="0" fontId="106" fillId="0" borderId="32" xfId="0" applyFont="1" applyBorder="1" applyAlignment="1">
      <alignment horizontal="center" wrapText="1"/>
    </xf>
    <xf numFmtId="0" fontId="104" fillId="0" borderId="59" xfId="7" applyFont="1" applyBorder="1" applyAlignment="1">
      <alignment horizontal="left"/>
    </xf>
    <xf numFmtId="14" fontId="106" fillId="0" borderId="53" xfId="0" applyNumberFormat="1" applyFont="1" applyBorder="1" applyAlignment="1">
      <alignment horizontal="center" wrapText="1"/>
    </xf>
    <xf numFmtId="14" fontId="106" fillId="0" borderId="65" xfId="0" applyNumberFormat="1" applyFont="1" applyBorder="1" applyAlignment="1">
      <alignment horizontal="center" wrapText="1"/>
    </xf>
    <xf numFmtId="3" fontId="106" fillId="0" borderId="12" xfId="0" applyNumberFormat="1" applyFont="1" applyBorder="1" applyAlignment="1">
      <alignment horizontal="right" wrapText="1"/>
    </xf>
    <xf numFmtId="3" fontId="49" fillId="0" borderId="12" xfId="0" applyNumberFormat="1" applyFont="1" applyBorder="1" applyAlignment="1">
      <alignment horizontal="right" wrapText="1"/>
    </xf>
    <xf numFmtId="3" fontId="106" fillId="26" borderId="3" xfId="7" applyNumberFormat="1" applyFont="1" applyFill="1" applyBorder="1" applyAlignment="1">
      <alignment horizontal="right"/>
    </xf>
    <xf numFmtId="3" fontId="49" fillId="26" borderId="3" xfId="7" applyNumberFormat="1" applyFont="1" applyFill="1" applyBorder="1" applyAlignment="1">
      <alignment horizontal="right"/>
    </xf>
    <xf numFmtId="0" fontId="106" fillId="0" borderId="17" xfId="0" applyFont="1" applyBorder="1" applyAlignment="1">
      <alignment wrapText="1"/>
    </xf>
    <xf numFmtId="0" fontId="106" fillId="0" borderId="16" xfId="0" applyFont="1" applyBorder="1" applyAlignment="1">
      <alignment horizontal="center" wrapText="1"/>
    </xf>
    <xf numFmtId="49" fontId="106" fillId="0" borderId="36" xfId="7" applyNumberFormat="1" applyFont="1" applyBorder="1" applyAlignment="1">
      <alignment horizontal="left"/>
    </xf>
    <xf numFmtId="0" fontId="106" fillId="0" borderId="0" xfId="0" applyFont="1" applyAlignment="1">
      <alignment wrapText="1"/>
    </xf>
    <xf numFmtId="0" fontId="106" fillId="0" borderId="36" xfId="0" applyFont="1" applyBorder="1" applyAlignment="1">
      <alignment horizontal="center" wrapText="1"/>
    </xf>
    <xf numFmtId="14" fontId="106" fillId="0" borderId="36" xfId="0" applyNumberFormat="1" applyFont="1" applyBorder="1" applyAlignment="1">
      <alignment horizontal="center" wrapText="1"/>
    </xf>
    <xf numFmtId="14" fontId="106" fillId="0" borderId="59" xfId="0" applyNumberFormat="1" applyFont="1" applyBorder="1" applyAlignment="1">
      <alignment horizontal="center" wrapText="1"/>
    </xf>
    <xf numFmtId="0" fontId="106" fillId="0" borderId="59" xfId="0" applyFont="1" applyBorder="1" applyAlignment="1">
      <alignment horizontal="center" wrapText="1"/>
    </xf>
    <xf numFmtId="0" fontId="104" fillId="0" borderId="0" xfId="7" applyFont="1" applyAlignment="1">
      <alignment horizontal="left" vertical="center"/>
    </xf>
    <xf numFmtId="0" fontId="106" fillId="0" borderId="62" xfId="0" applyFont="1" applyBorder="1" applyAlignment="1">
      <alignment wrapText="1"/>
    </xf>
    <xf numFmtId="14" fontId="106" fillId="0" borderId="11" xfId="0" applyNumberFormat="1" applyFont="1" applyBorder="1" applyAlignment="1">
      <alignment horizontal="center" wrapText="1"/>
    </xf>
    <xf numFmtId="14" fontId="106" fillId="0" borderId="62" xfId="0" applyNumberFormat="1" applyFont="1" applyBorder="1" applyAlignment="1">
      <alignment horizontal="center" wrapText="1"/>
    </xf>
    <xf numFmtId="0" fontId="104" fillId="0" borderId="36" xfId="7" applyFont="1" applyBorder="1" applyAlignment="1">
      <alignment horizontal="left" vertical="center"/>
    </xf>
    <xf numFmtId="0" fontId="106" fillId="0" borderId="58" xfId="0" applyFont="1" applyBorder="1" applyAlignment="1">
      <alignment wrapText="1"/>
    </xf>
    <xf numFmtId="14" fontId="106" fillId="0" borderId="10" xfId="0" applyNumberFormat="1" applyFont="1" applyBorder="1" applyAlignment="1">
      <alignment horizontal="center" wrapText="1"/>
    </xf>
    <xf numFmtId="14" fontId="106" fillId="0" borderId="47" xfId="0" applyNumberFormat="1" applyFont="1" applyBorder="1" applyAlignment="1">
      <alignment horizontal="center" wrapText="1"/>
    </xf>
    <xf numFmtId="49" fontId="106" fillId="7" borderId="11" xfId="7" applyNumberFormat="1" applyFont="1" applyFill="1" applyBorder="1" applyAlignment="1">
      <alignment horizontal="left"/>
    </xf>
    <xf numFmtId="0" fontId="106" fillId="7" borderId="17" xfId="0" applyFont="1" applyFill="1" applyBorder="1" applyAlignment="1">
      <alignment wrapText="1"/>
    </xf>
    <xf numFmtId="0" fontId="106" fillId="7" borderId="10" xfId="0" applyFont="1" applyFill="1" applyBorder="1" applyAlignment="1">
      <alignment horizontal="center" wrapText="1"/>
    </xf>
    <xf numFmtId="14" fontId="106" fillId="7" borderId="10" xfId="0" applyNumberFormat="1" applyFont="1" applyFill="1" applyBorder="1" applyAlignment="1">
      <alignment horizontal="center" wrapText="1"/>
    </xf>
    <xf numFmtId="14" fontId="106" fillId="7" borderId="47" xfId="0" applyNumberFormat="1" applyFont="1" applyFill="1" applyBorder="1" applyAlignment="1">
      <alignment horizontal="center" wrapText="1"/>
    </xf>
    <xf numFmtId="0" fontId="106" fillId="0" borderId="45" xfId="0" applyFont="1" applyBorder="1" applyAlignment="1">
      <alignment wrapText="1"/>
    </xf>
    <xf numFmtId="0" fontId="104" fillId="0" borderId="65" xfId="7" applyFont="1" applyBorder="1" applyAlignment="1">
      <alignment horizontal="left"/>
    </xf>
    <xf numFmtId="14" fontId="106" fillId="0" borderId="58" xfId="0" applyNumberFormat="1" applyFont="1" applyBorder="1" applyAlignment="1">
      <alignment horizontal="center" wrapText="1"/>
    </xf>
    <xf numFmtId="3" fontId="104" fillId="0" borderId="11" xfId="7" applyNumberFormat="1" applyFont="1" applyBorder="1" applyAlignment="1">
      <alignment horizontal="right"/>
    </xf>
    <xf numFmtId="3" fontId="105" fillId="0" borderId="11" xfId="7" applyNumberFormat="1" applyFont="1" applyBorder="1" applyAlignment="1">
      <alignment horizontal="right"/>
    </xf>
    <xf numFmtId="14" fontId="106" fillId="0" borderId="17" xfId="0" applyNumberFormat="1" applyFont="1" applyBorder="1" applyAlignment="1">
      <alignment horizontal="center" wrapText="1"/>
    </xf>
    <xf numFmtId="3" fontId="105" fillId="0" borderId="10" xfId="7" applyNumberFormat="1" applyFont="1" applyBorder="1" applyAlignment="1">
      <alignment horizontal="right"/>
    </xf>
    <xf numFmtId="3" fontId="104" fillId="0" borderId="53" xfId="7" applyNumberFormat="1" applyFont="1" applyBorder="1" applyAlignment="1">
      <alignment horizontal="right"/>
    </xf>
    <xf numFmtId="3" fontId="105" fillId="0" borderId="53" xfId="7" applyNumberFormat="1" applyFont="1" applyBorder="1" applyAlignment="1">
      <alignment horizontal="right"/>
    </xf>
    <xf numFmtId="49" fontId="106" fillId="0" borderId="34" xfId="7" applyNumberFormat="1" applyFont="1" applyBorder="1" applyAlignment="1">
      <alignment horizontal="left"/>
    </xf>
    <xf numFmtId="3" fontId="49" fillId="0" borderId="11" xfId="7" applyNumberFormat="1" applyFont="1" applyBorder="1" applyAlignment="1">
      <alignment horizontal="right"/>
    </xf>
    <xf numFmtId="0" fontId="106" fillId="0" borderId="36" xfId="0" applyFont="1" applyBorder="1" applyAlignment="1">
      <alignment wrapText="1"/>
    </xf>
    <xf numFmtId="3" fontId="106" fillId="0" borderId="36" xfId="7" applyNumberFormat="1" applyFont="1" applyBorder="1" applyAlignment="1">
      <alignment horizontal="right"/>
    </xf>
    <xf numFmtId="3" fontId="49" fillId="0" borderId="36" xfId="7" applyNumberFormat="1" applyFont="1" applyBorder="1" applyAlignment="1">
      <alignment horizontal="right"/>
    </xf>
    <xf numFmtId="0" fontId="106" fillId="7" borderId="10" xfId="0" applyFont="1" applyFill="1" applyBorder="1" applyAlignment="1">
      <alignment horizontal="left" wrapText="1"/>
    </xf>
    <xf numFmtId="0" fontId="106" fillId="7" borderId="10" xfId="0" applyFont="1" applyFill="1" applyBorder="1" applyAlignment="1">
      <alignment wrapText="1"/>
    </xf>
    <xf numFmtId="0" fontId="106" fillId="7" borderId="17" xfId="0" applyFont="1" applyFill="1" applyBorder="1" applyAlignment="1">
      <alignment horizontal="center" wrapText="1"/>
    </xf>
    <xf numFmtId="3" fontId="106" fillId="7" borderId="10" xfId="7" applyNumberFormat="1" applyFont="1" applyFill="1" applyBorder="1" applyAlignment="1">
      <alignment horizontal="right"/>
    </xf>
    <xf numFmtId="3" fontId="49" fillId="7" borderId="10" xfId="7" applyNumberFormat="1" applyFont="1" applyFill="1" applyBorder="1" applyAlignment="1">
      <alignment horizontal="right"/>
    </xf>
    <xf numFmtId="49" fontId="106" fillId="5" borderId="53" xfId="7" applyNumberFormat="1" applyFont="1" applyFill="1" applyBorder="1" applyAlignment="1">
      <alignment horizontal="left"/>
    </xf>
    <xf numFmtId="0" fontId="106" fillId="5" borderId="53" xfId="0" applyFont="1" applyFill="1" applyBorder="1" applyAlignment="1">
      <alignment wrapText="1"/>
    </xf>
    <xf numFmtId="0" fontId="106" fillId="5" borderId="53" xfId="0" applyFont="1" applyFill="1" applyBorder="1" applyAlignment="1">
      <alignment horizontal="center" wrapText="1"/>
    </xf>
    <xf numFmtId="0" fontId="106" fillId="5" borderId="65" xfId="0" applyFont="1" applyFill="1" applyBorder="1" applyAlignment="1">
      <alignment horizontal="center" wrapText="1"/>
    </xf>
    <xf numFmtId="0" fontId="106" fillId="5" borderId="34" xfId="0" applyFont="1" applyFill="1" applyBorder="1" applyAlignment="1">
      <alignment horizontal="center" wrapText="1"/>
    </xf>
    <xf numFmtId="3" fontId="106" fillId="5" borderId="53" xfId="7" applyNumberFormat="1" applyFont="1" applyFill="1" applyBorder="1" applyAlignment="1">
      <alignment horizontal="right"/>
    </xf>
    <xf numFmtId="3" fontId="49" fillId="5" borderId="53" xfId="7" applyNumberFormat="1" applyFont="1" applyFill="1" applyBorder="1" applyAlignment="1">
      <alignment horizontal="right"/>
    </xf>
    <xf numFmtId="0" fontId="111" fillId="5" borderId="11" xfId="0" applyFont="1" applyFill="1" applyBorder="1"/>
    <xf numFmtId="0" fontId="111" fillId="5" borderId="11" xfId="0" applyFont="1" applyFill="1" applyBorder="1" applyAlignment="1">
      <alignment horizontal="center"/>
    </xf>
    <xf numFmtId="0" fontId="111" fillId="5" borderId="58" xfId="0" applyFont="1" applyFill="1" applyBorder="1" applyAlignment="1">
      <alignment horizontal="center"/>
    </xf>
    <xf numFmtId="14" fontId="111" fillId="5" borderId="11" xfId="0" applyNumberFormat="1" applyFont="1" applyFill="1" applyBorder="1" applyAlignment="1">
      <alignment horizontal="center"/>
    </xf>
    <xf numFmtId="14" fontId="111" fillId="5" borderId="58" xfId="0" applyNumberFormat="1" applyFont="1" applyFill="1" applyBorder="1" applyAlignment="1">
      <alignment horizontal="center"/>
    </xf>
    <xf numFmtId="0" fontId="111" fillId="5" borderId="11" xfId="0" applyFont="1" applyFill="1" applyBorder="1" applyAlignment="1">
      <alignment wrapText="1"/>
    </xf>
    <xf numFmtId="0" fontId="111" fillId="5" borderId="12" xfId="0" applyFont="1" applyFill="1" applyBorder="1"/>
    <xf numFmtId="0" fontId="111" fillId="5" borderId="12" xfId="0" applyFont="1" applyFill="1" applyBorder="1" applyAlignment="1">
      <alignment horizontal="center"/>
    </xf>
    <xf numFmtId="0" fontId="111" fillId="5" borderId="73" xfId="0" applyFont="1" applyFill="1" applyBorder="1" applyAlignment="1">
      <alignment horizontal="center"/>
    </xf>
    <xf numFmtId="3" fontId="49" fillId="0" borderId="12" xfId="7" applyNumberFormat="1" applyFont="1" applyBorder="1" applyAlignment="1">
      <alignment horizontal="right"/>
    </xf>
    <xf numFmtId="0" fontId="111" fillId="5" borderId="34" xfId="0" applyFont="1" applyFill="1" applyBorder="1"/>
    <xf numFmtId="0" fontId="111" fillId="5" borderId="34" xfId="0" applyFont="1" applyFill="1" applyBorder="1" applyAlignment="1">
      <alignment horizontal="center"/>
    </xf>
    <xf numFmtId="0" fontId="111" fillId="5" borderId="32" xfId="0" applyFont="1" applyFill="1" applyBorder="1" applyAlignment="1">
      <alignment horizontal="center"/>
    </xf>
    <xf numFmtId="0" fontId="106" fillId="0" borderId="16" xfId="0" applyFont="1" applyBorder="1" applyAlignment="1">
      <alignment wrapText="1"/>
    </xf>
    <xf numFmtId="0" fontId="106" fillId="0" borderId="15" xfId="0" applyFont="1" applyBorder="1" applyAlignment="1">
      <alignment horizontal="center" wrapText="1"/>
    </xf>
    <xf numFmtId="3" fontId="109" fillId="0" borderId="11" xfId="7" applyNumberFormat="1" applyFont="1" applyBorder="1" applyAlignment="1">
      <alignment horizontal="right"/>
    </xf>
    <xf numFmtId="3" fontId="104" fillId="0" borderId="11" xfId="7" applyNumberFormat="1" applyFont="1" applyBorder="1" applyAlignment="1">
      <alignment horizontal="center"/>
    </xf>
    <xf numFmtId="0" fontId="106" fillId="0" borderId="12" xfId="0" applyFont="1" applyBorder="1" applyAlignment="1">
      <alignment wrapText="1"/>
    </xf>
    <xf numFmtId="0" fontId="106" fillId="0" borderId="12" xfId="0" applyFont="1" applyBorder="1" applyAlignment="1">
      <alignment horizontal="center" wrapText="1"/>
    </xf>
    <xf numFmtId="0" fontId="106" fillId="0" borderId="73" xfId="0" applyFont="1" applyBorder="1" applyAlignment="1">
      <alignment horizontal="center" wrapText="1"/>
    </xf>
    <xf numFmtId="3" fontId="109" fillId="0" borderId="12" xfId="7" applyNumberFormat="1" applyFont="1" applyBorder="1" applyAlignment="1">
      <alignment horizontal="right"/>
    </xf>
    <xf numFmtId="3" fontId="104" fillId="0" borderId="12" xfId="7" applyNumberFormat="1" applyFont="1" applyBorder="1" applyAlignment="1">
      <alignment horizontal="right"/>
    </xf>
    <xf numFmtId="3" fontId="104" fillId="0" borderId="12" xfId="7" applyNumberFormat="1" applyFont="1" applyBorder="1" applyAlignment="1">
      <alignment horizontal="center"/>
    </xf>
    <xf numFmtId="0" fontId="106" fillId="7" borderId="12" xfId="0" applyFont="1" applyFill="1" applyBorder="1" applyAlignment="1">
      <alignment wrapText="1"/>
    </xf>
    <xf numFmtId="0" fontId="106" fillId="7" borderId="12" xfId="0" applyFont="1" applyFill="1" applyBorder="1" applyAlignment="1">
      <alignment horizontal="center" wrapText="1"/>
    </xf>
    <xf numFmtId="0" fontId="106" fillId="7" borderId="73" xfId="0" applyFont="1" applyFill="1" applyBorder="1" applyAlignment="1">
      <alignment horizontal="center" wrapText="1"/>
    </xf>
    <xf numFmtId="3" fontId="106" fillId="7" borderId="12" xfId="7" applyNumberFormat="1" applyFont="1" applyFill="1" applyBorder="1" applyAlignment="1">
      <alignment horizontal="right"/>
    </xf>
    <xf numFmtId="3" fontId="49" fillId="7" borderId="12" xfId="7" applyNumberFormat="1" applyFont="1" applyFill="1" applyBorder="1" applyAlignment="1">
      <alignment horizontal="right"/>
    </xf>
    <xf numFmtId="3" fontId="109" fillId="7" borderId="12" xfId="7" applyNumberFormat="1" applyFont="1" applyFill="1" applyBorder="1" applyAlignment="1">
      <alignment horizontal="right"/>
    </xf>
    <xf numFmtId="3" fontId="104" fillId="7" borderId="12" xfId="7" applyNumberFormat="1" applyFont="1" applyFill="1" applyBorder="1" applyAlignment="1">
      <alignment horizontal="right"/>
    </xf>
    <xf numFmtId="3" fontId="104" fillId="7" borderId="12" xfId="7" applyNumberFormat="1" applyFont="1" applyFill="1" applyBorder="1" applyAlignment="1">
      <alignment horizontal="center"/>
    </xf>
    <xf numFmtId="3" fontId="109" fillId="0" borderId="34" xfId="7" applyNumberFormat="1" applyFont="1" applyBorder="1" applyAlignment="1">
      <alignment horizontal="right"/>
    </xf>
    <xf numFmtId="3" fontId="104" fillId="0" borderId="34" xfId="7" applyNumberFormat="1" applyFont="1" applyBorder="1" applyAlignment="1">
      <alignment horizontal="right"/>
    </xf>
    <xf numFmtId="3" fontId="104" fillId="0" borderId="34" xfId="7" applyNumberFormat="1" applyFont="1" applyBorder="1" applyAlignment="1">
      <alignment horizontal="center"/>
    </xf>
    <xf numFmtId="3" fontId="109" fillId="0" borderId="53" xfId="7" applyNumberFormat="1" applyFont="1" applyBorder="1" applyAlignment="1">
      <alignment horizontal="right"/>
    </xf>
    <xf numFmtId="3" fontId="104" fillId="0" borderId="53" xfId="7" applyNumberFormat="1" applyFont="1" applyBorder="1" applyAlignment="1">
      <alignment horizontal="center"/>
    </xf>
    <xf numFmtId="0" fontId="49" fillId="26" borderId="53" xfId="7" applyFont="1" applyFill="1" applyBorder="1"/>
    <xf numFmtId="3" fontId="106" fillId="0" borderId="53" xfId="7" applyNumberFormat="1" applyFont="1" applyBorder="1" applyAlignment="1">
      <alignment horizontal="right" wrapText="1"/>
    </xf>
    <xf numFmtId="0" fontId="77" fillId="0" borderId="0" xfId="7" applyFont="1"/>
    <xf numFmtId="0" fontId="106" fillId="0" borderId="59" xfId="7" applyFont="1" applyBorder="1" applyAlignment="1">
      <alignment horizontal="left" vertical="center" textRotation="180"/>
    </xf>
    <xf numFmtId="3" fontId="106" fillId="0" borderId="11" xfId="7" applyNumberFormat="1" applyFont="1" applyBorder="1" applyAlignment="1">
      <alignment horizontal="center"/>
    </xf>
    <xf numFmtId="3" fontId="106" fillId="0" borderId="53" xfId="7" applyNumberFormat="1" applyFont="1" applyBorder="1" applyAlignment="1">
      <alignment horizontal="center"/>
    </xf>
    <xf numFmtId="0" fontId="104" fillId="4" borderId="1" xfId="7" applyFont="1" applyFill="1" applyBorder="1"/>
    <xf numFmtId="0" fontId="104" fillId="4" borderId="30" xfId="7" applyFont="1" applyFill="1" applyBorder="1"/>
    <xf numFmtId="0" fontId="104" fillId="4" borderId="3" xfId="7" applyFont="1" applyFill="1" applyBorder="1"/>
    <xf numFmtId="0" fontId="104" fillId="4" borderId="3" xfId="7" applyFont="1" applyFill="1" applyBorder="1" applyAlignment="1">
      <alignment horizontal="center"/>
    </xf>
    <xf numFmtId="0" fontId="104" fillId="4" borderId="2" xfId="7" applyFont="1" applyFill="1" applyBorder="1" applyAlignment="1">
      <alignment horizontal="center"/>
    </xf>
    <xf numFmtId="3" fontId="104" fillId="4" borderId="6" xfId="7" applyNumberFormat="1" applyFont="1" applyFill="1" applyBorder="1" applyAlignment="1">
      <alignment horizontal="right"/>
    </xf>
    <xf numFmtId="3" fontId="105" fillId="4" borderId="6" xfId="7" applyNumberFormat="1" applyFont="1" applyFill="1" applyBorder="1" applyAlignment="1">
      <alignment horizontal="right"/>
    </xf>
    <xf numFmtId="3" fontId="110" fillId="4" borderId="6" xfId="7" applyNumberFormat="1" applyFont="1" applyFill="1" applyBorder="1" applyAlignment="1">
      <alignment horizontal="right"/>
    </xf>
    <xf numFmtId="3" fontId="104" fillId="4" borderId="3" xfId="7" applyNumberFormat="1" applyFont="1" applyFill="1" applyBorder="1" applyAlignment="1">
      <alignment horizontal="center"/>
    </xf>
    <xf numFmtId="3" fontId="106" fillId="4" borderId="3" xfId="7" applyNumberFormat="1" applyFont="1" applyFill="1" applyBorder="1" applyAlignment="1">
      <alignment horizontal="right"/>
    </xf>
    <xf numFmtId="0" fontId="105" fillId="0" borderId="0" xfId="7" applyFont="1" applyAlignment="1">
      <alignment horizontal="center"/>
    </xf>
    <xf numFmtId="3" fontId="106" fillId="0" borderId="0" xfId="7" applyNumberFormat="1" applyFont="1" applyAlignment="1">
      <alignment horizontal="right"/>
    </xf>
    <xf numFmtId="3" fontId="105" fillId="0" borderId="0" xfId="7" applyNumberFormat="1" applyFont="1"/>
    <xf numFmtId="3" fontId="104" fillId="0" borderId="0" xfId="7" applyNumberFormat="1" applyFont="1"/>
    <xf numFmtId="3" fontId="104" fillId="0" borderId="0" xfId="7" applyNumberFormat="1" applyFont="1" applyAlignment="1">
      <alignment horizontal="center"/>
    </xf>
    <xf numFmtId="3" fontId="105" fillId="0" borderId="0" xfId="7" applyNumberFormat="1" applyFont="1" applyAlignment="1">
      <alignment horizontal="center"/>
    </xf>
    <xf numFmtId="0" fontId="49" fillId="22" borderId="0" xfId="7" applyFont="1" applyFill="1"/>
    <xf numFmtId="0" fontId="66" fillId="22" borderId="0" xfId="7" applyFont="1" applyFill="1"/>
    <xf numFmtId="3" fontId="49" fillId="0" borderId="0" xfId="7" applyNumberFormat="1" applyFont="1"/>
    <xf numFmtId="0" fontId="106" fillId="22" borderId="0" xfId="7" applyFont="1" applyFill="1" applyAlignment="1">
      <alignment horizontal="center"/>
    </xf>
    <xf numFmtId="3" fontId="106" fillId="22" borderId="0" xfId="7" applyNumberFormat="1" applyFont="1" applyFill="1" applyAlignment="1">
      <alignment horizontal="center"/>
    </xf>
    <xf numFmtId="0" fontId="109" fillId="22" borderId="0" xfId="7" applyFont="1" applyFill="1"/>
    <xf numFmtId="0" fontId="109" fillId="22" borderId="0" xfId="7" applyFont="1" applyFill="1" applyAlignment="1">
      <alignment horizontal="center"/>
    </xf>
    <xf numFmtId="0" fontId="49" fillId="22" borderId="0" xfId="7" applyFont="1" applyFill="1" applyAlignment="1">
      <alignment horizontal="center"/>
    </xf>
    <xf numFmtId="0" fontId="104" fillId="0" borderId="0" xfId="5" applyFont="1" applyAlignment="1">
      <alignment horizontal="left"/>
    </xf>
    <xf numFmtId="0" fontId="77" fillId="0" borderId="0" xfId="5" applyFont="1"/>
    <xf numFmtId="0" fontId="112" fillId="8" borderId="0" xfId="0" applyFont="1" applyFill="1"/>
    <xf numFmtId="0" fontId="77" fillId="2" borderId="5" xfId="6" applyFont="1" applyFill="1" applyBorder="1" applyAlignment="1">
      <alignment horizontal="center" vertical="center" wrapText="1"/>
    </xf>
    <xf numFmtId="3" fontId="104" fillId="2" borderId="4" xfId="5" applyNumberFormat="1" applyFont="1" applyFill="1" applyBorder="1" applyAlignment="1">
      <alignment horizontal="center" vertical="center" wrapText="1"/>
    </xf>
    <xf numFmtId="3" fontId="74" fillId="2" borderId="4" xfId="5" applyNumberFormat="1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8" fillId="22" borderId="0" xfId="0" applyFont="1" applyFill="1" applyAlignment="1">
      <alignment vertical="center" wrapText="1"/>
    </xf>
    <xf numFmtId="0" fontId="78" fillId="0" borderId="18" xfId="6" applyFont="1" applyBorder="1" applyAlignment="1">
      <alignment horizontal="center" vertical="center" wrapText="1"/>
    </xf>
    <xf numFmtId="0" fontId="78" fillId="0" borderId="13" xfId="6" applyFont="1" applyBorder="1" applyAlignment="1">
      <alignment horizontal="center" vertical="center" wrapText="1"/>
    </xf>
    <xf numFmtId="0" fontId="78" fillId="0" borderId="13" xfId="6" applyFont="1" applyBorder="1" applyAlignment="1">
      <alignment vertical="center" wrapText="1"/>
    </xf>
    <xf numFmtId="3" fontId="106" fillId="0" borderId="16" xfId="6" applyNumberFormat="1" applyFont="1" applyBorder="1" applyAlignment="1">
      <alignment vertical="center"/>
    </xf>
    <xf numFmtId="3" fontId="66" fillId="0" borderId="16" xfId="6" applyNumberFormat="1" applyFont="1" applyBorder="1" applyAlignment="1">
      <alignment vertical="center"/>
    </xf>
    <xf numFmtId="3" fontId="66" fillId="0" borderId="0" xfId="0" applyNumberFormat="1" applyFont="1" applyAlignment="1">
      <alignment horizontal="center"/>
    </xf>
    <xf numFmtId="0" fontId="78" fillId="22" borderId="0" xfId="0" applyFont="1" applyFill="1" applyAlignment="1">
      <alignment vertical="center"/>
    </xf>
    <xf numFmtId="3" fontId="106" fillId="0" borderId="11" xfId="6" applyNumberFormat="1" applyFont="1" applyBorder="1" applyAlignment="1">
      <alignment vertical="center"/>
    </xf>
    <xf numFmtId="3" fontId="66" fillId="0" borderId="10" xfId="6" applyNumberFormat="1" applyFont="1" applyBorder="1" applyAlignment="1">
      <alignment vertical="center"/>
    </xf>
    <xf numFmtId="3" fontId="106" fillId="0" borderId="10" xfId="6" applyNumberFormat="1" applyFont="1" applyBorder="1" applyAlignment="1">
      <alignment vertical="center"/>
    </xf>
    <xf numFmtId="0" fontId="77" fillId="0" borderId="37" xfId="6" applyFont="1" applyBorder="1" applyAlignment="1">
      <alignment wrapText="1"/>
    </xf>
    <xf numFmtId="3" fontId="104" fillId="0" borderId="34" xfId="6" applyNumberFormat="1" applyFont="1" applyBorder="1"/>
    <xf numFmtId="3" fontId="74" fillId="0" borderId="34" xfId="6" applyNumberFormat="1" applyFont="1" applyBorder="1"/>
    <xf numFmtId="3" fontId="74" fillId="22" borderId="0" xfId="0" applyNumberFormat="1" applyFont="1" applyFill="1" applyAlignment="1">
      <alignment horizontal="center"/>
    </xf>
    <xf numFmtId="3" fontId="68" fillId="22" borderId="0" xfId="0" applyNumberFormat="1" applyFont="1" applyFill="1"/>
    <xf numFmtId="0" fontId="74" fillId="22" borderId="0" xfId="0" applyFont="1" applyFill="1" applyAlignment="1">
      <alignment horizontal="center"/>
    </xf>
    <xf numFmtId="0" fontId="78" fillId="23" borderId="0" xfId="0" applyFont="1" applyFill="1"/>
    <xf numFmtId="3" fontId="78" fillId="23" borderId="0" xfId="0" applyNumberFormat="1" applyFont="1" applyFill="1"/>
    <xf numFmtId="0" fontId="113" fillId="23" borderId="0" xfId="0" applyFont="1" applyFill="1"/>
    <xf numFmtId="0" fontId="113" fillId="23" borderId="0" xfId="0" applyFont="1" applyFill="1" applyAlignment="1">
      <alignment horizontal="center"/>
    </xf>
    <xf numFmtId="3" fontId="114" fillId="23" borderId="0" xfId="0" applyNumberFormat="1" applyFont="1" applyFill="1" applyAlignment="1">
      <alignment horizontal="center"/>
    </xf>
    <xf numFmtId="3" fontId="113" fillId="23" borderId="0" xfId="0" applyNumberFormat="1" applyFont="1" applyFill="1" applyAlignment="1">
      <alignment horizontal="center"/>
    </xf>
    <xf numFmtId="3" fontId="113" fillId="23" borderId="0" xfId="0" applyNumberFormat="1" applyFont="1" applyFill="1"/>
    <xf numFmtId="0" fontId="115" fillId="23" borderId="0" xfId="0" applyFont="1" applyFill="1"/>
    <xf numFmtId="3" fontId="115" fillId="23" borderId="0" xfId="0" applyNumberFormat="1" applyFont="1" applyFill="1"/>
    <xf numFmtId="0" fontId="78" fillId="5" borderId="0" xfId="0" applyFont="1" applyFill="1"/>
    <xf numFmtId="3" fontId="78" fillId="5" borderId="0" xfId="0" applyNumberFormat="1" applyFont="1" applyFill="1"/>
    <xf numFmtId="0" fontId="112" fillId="0" borderId="1" xfId="0" applyFont="1" applyBorder="1"/>
    <xf numFmtId="0" fontId="112" fillId="0" borderId="22" xfId="0" applyFont="1" applyBorder="1" applyAlignment="1">
      <alignment horizontal="center"/>
    </xf>
    <xf numFmtId="0" fontId="112" fillId="0" borderId="5" xfId="0" applyFont="1" applyBorder="1"/>
    <xf numFmtId="0" fontId="108" fillId="4" borderId="56" xfId="0" applyFont="1" applyFill="1" applyBorder="1"/>
    <xf numFmtId="0" fontId="108" fillId="4" borderId="22" xfId="0" applyFont="1" applyFill="1" applyBorder="1"/>
    <xf numFmtId="0" fontId="108" fillId="4" borderId="5" xfId="0" applyFont="1" applyFill="1" applyBorder="1"/>
    <xf numFmtId="0" fontId="116" fillId="11" borderId="22" xfId="0" applyFont="1" applyFill="1" applyBorder="1"/>
    <xf numFmtId="0" fontId="116" fillId="11" borderId="5" xfId="0" applyFont="1" applyFill="1" applyBorder="1"/>
    <xf numFmtId="0" fontId="74" fillId="0" borderId="5" xfId="0" applyFont="1" applyBorder="1"/>
    <xf numFmtId="0" fontId="112" fillId="0" borderId="50" xfId="0" applyFont="1" applyBorder="1"/>
    <xf numFmtId="0" fontId="112" fillId="0" borderId="6" xfId="0" applyFont="1" applyBorder="1"/>
    <xf numFmtId="0" fontId="112" fillId="0" borderId="3" xfId="0" applyFont="1" applyBorder="1"/>
    <xf numFmtId="0" fontId="112" fillId="0" borderId="0" xfId="0" applyFont="1"/>
    <xf numFmtId="3" fontId="78" fillId="0" borderId="23" xfId="0" applyNumberFormat="1" applyFont="1" applyBorder="1"/>
    <xf numFmtId="3" fontId="78" fillId="0" borderId="42" xfId="0" applyNumberFormat="1" applyFont="1" applyBorder="1"/>
    <xf numFmtId="3" fontId="78" fillId="0" borderId="25" xfId="0" applyNumberFormat="1" applyFont="1" applyBorder="1"/>
    <xf numFmtId="3" fontId="78" fillId="0" borderId="27" xfId="0" applyNumberFormat="1" applyFont="1" applyBorder="1"/>
    <xf numFmtId="3" fontId="78" fillId="4" borderId="27" xfId="0" applyNumberFormat="1" applyFont="1" applyFill="1" applyBorder="1"/>
    <xf numFmtId="3" fontId="78" fillId="0" borderId="26" xfId="0" applyNumberFormat="1" applyFont="1" applyBorder="1"/>
    <xf numFmtId="3" fontId="78" fillId="0" borderId="7" xfId="0" applyNumberFormat="1" applyFont="1" applyBorder="1"/>
    <xf numFmtId="3" fontId="78" fillId="0" borderId="10" xfId="0" applyNumberFormat="1" applyFont="1" applyBorder="1"/>
    <xf numFmtId="3" fontId="78" fillId="0" borderId="19" xfId="0" applyNumberFormat="1" applyFont="1" applyBorder="1"/>
    <xf numFmtId="3" fontId="78" fillId="0" borderId="21" xfId="0" applyNumberFormat="1" applyFont="1" applyBorder="1"/>
    <xf numFmtId="3" fontId="78" fillId="0" borderId="14" xfId="0" applyNumberFormat="1" applyFont="1" applyBorder="1"/>
    <xf numFmtId="3" fontId="78" fillId="0" borderId="43" xfId="0" applyNumberFormat="1" applyFont="1" applyBorder="1"/>
    <xf numFmtId="3" fontId="78" fillId="4" borderId="43" xfId="0" applyNumberFormat="1" applyFont="1" applyFill="1" applyBorder="1"/>
    <xf numFmtId="3" fontId="78" fillId="0" borderId="70" xfId="0" applyNumberFormat="1" applyFont="1" applyBorder="1"/>
    <xf numFmtId="3" fontId="78" fillId="0" borderId="8" xfId="0" applyNumberFormat="1" applyFont="1" applyBorder="1"/>
    <xf numFmtId="3" fontId="78" fillId="0" borderId="11" xfId="0" applyNumberFormat="1" applyFont="1" applyBorder="1"/>
    <xf numFmtId="3" fontId="66" fillId="0" borderId="19" xfId="0" applyNumberFormat="1" applyFont="1" applyBorder="1"/>
    <xf numFmtId="3" fontId="66" fillId="0" borderId="21" xfId="0" applyNumberFormat="1" applyFont="1" applyBorder="1"/>
    <xf numFmtId="3" fontId="66" fillId="0" borderId="43" xfId="0" applyNumberFormat="1" applyFont="1" applyBorder="1"/>
    <xf numFmtId="3" fontId="66" fillId="4" borderId="43" xfId="0" applyNumberFormat="1" applyFont="1" applyFill="1" applyBorder="1"/>
    <xf numFmtId="3" fontId="66" fillId="0" borderId="70" xfId="0" applyNumberFormat="1" applyFont="1" applyBorder="1"/>
    <xf numFmtId="3" fontId="66" fillId="23" borderId="0" xfId="0" applyNumberFormat="1" applyFont="1" applyFill="1"/>
    <xf numFmtId="3" fontId="66" fillId="0" borderId="11" xfId="0" applyNumberFormat="1" applyFont="1" applyBorder="1"/>
    <xf numFmtId="3" fontId="66" fillId="0" borderId="8" xfId="0" applyNumberFormat="1" applyFont="1" applyBorder="1"/>
    <xf numFmtId="3" fontId="117" fillId="0" borderId="19" xfId="0" applyNumberFormat="1" applyFont="1" applyBorder="1"/>
    <xf numFmtId="3" fontId="117" fillId="0" borderId="21" xfId="0" applyNumberFormat="1" applyFont="1" applyBorder="1"/>
    <xf numFmtId="3" fontId="117" fillId="0" borderId="14" xfId="0" applyNumberFormat="1" applyFont="1" applyBorder="1"/>
    <xf numFmtId="3" fontId="117" fillId="0" borderId="43" xfId="0" applyNumberFormat="1" applyFont="1" applyBorder="1"/>
    <xf numFmtId="3" fontId="117" fillId="4" borderId="43" xfId="0" applyNumberFormat="1" applyFont="1" applyFill="1" applyBorder="1"/>
    <xf numFmtId="3" fontId="117" fillId="0" borderId="70" xfId="0" applyNumberFormat="1" applyFont="1" applyBorder="1"/>
    <xf numFmtId="3" fontId="117" fillId="0" borderId="8" xfId="0" applyNumberFormat="1" applyFont="1" applyBorder="1"/>
    <xf numFmtId="3" fontId="117" fillId="0" borderId="11" xfId="0" applyNumberFormat="1" applyFont="1" applyBorder="1"/>
    <xf numFmtId="3" fontId="117" fillId="23" borderId="0" xfId="0" applyNumberFormat="1" applyFont="1" applyFill="1"/>
    <xf numFmtId="3" fontId="118" fillId="0" borderId="29" xfId="0" applyNumberFormat="1" applyFont="1" applyBorder="1"/>
    <xf numFmtId="3" fontId="118" fillId="0" borderId="75" xfId="0" applyNumberFormat="1" applyFont="1" applyBorder="1"/>
    <xf numFmtId="3" fontId="118" fillId="0" borderId="24" xfId="0" applyNumberFormat="1" applyFont="1" applyBorder="1"/>
    <xf numFmtId="3" fontId="118" fillId="0" borderId="66" xfId="0" applyNumberFormat="1" applyFont="1" applyBorder="1"/>
    <xf numFmtId="3" fontId="118" fillId="0" borderId="72" xfId="0" applyNumberFormat="1" applyFont="1" applyBorder="1"/>
    <xf numFmtId="3" fontId="118" fillId="0" borderId="9" xfId="0" applyNumberFormat="1" applyFont="1" applyBorder="1"/>
    <xf numFmtId="3" fontId="118" fillId="0" borderId="12" xfId="0" applyNumberFormat="1" applyFont="1" applyBorder="1"/>
    <xf numFmtId="0" fontId="118" fillId="5" borderId="0" xfId="0" applyFont="1" applyFill="1"/>
    <xf numFmtId="3" fontId="118" fillId="23" borderId="0" xfId="0" applyNumberFormat="1" applyFont="1" applyFill="1"/>
    <xf numFmtId="3" fontId="66" fillId="11" borderId="29" xfId="0" applyNumberFormat="1" applyFont="1" applyFill="1" applyBorder="1"/>
    <xf numFmtId="3" fontId="66" fillId="11" borderId="75" xfId="0" applyNumberFormat="1" applyFont="1" applyFill="1" applyBorder="1"/>
    <xf numFmtId="3" fontId="66" fillId="11" borderId="24" xfId="0" applyNumberFormat="1" applyFont="1" applyFill="1" applyBorder="1"/>
    <xf numFmtId="3" fontId="66" fillId="11" borderId="66" xfId="0" applyNumberFormat="1" applyFont="1" applyFill="1" applyBorder="1"/>
    <xf numFmtId="3" fontId="66" fillId="11" borderId="72" xfId="0" applyNumberFormat="1" applyFont="1" applyFill="1" applyBorder="1"/>
    <xf numFmtId="3" fontId="66" fillId="11" borderId="9" xfId="0" applyNumberFormat="1" applyFont="1" applyFill="1" applyBorder="1"/>
    <xf numFmtId="3" fontId="66" fillId="11" borderId="12" xfId="0" applyNumberFormat="1" applyFont="1" applyFill="1" applyBorder="1"/>
    <xf numFmtId="0" fontId="66" fillId="5" borderId="0" xfId="0" applyFont="1" applyFill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11" borderId="72" xfId="0" applyNumberFormat="1" applyFont="1" applyFill="1" applyBorder="1"/>
    <xf numFmtId="3" fontId="68" fillId="11" borderId="9" xfId="0" applyNumberFormat="1" applyFont="1" applyFill="1" applyBorder="1"/>
    <xf numFmtId="3" fontId="68" fillId="11" borderId="12" xfId="0" applyNumberFormat="1" applyFont="1" applyFill="1" applyBorder="1"/>
    <xf numFmtId="0" fontId="68" fillId="5" borderId="0" xfId="0" applyFont="1" applyFill="1"/>
    <xf numFmtId="3" fontId="68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3" fontId="68" fillId="0" borderId="72" xfId="0" applyNumberFormat="1" applyFont="1" applyBorder="1"/>
    <xf numFmtId="3" fontId="68" fillId="0" borderId="9" xfId="0" applyNumberFormat="1" applyFont="1" applyBorder="1"/>
    <xf numFmtId="3" fontId="68" fillId="0" borderId="12" xfId="0" applyNumberFormat="1" applyFont="1" applyBorder="1"/>
    <xf numFmtId="3" fontId="112" fillId="18" borderId="40" xfId="0" applyNumberFormat="1" applyFont="1" applyFill="1" applyBorder="1"/>
    <xf numFmtId="3" fontId="112" fillId="18" borderId="48" xfId="0" applyNumberFormat="1" applyFont="1" applyFill="1" applyBorder="1"/>
    <xf numFmtId="3" fontId="112" fillId="18" borderId="37" xfId="0" applyNumberFormat="1" applyFont="1" applyFill="1" applyBorder="1"/>
    <xf numFmtId="3" fontId="112" fillId="18" borderId="33" xfId="0" applyNumberFormat="1" applyFont="1" applyFill="1" applyBorder="1"/>
    <xf numFmtId="3" fontId="112" fillId="18" borderId="44" xfId="0" applyNumberFormat="1" applyFont="1" applyFill="1" applyBorder="1"/>
    <xf numFmtId="3" fontId="112" fillId="18" borderId="34" xfId="0" applyNumberFormat="1" applyFont="1" applyFill="1" applyBorder="1"/>
    <xf numFmtId="3" fontId="112" fillId="23" borderId="0" xfId="0" applyNumberFormat="1" applyFont="1" applyFill="1"/>
    <xf numFmtId="3" fontId="78" fillId="5" borderId="69" xfId="0" applyNumberFormat="1" applyFont="1" applyFill="1" applyBorder="1"/>
    <xf numFmtId="3" fontId="78" fillId="0" borderId="18" xfId="0" applyNumberFormat="1" applyFont="1" applyBorder="1"/>
    <xf numFmtId="3" fontId="78" fillId="0" borderId="20" xfId="0" applyNumberFormat="1" applyFont="1" applyBorder="1"/>
    <xf numFmtId="3" fontId="78" fillId="0" borderId="13" xfId="0" applyNumberFormat="1" applyFont="1" applyBorder="1"/>
    <xf numFmtId="3" fontId="78" fillId="0" borderId="60" xfId="0" applyNumberFormat="1" applyFont="1" applyBorder="1"/>
    <xf numFmtId="3" fontId="78" fillId="4" borderId="60" xfId="0" applyNumberFormat="1" applyFont="1" applyFill="1" applyBorder="1"/>
    <xf numFmtId="3" fontId="78" fillId="0" borderId="71" xfId="0" applyNumberFormat="1" applyFont="1" applyBorder="1"/>
    <xf numFmtId="3" fontId="78" fillId="0" borderId="46" xfId="0" applyNumberFormat="1" applyFont="1" applyBorder="1"/>
    <xf numFmtId="3" fontId="78" fillId="0" borderId="16" xfId="0" applyNumberFormat="1" applyFont="1" applyBorder="1"/>
    <xf numFmtId="3" fontId="78" fillId="0" borderId="62" xfId="0" applyNumberFormat="1" applyFont="1" applyBorder="1"/>
    <xf numFmtId="3" fontId="78" fillId="0" borderId="24" xfId="0" applyNumberFormat="1" applyFont="1" applyBorder="1"/>
    <xf numFmtId="3" fontId="78" fillId="0" borderId="66" xfId="0" applyNumberFormat="1" applyFont="1" applyBorder="1"/>
    <xf numFmtId="3" fontId="78" fillId="0" borderId="75" xfId="0" applyNumberFormat="1" applyFont="1" applyBorder="1"/>
    <xf numFmtId="3" fontId="78" fillId="4" borderId="66" xfId="0" applyNumberFormat="1" applyFont="1" applyFill="1" applyBorder="1"/>
    <xf numFmtId="3" fontId="78" fillId="0" borderId="72" xfId="0" applyNumberFormat="1" applyFont="1" applyBorder="1"/>
    <xf numFmtId="3" fontId="78" fillId="0" borderId="74" xfId="0" applyNumberFormat="1" applyFont="1" applyBorder="1"/>
    <xf numFmtId="3" fontId="78" fillId="0" borderId="12" xfId="0" applyNumberFormat="1" applyFont="1" applyBorder="1"/>
    <xf numFmtId="3" fontId="66" fillId="11" borderId="19" xfId="0" applyNumberFormat="1" applyFont="1" applyFill="1" applyBorder="1"/>
    <xf numFmtId="3" fontId="66" fillId="11" borderId="21" xfId="0" applyNumberFormat="1" applyFont="1" applyFill="1" applyBorder="1"/>
    <xf numFmtId="3" fontId="66" fillId="11" borderId="38" xfId="0" applyNumberFormat="1" applyFont="1" applyFill="1" applyBorder="1"/>
    <xf numFmtId="3" fontId="66" fillId="0" borderId="75" xfId="0" applyNumberFormat="1" applyFont="1" applyBorder="1"/>
    <xf numFmtId="3" fontId="66" fillId="0" borderId="24" xfId="0" applyNumberFormat="1" applyFont="1" applyBorder="1"/>
    <xf numFmtId="3" fontId="66" fillId="0" borderId="72" xfId="0" applyNumberFormat="1" applyFont="1" applyBorder="1"/>
    <xf numFmtId="3" fontId="66" fillId="0" borderId="74" xfId="0" applyNumberFormat="1" applyFont="1" applyBorder="1"/>
    <xf numFmtId="3" fontId="66" fillId="0" borderId="12" xfId="0" applyNumberFormat="1" applyFont="1" applyBorder="1"/>
    <xf numFmtId="3" fontId="66" fillId="0" borderId="29" xfId="0" applyNumberFormat="1" applyFont="1" applyBorder="1"/>
    <xf numFmtId="3" fontId="66" fillId="0" borderId="66" xfId="0" applyNumberFormat="1" applyFont="1" applyBorder="1"/>
    <xf numFmtId="3" fontId="66" fillId="4" borderId="66" xfId="0" applyNumberFormat="1" applyFont="1" applyFill="1" applyBorder="1"/>
    <xf numFmtId="3" fontId="68" fillId="0" borderId="19" xfId="0" applyNumberFormat="1" applyFont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74" xfId="0" applyNumberFormat="1" applyFont="1" applyBorder="1"/>
    <xf numFmtId="3" fontId="78" fillId="0" borderId="41" xfId="0" applyNumberFormat="1" applyFont="1" applyBorder="1"/>
    <xf numFmtId="3" fontId="78" fillId="0" borderId="57" xfId="0" applyNumberFormat="1" applyFont="1" applyBorder="1"/>
    <xf numFmtId="3" fontId="112" fillId="19" borderId="40" xfId="0" applyNumberFormat="1" applyFont="1" applyFill="1" applyBorder="1"/>
    <xf numFmtId="3" fontId="112" fillId="19" borderId="48" xfId="0" applyNumberFormat="1" applyFont="1" applyFill="1" applyBorder="1"/>
    <xf numFmtId="3" fontId="112" fillId="19" borderId="37" xfId="0" applyNumberFormat="1" applyFont="1" applyFill="1" applyBorder="1"/>
    <xf numFmtId="3" fontId="112" fillId="19" borderId="33" xfId="0" applyNumberFormat="1" applyFont="1" applyFill="1" applyBorder="1"/>
    <xf numFmtId="3" fontId="112" fillId="19" borderId="44" xfId="0" applyNumberFormat="1" applyFont="1" applyFill="1" applyBorder="1"/>
    <xf numFmtId="3" fontId="112" fillId="19" borderId="49" xfId="0" applyNumberFormat="1" applyFont="1" applyFill="1" applyBorder="1"/>
    <xf numFmtId="3" fontId="112" fillId="19" borderId="34" xfId="0" applyNumberFormat="1" applyFont="1" applyFill="1" applyBorder="1"/>
    <xf numFmtId="0" fontId="112" fillId="0" borderId="18" xfId="0" applyFont="1" applyBorder="1"/>
    <xf numFmtId="0" fontId="112" fillId="0" borderId="20" xfId="0" applyFont="1" applyBorder="1"/>
    <xf numFmtId="3" fontId="74" fillId="0" borderId="13" xfId="0" applyNumberFormat="1" applyFont="1" applyBorder="1"/>
    <xf numFmtId="3" fontId="74" fillId="0" borderId="60" xfId="0" applyNumberFormat="1" applyFont="1" applyBorder="1"/>
    <xf numFmtId="3" fontId="74" fillId="0" borderId="20" xfId="0" applyNumberFormat="1" applyFont="1" applyBorder="1"/>
    <xf numFmtId="3" fontId="74" fillId="0" borderId="71" xfId="0" applyNumberFormat="1" applyFont="1" applyBorder="1"/>
    <xf numFmtId="3" fontId="74" fillId="0" borderId="31" xfId="0" applyNumberFormat="1" applyFont="1" applyBorder="1"/>
    <xf numFmtId="0" fontId="112" fillId="23" borderId="0" xfId="0" applyFont="1" applyFill="1"/>
    <xf numFmtId="0" fontId="78" fillId="17" borderId="40" xfId="0" applyFont="1" applyFill="1" applyBorder="1"/>
    <xf numFmtId="0" fontId="78" fillId="17" borderId="48" xfId="0" applyFont="1" applyFill="1" applyBorder="1"/>
    <xf numFmtId="9" fontId="119" fillId="17" borderId="37" xfId="8" applyFont="1" applyFill="1" applyBorder="1"/>
    <xf numFmtId="9" fontId="119" fillId="17" borderId="33" xfId="8" applyFont="1" applyFill="1" applyBorder="1"/>
    <xf numFmtId="9" fontId="119" fillId="17" borderId="48" xfId="8" applyFont="1" applyFill="1" applyBorder="1"/>
    <xf numFmtId="9" fontId="119" fillId="17" borderId="49" xfId="8" applyFont="1" applyFill="1" applyBorder="1"/>
    <xf numFmtId="9" fontId="119" fillId="17" borderId="35" xfId="8" applyFont="1" applyFill="1" applyBorder="1"/>
    <xf numFmtId="9" fontId="119" fillId="17" borderId="54" xfId="8" applyFont="1" applyFill="1" applyBorder="1"/>
    <xf numFmtId="9" fontId="119" fillId="17" borderId="55" xfId="8" applyFont="1" applyFill="1" applyBorder="1"/>
    <xf numFmtId="9" fontId="119" fillId="17" borderId="51" xfId="8" applyFont="1" applyFill="1" applyBorder="1"/>
    <xf numFmtId="9" fontId="119" fillId="17" borderId="28" xfId="8" applyFont="1" applyFill="1" applyBorder="1"/>
    <xf numFmtId="9" fontId="119" fillId="17" borderId="0" xfId="8" applyFont="1" applyFill="1" applyBorder="1"/>
    <xf numFmtId="3" fontId="112" fillId="5" borderId="0" xfId="0" applyNumberFormat="1" applyFont="1" applyFill="1"/>
    <xf numFmtId="0" fontId="112" fillId="5" borderId="0" xfId="0" applyFont="1" applyFill="1"/>
    <xf numFmtId="0" fontId="78" fillId="0" borderId="18" xfId="0" applyFont="1" applyBorder="1"/>
    <xf numFmtId="0" fontId="78" fillId="0" borderId="20" xfId="0" applyFont="1" applyBorder="1"/>
    <xf numFmtId="3" fontId="78" fillId="0" borderId="31" xfId="0" applyNumberFormat="1" applyFont="1" applyBorder="1"/>
    <xf numFmtId="0" fontId="108" fillId="20" borderId="40" xfId="0" applyFont="1" applyFill="1" applyBorder="1"/>
    <xf numFmtId="9" fontId="108" fillId="20" borderId="37" xfId="8" applyFont="1" applyFill="1" applyBorder="1"/>
    <xf numFmtId="9" fontId="108" fillId="20" borderId="33" xfId="8" applyFont="1" applyFill="1" applyBorder="1"/>
    <xf numFmtId="9" fontId="108" fillId="20" borderId="48" xfId="8" applyFont="1" applyFill="1" applyBorder="1"/>
    <xf numFmtId="9" fontId="108" fillId="20" borderId="40" xfId="8" applyFont="1" applyFill="1" applyBorder="1"/>
    <xf numFmtId="9" fontId="108" fillId="20" borderId="0" xfId="8" applyFont="1" applyFill="1" applyBorder="1"/>
    <xf numFmtId="0" fontId="108" fillId="23" borderId="0" xfId="0" applyFont="1" applyFill="1"/>
    <xf numFmtId="0" fontId="77" fillId="5" borderId="0" xfId="0" applyFont="1" applyFill="1"/>
    <xf numFmtId="3" fontId="77" fillId="5" borderId="3" xfId="0" applyNumberFormat="1" applyFont="1" applyFill="1" applyBorder="1" applyAlignment="1">
      <alignment horizontal="center"/>
    </xf>
    <xf numFmtId="0" fontId="77" fillId="5" borderId="2" xfId="0" applyFont="1" applyFill="1" applyBorder="1" applyAlignment="1">
      <alignment horizontal="center"/>
    </xf>
    <xf numFmtId="0" fontId="77" fillId="5" borderId="2" xfId="0" applyFont="1" applyFill="1" applyBorder="1"/>
    <xf numFmtId="0" fontId="77" fillId="5" borderId="30" xfId="0" applyFont="1" applyFill="1" applyBorder="1"/>
    <xf numFmtId="0" fontId="77" fillId="5" borderId="6" xfId="0" applyFont="1" applyFill="1" applyBorder="1"/>
    <xf numFmtId="0" fontId="77" fillId="23" borderId="0" xfId="0" applyFont="1" applyFill="1"/>
    <xf numFmtId="0" fontId="78" fillId="5" borderId="3" xfId="0" applyFont="1" applyFill="1" applyBorder="1"/>
    <xf numFmtId="0" fontId="78" fillId="5" borderId="2" xfId="0" applyFont="1" applyFill="1" applyBorder="1"/>
    <xf numFmtId="3" fontId="78" fillId="5" borderId="1" xfId="0" applyNumberFormat="1" applyFont="1" applyFill="1" applyBorder="1" applyAlignment="1">
      <alignment horizontal="center"/>
    </xf>
    <xf numFmtId="3" fontId="78" fillId="5" borderId="5" xfId="0" applyNumberFormat="1" applyFont="1" applyFill="1" applyBorder="1" applyAlignment="1">
      <alignment horizontal="center"/>
    </xf>
    <xf numFmtId="0" fontId="78" fillId="5" borderId="5" xfId="0" applyFont="1" applyFill="1" applyBorder="1" applyAlignment="1">
      <alignment horizontal="center"/>
    </xf>
    <xf numFmtId="0" fontId="78" fillId="5" borderId="56" xfId="0" applyFont="1" applyFill="1" applyBorder="1" applyAlignment="1">
      <alignment horizontal="center"/>
    </xf>
    <xf numFmtId="3" fontId="78" fillId="5" borderId="2" xfId="0" applyNumberFormat="1" applyFont="1" applyFill="1" applyBorder="1" applyAlignment="1">
      <alignment horizontal="center"/>
    </xf>
    <xf numFmtId="0" fontId="78" fillId="5" borderId="0" xfId="0" applyFont="1" applyFill="1" applyAlignment="1">
      <alignment horizontal="center"/>
    </xf>
    <xf numFmtId="0" fontId="77" fillId="0" borderId="2" xfId="0" applyFont="1" applyBorder="1"/>
    <xf numFmtId="43" fontId="74" fillId="0" borderId="53" xfId="1" applyFont="1" applyBorder="1"/>
    <xf numFmtId="43" fontId="74" fillId="0" borderId="65" xfId="1" applyFont="1" applyBorder="1"/>
    <xf numFmtId="43" fontId="74" fillId="0" borderId="0" xfId="1" applyFont="1" applyBorder="1"/>
    <xf numFmtId="0" fontId="78" fillId="0" borderId="16" xfId="0" applyFont="1" applyBorder="1" applyAlignment="1">
      <alignment horizontal="right"/>
    </xf>
    <xf numFmtId="3" fontId="66" fillId="0" borderId="10" xfId="0" applyNumberFormat="1" applyFont="1" applyBorder="1"/>
    <xf numFmtId="3" fontId="66" fillId="0" borderId="17" xfId="0" applyNumberFormat="1" applyFont="1" applyBorder="1"/>
    <xf numFmtId="3" fontId="78" fillId="5" borderId="25" xfId="0" applyNumberFormat="1" applyFont="1" applyFill="1" applyBorder="1"/>
    <xf numFmtId="3" fontId="78" fillId="5" borderId="27" xfId="0" applyNumberFormat="1" applyFont="1" applyFill="1" applyBorder="1"/>
    <xf numFmtId="3" fontId="78" fillId="5" borderId="23" xfId="0" applyNumberFormat="1" applyFont="1" applyFill="1" applyBorder="1"/>
    <xf numFmtId="3" fontId="78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78" fillId="5" borderId="40" xfId="0" applyNumberFormat="1" applyFont="1" applyFill="1" applyBorder="1"/>
    <xf numFmtId="3" fontId="78" fillId="5" borderId="37" xfId="0" applyNumberFormat="1" applyFont="1" applyFill="1" applyBorder="1"/>
    <xf numFmtId="3" fontId="78" fillId="5" borderId="33" xfId="0" applyNumberFormat="1" applyFont="1" applyFill="1" applyBorder="1"/>
    <xf numFmtId="3" fontId="78" fillId="5" borderId="32" xfId="0" applyNumberFormat="1" applyFont="1" applyFill="1" applyBorder="1"/>
    <xf numFmtId="0" fontId="120" fillId="0" borderId="0" xfId="0" applyFont="1"/>
    <xf numFmtId="4" fontId="120" fillId="0" borderId="0" xfId="0" applyNumberFormat="1" applyFont="1"/>
    <xf numFmtId="3" fontId="120" fillId="0" borderId="0" xfId="0" applyNumberFormat="1" applyFont="1"/>
    <xf numFmtId="0" fontId="121" fillId="24" borderId="76" xfId="11" applyFont="1" applyAlignment="1">
      <alignment horizontal="center"/>
    </xf>
    <xf numFmtId="0" fontId="121" fillId="24" borderId="76" xfId="1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4" fontId="120" fillId="4" borderId="0" xfId="0" applyNumberFormat="1" applyFont="1" applyFill="1"/>
    <xf numFmtId="0" fontId="120" fillId="0" borderId="0" xfId="0" applyFont="1" applyAlignment="1">
      <alignment horizontal="right"/>
    </xf>
    <xf numFmtId="0" fontId="120" fillId="26" borderId="62" xfId="0" applyFont="1" applyFill="1" applyBorder="1"/>
    <xf numFmtId="0" fontId="120" fillId="26" borderId="62" xfId="0" applyFont="1" applyFill="1" applyBorder="1" applyAlignment="1">
      <alignment horizontal="right"/>
    </xf>
    <xf numFmtId="0" fontId="120" fillId="4" borderId="62" xfId="0" applyFont="1" applyFill="1" applyBorder="1"/>
    <xf numFmtId="0" fontId="120" fillId="4" borderId="62" xfId="0" applyFont="1" applyFill="1" applyBorder="1" applyAlignment="1">
      <alignment horizontal="right"/>
    </xf>
    <xf numFmtId="0" fontId="120" fillId="27" borderId="0" xfId="0" applyFont="1" applyFill="1"/>
    <xf numFmtId="0" fontId="120" fillId="27" borderId="0" xfId="0" applyFont="1" applyFill="1" applyAlignment="1">
      <alignment horizontal="right"/>
    </xf>
    <xf numFmtId="14" fontId="120" fillId="27" borderId="62" xfId="0" applyNumberFormat="1" applyFont="1" applyFill="1" applyBorder="1"/>
    <xf numFmtId="0" fontId="120" fillId="27" borderId="62" xfId="0" applyFont="1" applyFill="1" applyBorder="1"/>
    <xf numFmtId="0" fontId="120" fillId="27" borderId="62" xfId="0" applyFont="1" applyFill="1" applyBorder="1" applyAlignment="1">
      <alignment horizontal="right"/>
    </xf>
    <xf numFmtId="4" fontId="120" fillId="28" borderId="0" xfId="0" applyNumberFormat="1" applyFont="1" applyFill="1"/>
    <xf numFmtId="0" fontId="58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3" fontId="120" fillId="4" borderId="0" xfId="0" applyNumberFormat="1" applyFont="1" applyFill="1"/>
    <xf numFmtId="173" fontId="120" fillId="27" borderId="0" xfId="0" applyNumberFormat="1" applyFont="1" applyFill="1" applyAlignment="1">
      <alignment horizontal="right"/>
    </xf>
    <xf numFmtId="2" fontId="120" fillId="0" borderId="0" xfId="0" applyNumberFormat="1" applyFont="1" applyAlignment="1">
      <alignment horizontal="right"/>
    </xf>
    <xf numFmtId="173" fontId="120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173" fontId="120" fillId="26" borderId="62" xfId="0" applyNumberFormat="1" applyFont="1" applyFill="1" applyBorder="1" applyAlignment="1">
      <alignment horizontal="right"/>
    </xf>
    <xf numFmtId="3" fontId="62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center"/>
    </xf>
    <xf numFmtId="3" fontId="98" fillId="4" borderId="0" xfId="0" applyNumberFormat="1" applyFont="1" applyFill="1"/>
    <xf numFmtId="3" fontId="98" fillId="0" borderId="0" xfId="0" applyNumberFormat="1" applyFont="1" applyAlignment="1">
      <alignment horizontal="left"/>
    </xf>
    <xf numFmtId="3" fontId="62" fillId="4" borderId="0" xfId="0" applyNumberFormat="1" applyFont="1" applyFill="1"/>
    <xf numFmtId="9" fontId="61" fillId="0" borderId="0" xfId="8" applyFont="1"/>
    <xf numFmtId="9" fontId="61" fillId="0" borderId="0" xfId="8" applyFont="1" applyAlignment="1">
      <alignment horizontal="center"/>
    </xf>
    <xf numFmtId="9" fontId="61" fillId="4" borderId="0" xfId="8" applyFont="1" applyFill="1" applyAlignment="1">
      <alignment horizontal="center"/>
    </xf>
    <xf numFmtId="0" fontId="59" fillId="5" borderId="0" xfId="0" applyFont="1" applyFill="1"/>
    <xf numFmtId="0" fontId="120" fillId="5" borderId="0" xfId="0" applyFont="1" applyFill="1"/>
    <xf numFmtId="0" fontId="120" fillId="13" borderId="0" xfId="0" applyFont="1" applyFill="1"/>
    <xf numFmtId="0" fontId="59" fillId="13" borderId="0" xfId="0" applyFont="1" applyFill="1" applyAlignment="1">
      <alignment horizontal="center"/>
    </xf>
    <xf numFmtId="0" fontId="59" fillId="13" borderId="0" xfId="0" applyFont="1" applyFill="1"/>
    <xf numFmtId="0" fontId="120" fillId="5" borderId="2" xfId="0" applyFont="1" applyFill="1" applyBorder="1"/>
    <xf numFmtId="0" fontId="62" fillId="22" borderId="23" xfId="0" applyFont="1" applyFill="1" applyBorder="1"/>
    <xf numFmtId="0" fontId="62" fillId="22" borderId="25" xfId="0" applyFont="1" applyFill="1" applyBorder="1" applyAlignment="1">
      <alignment horizontal="right" indent="5"/>
    </xf>
    <xf numFmtId="168" fontId="62" fillId="22" borderId="25" xfId="0" applyNumberFormat="1" applyFont="1" applyFill="1" applyBorder="1" applyAlignment="1">
      <alignment horizontal="right" indent="1"/>
    </xf>
    <xf numFmtId="0" fontId="62" fillId="22" borderId="25" xfId="0" applyFont="1" applyFill="1" applyBorder="1"/>
    <xf numFmtId="0" fontId="62" fillId="22" borderId="25" xfId="0" applyFont="1" applyFill="1" applyBorder="1" applyAlignment="1">
      <alignment horizontal="center"/>
    </xf>
    <xf numFmtId="0" fontId="62" fillId="22" borderId="26" xfId="0" applyFont="1" applyFill="1" applyBorder="1"/>
    <xf numFmtId="0" fontId="62" fillId="22" borderId="27" xfId="0" applyFont="1" applyFill="1" applyBorder="1"/>
    <xf numFmtId="0" fontId="62" fillId="22" borderId="23" xfId="0" applyFont="1" applyFill="1" applyBorder="1" applyAlignment="1">
      <alignment wrapText="1"/>
    </xf>
    <xf numFmtId="0" fontId="62" fillId="22" borderId="14" xfId="0" applyFont="1" applyFill="1" applyBorder="1"/>
    <xf numFmtId="0" fontId="98" fillId="22" borderId="25" xfId="0" applyFont="1" applyFill="1" applyBorder="1" applyAlignment="1">
      <alignment horizontal="center"/>
    </xf>
    <xf numFmtId="0" fontId="62" fillId="22" borderId="26" xfId="0" applyFont="1" applyFill="1" applyBorder="1" applyAlignment="1">
      <alignment horizontal="center"/>
    </xf>
    <xf numFmtId="0" fontId="62" fillId="22" borderId="25" xfId="0" applyFont="1" applyFill="1" applyBorder="1" applyAlignment="1">
      <alignment horizontal="left"/>
    </xf>
    <xf numFmtId="0" fontId="62" fillId="22" borderId="19" xfId="0" applyFont="1" applyFill="1" applyBorder="1"/>
    <xf numFmtId="0" fontId="62" fillId="22" borderId="14" xfId="0" applyFont="1" applyFill="1" applyBorder="1" applyAlignment="1">
      <alignment horizontal="right" indent="5"/>
    </xf>
    <xf numFmtId="0" fontId="62" fillId="22" borderId="14" xfId="0" applyFont="1" applyFill="1" applyBorder="1" applyAlignment="1">
      <alignment horizontal="center"/>
    </xf>
    <xf numFmtId="0" fontId="98" fillId="22" borderId="14" xfId="0" applyFont="1" applyFill="1" applyBorder="1" applyAlignment="1">
      <alignment horizontal="center"/>
    </xf>
    <xf numFmtId="0" fontId="62" fillId="22" borderId="70" xfId="0" applyFont="1" applyFill="1" applyBorder="1" applyAlignment="1">
      <alignment horizontal="center"/>
    </xf>
    <xf numFmtId="0" fontId="62" fillId="22" borderId="43" xfId="0" applyFont="1" applyFill="1" applyBorder="1"/>
    <xf numFmtId="0" fontId="62" fillId="22" borderId="29" xfId="0" applyFont="1" applyFill="1" applyBorder="1"/>
    <xf numFmtId="0" fontId="62" fillId="22" borderId="24" xfId="0" applyFont="1" applyFill="1" applyBorder="1" applyAlignment="1">
      <alignment horizontal="right" indent="5"/>
    </xf>
    <xf numFmtId="168" fontId="62" fillId="22" borderId="14" xfId="0" applyNumberFormat="1" applyFont="1" applyFill="1" applyBorder="1" applyAlignment="1">
      <alignment horizontal="right" indent="1"/>
    </xf>
    <xf numFmtId="0" fontId="62" fillId="22" borderId="70" xfId="0" applyFont="1" applyFill="1" applyBorder="1"/>
    <xf numFmtId="0" fontId="62" fillId="22" borderId="66" xfId="0" applyFont="1" applyFill="1" applyBorder="1"/>
    <xf numFmtId="168" fontId="62" fillId="22" borderId="38" xfId="0" applyNumberFormat="1" applyFont="1" applyFill="1" applyBorder="1" applyAlignment="1">
      <alignment horizontal="right" indent="1"/>
    </xf>
    <xf numFmtId="0" fontId="62" fillId="22" borderId="24" xfId="0" applyFont="1" applyFill="1" applyBorder="1" applyAlignment="1">
      <alignment horizontal="center"/>
    </xf>
    <xf numFmtId="0" fontId="98" fillId="22" borderId="24" xfId="0" applyFont="1" applyFill="1" applyBorder="1" applyAlignment="1">
      <alignment horizontal="center"/>
    </xf>
    <xf numFmtId="0" fontId="62" fillId="22" borderId="24" xfId="0" applyFont="1" applyFill="1" applyBorder="1"/>
    <xf numFmtId="0" fontId="62" fillId="22" borderId="72" xfId="0" applyFont="1" applyFill="1" applyBorder="1" applyAlignment="1">
      <alignment horizontal="center"/>
    </xf>
    <xf numFmtId="0" fontId="62" fillId="22" borderId="40" xfId="0" applyFont="1" applyFill="1" applyBorder="1"/>
    <xf numFmtId="0" fontId="62" fillId="22" borderId="37" xfId="0" applyFont="1" applyFill="1" applyBorder="1" applyAlignment="1">
      <alignment horizontal="right" indent="5"/>
    </xf>
    <xf numFmtId="168" fontId="62" fillId="22" borderId="37" xfId="0" applyNumberFormat="1" applyFont="1" applyFill="1" applyBorder="1" applyAlignment="1">
      <alignment horizontal="right" indent="1"/>
    </xf>
    <xf numFmtId="168" fontId="62" fillId="22" borderId="51" xfId="0" applyNumberFormat="1" applyFont="1" applyFill="1" applyBorder="1" applyAlignment="1">
      <alignment horizontal="right" indent="1"/>
    </xf>
    <xf numFmtId="0" fontId="62" fillId="22" borderId="37" xfId="0" applyFont="1" applyFill="1" applyBorder="1"/>
    <xf numFmtId="0" fontId="62" fillId="22" borderId="37" xfId="0" applyFont="1" applyFill="1" applyBorder="1" applyAlignment="1">
      <alignment horizontal="center"/>
    </xf>
    <xf numFmtId="0" fontId="98" fillId="22" borderId="37" xfId="0" applyFont="1" applyFill="1" applyBorder="1" applyAlignment="1">
      <alignment horizontal="center"/>
    </xf>
    <xf numFmtId="0" fontId="62" fillId="22" borderId="49" xfId="0" applyFont="1" applyFill="1" applyBorder="1" applyAlignment="1">
      <alignment horizontal="center"/>
    </xf>
    <xf numFmtId="0" fontId="62" fillId="22" borderId="33" xfId="0" applyFont="1" applyFill="1" applyBorder="1"/>
    <xf numFmtId="0" fontId="62" fillId="5" borderId="0" xfId="0" applyFont="1" applyFill="1"/>
    <xf numFmtId="0" fontId="98" fillId="5" borderId="0" xfId="0" applyFont="1" applyFill="1"/>
    <xf numFmtId="3" fontId="62" fillId="5" borderId="0" xfId="0" applyNumberFormat="1" applyFont="1" applyFill="1" applyAlignment="1">
      <alignment horizontal="right" indent="5"/>
    </xf>
    <xf numFmtId="168" fontId="62" fillId="5" borderId="0" xfId="0" applyNumberFormat="1" applyFont="1" applyFill="1"/>
    <xf numFmtId="49" fontId="122" fillId="5" borderId="0" xfId="0" applyNumberFormat="1" applyFont="1" applyFill="1" applyAlignment="1">
      <alignment horizontal="left" vertical="center"/>
    </xf>
    <xf numFmtId="0" fontId="98" fillId="5" borderId="1" xfId="0" applyFont="1" applyFill="1" applyBorder="1"/>
    <xf numFmtId="0" fontId="62" fillId="34" borderId="18" xfId="0" applyFont="1" applyFill="1" applyBorder="1"/>
    <xf numFmtId="0" fontId="62" fillId="34" borderId="60" xfId="0" applyFont="1" applyFill="1" applyBorder="1" applyAlignment="1">
      <alignment horizontal="right" indent="5"/>
    </xf>
    <xf numFmtId="168" fontId="62" fillId="34" borderId="23" xfId="0" applyNumberFormat="1" applyFont="1" applyFill="1" applyBorder="1" applyAlignment="1">
      <alignment horizontal="right" indent="1"/>
    </xf>
    <xf numFmtId="168" fontId="62" fillId="34" borderId="25" xfId="0" applyNumberFormat="1" applyFont="1" applyFill="1" applyBorder="1" applyAlignment="1">
      <alignment horizontal="right" indent="1"/>
    </xf>
    <xf numFmtId="168" fontId="62" fillId="34" borderId="14" xfId="0" applyNumberFormat="1" applyFont="1" applyFill="1" applyBorder="1" applyAlignment="1">
      <alignment horizontal="right" indent="1"/>
    </xf>
    <xf numFmtId="0" fontId="62" fillId="34" borderId="25" xfId="0" applyFont="1" applyFill="1" applyBorder="1"/>
    <xf numFmtId="0" fontId="62" fillId="34" borderId="26" xfId="0" applyFont="1" applyFill="1" applyBorder="1"/>
    <xf numFmtId="0" fontId="62" fillId="34" borderId="27" xfId="0" applyFont="1" applyFill="1" applyBorder="1"/>
    <xf numFmtId="0" fontId="123" fillId="5" borderId="0" xfId="0" applyFont="1" applyFill="1"/>
    <xf numFmtId="0" fontId="62" fillId="34" borderId="23" xfId="0" applyFont="1" applyFill="1" applyBorder="1"/>
    <xf numFmtId="0" fontId="62" fillId="34" borderId="27" xfId="0" applyFont="1" applyFill="1" applyBorder="1" applyAlignment="1">
      <alignment horizontal="right" indent="5"/>
    </xf>
    <xf numFmtId="0" fontId="62" fillId="0" borderId="0" xfId="0" applyFont="1"/>
    <xf numFmtId="0" fontId="62" fillId="34" borderId="19" xfId="0" applyFont="1" applyFill="1" applyBorder="1"/>
    <xf numFmtId="0" fontId="62" fillId="34" borderId="43" xfId="0" applyFont="1" applyFill="1" applyBorder="1" applyAlignment="1">
      <alignment horizontal="right" indent="5"/>
    </xf>
    <xf numFmtId="0" fontId="62" fillId="34" borderId="43" xfId="0" applyFont="1" applyFill="1" applyBorder="1"/>
    <xf numFmtId="0" fontId="62" fillId="34" borderId="29" xfId="0" applyFont="1" applyFill="1" applyBorder="1"/>
    <xf numFmtId="0" fontId="62" fillId="34" borderId="66" xfId="0" applyFont="1" applyFill="1" applyBorder="1" applyAlignment="1">
      <alignment horizontal="right" indent="5"/>
    </xf>
    <xf numFmtId="168" fontId="62" fillId="34" borderId="19" xfId="0" applyNumberFormat="1" applyFont="1" applyFill="1" applyBorder="1" applyAlignment="1">
      <alignment horizontal="right" indent="1"/>
    </xf>
    <xf numFmtId="0" fontId="62" fillId="34" borderId="40" xfId="0" applyFont="1" applyFill="1" applyBorder="1"/>
    <xf numFmtId="0" fontId="62" fillId="34" borderId="33" xfId="0" applyFont="1" applyFill="1" applyBorder="1" applyAlignment="1">
      <alignment horizontal="right" indent="5"/>
    </xf>
    <xf numFmtId="168" fontId="62" fillId="34" borderId="54" xfId="0" applyNumberFormat="1" applyFont="1" applyFill="1" applyBorder="1" applyAlignment="1">
      <alignment horizontal="right" indent="1"/>
    </xf>
    <xf numFmtId="168" fontId="62" fillId="34" borderId="51" xfId="0" applyNumberFormat="1" applyFont="1" applyFill="1" applyBorder="1" applyAlignment="1">
      <alignment horizontal="right" indent="1"/>
    </xf>
    <xf numFmtId="0" fontId="62" fillId="34" borderId="51" xfId="0" applyFont="1" applyFill="1" applyBorder="1"/>
    <xf numFmtId="0" fontId="62" fillId="34" borderId="52" xfId="0" applyFont="1" applyFill="1" applyBorder="1"/>
    <xf numFmtId="0" fontId="62" fillId="34" borderId="28" xfId="0" applyFont="1" applyFill="1" applyBorder="1"/>
    <xf numFmtId="0" fontId="98" fillId="5" borderId="3" xfId="0" applyFont="1" applyFill="1" applyBorder="1"/>
    <xf numFmtId="0" fontId="62" fillId="20" borderId="10" xfId="0" applyFont="1" applyFill="1" applyBorder="1"/>
    <xf numFmtId="168" fontId="62" fillId="20" borderId="19" xfId="0" applyNumberFormat="1" applyFont="1" applyFill="1" applyBorder="1" applyAlignment="1">
      <alignment horizontal="right" indent="1"/>
    </xf>
    <xf numFmtId="168" fontId="62" fillId="20" borderId="42" xfId="0" applyNumberFormat="1" applyFont="1" applyFill="1" applyBorder="1" applyAlignment="1">
      <alignment horizontal="right" indent="1"/>
    </xf>
    <xf numFmtId="168" fontId="62" fillId="20" borderId="25" xfId="0" applyNumberFormat="1" applyFont="1" applyFill="1" applyBorder="1" applyAlignment="1">
      <alignment horizontal="right" indent="1"/>
    </xf>
    <xf numFmtId="0" fontId="62" fillId="20" borderId="25" xfId="0" applyFont="1" applyFill="1" applyBorder="1"/>
    <xf numFmtId="0" fontId="62" fillId="20" borderId="14" xfId="0" applyFont="1" applyFill="1" applyBorder="1"/>
    <xf numFmtId="0" fontId="62" fillId="20" borderId="70" xfId="0" applyFont="1" applyFill="1" applyBorder="1"/>
    <xf numFmtId="0" fontId="62" fillId="20" borderId="27" xfId="0" applyFont="1" applyFill="1" applyBorder="1"/>
    <xf numFmtId="0" fontId="62" fillId="20" borderId="34" xfId="0" applyFont="1" applyFill="1" applyBorder="1"/>
    <xf numFmtId="168" fontId="62" fillId="20" borderId="40" xfId="0" applyNumberFormat="1" applyFont="1" applyFill="1" applyBorder="1" applyAlignment="1">
      <alignment horizontal="right" indent="1"/>
    </xf>
    <xf numFmtId="168" fontId="62" fillId="20" borderId="48" xfId="0" applyNumberFormat="1" applyFont="1" applyFill="1" applyBorder="1" applyAlignment="1">
      <alignment horizontal="right" indent="1"/>
    </xf>
    <xf numFmtId="168" fontId="62" fillId="20" borderId="37" xfId="0" applyNumberFormat="1" applyFont="1" applyFill="1" applyBorder="1" applyAlignment="1">
      <alignment horizontal="right" indent="1"/>
    </xf>
    <xf numFmtId="0" fontId="62" fillId="20" borderId="37" xfId="0" applyFont="1" applyFill="1" applyBorder="1"/>
    <xf numFmtId="0" fontId="62" fillId="20" borderId="51" xfId="0" applyFont="1" applyFill="1" applyBorder="1"/>
    <xf numFmtId="0" fontId="62" fillId="20" borderId="49" xfId="0" applyFont="1" applyFill="1" applyBorder="1"/>
    <xf numFmtId="0" fontId="62" fillId="20" borderId="28" xfId="0" applyFont="1" applyFill="1" applyBorder="1"/>
    <xf numFmtId="0" fontId="62" fillId="27" borderId="10" xfId="0" applyFont="1" applyFill="1" applyBorder="1"/>
    <xf numFmtId="168" fontId="62" fillId="27" borderId="18" xfId="0" applyNumberFormat="1" applyFont="1" applyFill="1" applyBorder="1" applyAlignment="1">
      <alignment horizontal="right" indent="1"/>
    </xf>
    <xf numFmtId="168" fontId="62" fillId="27" borderId="20" xfId="0" applyNumberFormat="1" applyFont="1" applyFill="1" applyBorder="1" applyAlignment="1">
      <alignment horizontal="right" indent="1"/>
    </xf>
    <xf numFmtId="168" fontId="62" fillId="27" borderId="13" xfId="0" applyNumberFormat="1" applyFont="1" applyFill="1" applyBorder="1" applyAlignment="1">
      <alignment horizontal="right" indent="1"/>
    </xf>
    <xf numFmtId="0" fontId="62" fillId="27" borderId="71" xfId="0" applyFont="1" applyFill="1" applyBorder="1"/>
    <xf numFmtId="0" fontId="62" fillId="27" borderId="13" xfId="0" applyFont="1" applyFill="1" applyBorder="1"/>
    <xf numFmtId="0" fontId="62" fillId="27" borderId="60" xfId="0" applyFont="1" applyFill="1" applyBorder="1"/>
    <xf numFmtId="168" fontId="62" fillId="27" borderId="23" xfId="0" applyNumberFormat="1" applyFont="1" applyFill="1" applyBorder="1" applyAlignment="1">
      <alignment horizontal="right" indent="1"/>
    </xf>
    <xf numFmtId="168" fontId="62" fillId="27" borderId="42" xfId="0" applyNumberFormat="1" applyFont="1" applyFill="1" applyBorder="1" applyAlignment="1">
      <alignment horizontal="right" indent="1"/>
    </xf>
    <xf numFmtId="168" fontId="62" fillId="27" borderId="25" xfId="0" applyNumberFormat="1" applyFont="1" applyFill="1" applyBorder="1" applyAlignment="1">
      <alignment horizontal="right" indent="1"/>
    </xf>
    <xf numFmtId="0" fontId="62" fillId="27" borderId="26" xfId="0" applyFont="1" applyFill="1" applyBorder="1"/>
    <xf numFmtId="0" fontId="62" fillId="27" borderId="27" xfId="0" applyFont="1" applyFill="1" applyBorder="1"/>
    <xf numFmtId="168" fontId="62" fillId="27" borderId="19" xfId="0" applyNumberFormat="1" applyFont="1" applyFill="1" applyBorder="1" applyAlignment="1">
      <alignment horizontal="right" indent="1"/>
    </xf>
    <xf numFmtId="168" fontId="62" fillId="27" borderId="21" xfId="0" applyNumberFormat="1" applyFont="1" applyFill="1" applyBorder="1" applyAlignment="1">
      <alignment horizontal="right" indent="1"/>
    </xf>
    <xf numFmtId="168" fontId="62" fillId="27" borderId="14" xfId="0" applyNumberFormat="1" applyFont="1" applyFill="1" applyBorder="1" applyAlignment="1">
      <alignment horizontal="right" indent="1"/>
    </xf>
    <xf numFmtId="0" fontId="62" fillId="27" borderId="70" xfId="0" applyFont="1" applyFill="1" applyBorder="1"/>
    <xf numFmtId="0" fontId="62" fillId="27" borderId="36" xfId="0" applyFont="1" applyFill="1" applyBorder="1"/>
    <xf numFmtId="0" fontId="62" fillId="27" borderId="14" xfId="0" applyFont="1" applyFill="1" applyBorder="1"/>
    <xf numFmtId="0" fontId="62" fillId="27" borderId="43" xfId="0" applyFont="1" applyFill="1" applyBorder="1"/>
    <xf numFmtId="0" fontId="62" fillId="27" borderId="34" xfId="0" applyFont="1" applyFill="1" applyBorder="1"/>
    <xf numFmtId="168" fontId="62" fillId="27" borderId="54" xfId="0" applyNumberFormat="1" applyFont="1" applyFill="1" applyBorder="1" applyAlignment="1">
      <alignment horizontal="right" indent="1"/>
    </xf>
    <xf numFmtId="168" fontId="62" fillId="27" borderId="55" xfId="0" applyNumberFormat="1" applyFont="1" applyFill="1" applyBorder="1" applyAlignment="1">
      <alignment horizontal="right" indent="1"/>
    </xf>
    <xf numFmtId="168" fontId="62" fillId="27" borderId="51" xfId="0" applyNumberFormat="1" applyFont="1" applyFill="1" applyBorder="1" applyAlignment="1">
      <alignment horizontal="right" indent="1"/>
    </xf>
    <xf numFmtId="0" fontId="62" fillId="27" borderId="52" xfId="0" applyFont="1" applyFill="1" applyBorder="1"/>
    <xf numFmtId="0" fontId="62" fillId="27" borderId="28" xfId="0" applyFont="1" applyFill="1" applyBorder="1"/>
    <xf numFmtId="0" fontId="62" fillId="8" borderId="10" xfId="0" applyFont="1" applyFill="1" applyBorder="1"/>
    <xf numFmtId="168" fontId="62" fillId="8" borderId="23" xfId="0" applyNumberFormat="1" applyFont="1" applyFill="1" applyBorder="1" applyAlignment="1">
      <alignment horizontal="right" indent="1"/>
    </xf>
    <xf numFmtId="168" fontId="62" fillId="8" borderId="42" xfId="0" applyNumberFormat="1" applyFont="1" applyFill="1" applyBorder="1" applyAlignment="1">
      <alignment horizontal="right" indent="1"/>
    </xf>
    <xf numFmtId="168" fontId="62" fillId="8" borderId="25" xfId="0" applyNumberFormat="1" applyFont="1" applyFill="1" applyBorder="1" applyAlignment="1">
      <alignment horizontal="right" indent="1"/>
    </xf>
    <xf numFmtId="0" fontId="62" fillId="8" borderId="13" xfId="0" applyFont="1" applyFill="1" applyBorder="1"/>
    <xf numFmtId="0" fontId="62" fillId="8" borderId="42" xfId="0" applyFont="1" applyFill="1" applyBorder="1"/>
    <xf numFmtId="0" fontId="62" fillId="8" borderId="25" xfId="0" applyFont="1" applyFill="1" applyBorder="1"/>
    <xf numFmtId="0" fontId="62" fillId="8" borderId="26" xfId="0" applyFont="1" applyFill="1" applyBorder="1"/>
    <xf numFmtId="0" fontId="62" fillId="8" borderId="27" xfId="0" applyFont="1" applyFill="1" applyBorder="1"/>
    <xf numFmtId="0" fontId="62" fillId="8" borderId="43" xfId="0" applyFont="1" applyFill="1" applyBorder="1"/>
    <xf numFmtId="168" fontId="62" fillId="8" borderId="41" xfId="0" applyNumberFormat="1" applyFont="1" applyFill="1" applyBorder="1" applyAlignment="1">
      <alignment horizontal="right" indent="1"/>
    </xf>
    <xf numFmtId="168" fontId="62" fillId="8" borderId="57" xfId="0" applyNumberFormat="1" applyFont="1" applyFill="1" applyBorder="1" applyAlignment="1">
      <alignment horizontal="right" indent="1"/>
    </xf>
    <xf numFmtId="168" fontId="62" fillId="8" borderId="38" xfId="0" applyNumberFormat="1" applyFont="1" applyFill="1" applyBorder="1" applyAlignment="1">
      <alignment horizontal="right" indent="1"/>
    </xf>
    <xf numFmtId="0" fontId="62" fillId="8" borderId="38" xfId="0" applyFont="1" applyFill="1" applyBorder="1"/>
    <xf numFmtId="0" fontId="62" fillId="8" borderId="57" xfId="0" applyFont="1" applyFill="1" applyBorder="1"/>
    <xf numFmtId="0" fontId="62" fillId="8" borderId="69" xfId="0" applyFont="1" applyFill="1" applyBorder="1"/>
    <xf numFmtId="0" fontId="62" fillId="8" borderId="66" xfId="0" applyFont="1" applyFill="1" applyBorder="1"/>
    <xf numFmtId="0" fontId="62" fillId="8" borderId="11" xfId="0" applyFont="1" applyFill="1" applyBorder="1"/>
    <xf numFmtId="168" fontId="62" fillId="8" borderId="40" xfId="0" applyNumberFormat="1" applyFont="1" applyFill="1" applyBorder="1" applyAlignment="1">
      <alignment horizontal="right" indent="1"/>
    </xf>
    <xf numFmtId="168" fontId="62" fillId="8" borderId="48" xfId="0" applyNumberFormat="1" applyFont="1" applyFill="1" applyBorder="1" applyAlignment="1">
      <alignment horizontal="right" indent="1"/>
    </xf>
    <xf numFmtId="168" fontId="62" fillId="8" borderId="37" xfId="0" applyNumberFormat="1" applyFont="1" applyFill="1" applyBorder="1" applyAlignment="1">
      <alignment horizontal="right" indent="1"/>
    </xf>
    <xf numFmtId="0" fontId="62" fillId="8" borderId="37" xfId="0" applyFont="1" applyFill="1" applyBorder="1"/>
    <xf numFmtId="0" fontId="62" fillId="8" borderId="48" xfId="0" applyFont="1" applyFill="1" applyBorder="1"/>
    <xf numFmtId="0" fontId="62" fillId="8" borderId="49" xfId="0" applyFont="1" applyFill="1" applyBorder="1"/>
    <xf numFmtId="0" fontId="62" fillId="8" borderId="33" xfId="0" applyFont="1" applyFill="1" applyBorder="1"/>
    <xf numFmtId="0" fontId="98" fillId="5" borderId="0" xfId="0" applyFont="1" applyFill="1" applyAlignment="1">
      <alignment horizontal="center"/>
    </xf>
    <xf numFmtId="168" fontId="98" fillId="5" borderId="0" xfId="0" applyNumberFormat="1" applyFont="1" applyFill="1"/>
    <xf numFmtId="0" fontId="123" fillId="5" borderId="0" xfId="0" applyFont="1" applyFill="1" applyAlignment="1">
      <alignment horizontal="right"/>
    </xf>
    <xf numFmtId="168" fontId="123" fillId="5" borderId="0" xfId="0" applyNumberFormat="1" applyFont="1" applyFill="1"/>
    <xf numFmtId="0" fontId="60" fillId="5" borderId="0" xfId="0" applyFont="1" applyFill="1"/>
    <xf numFmtId="0" fontId="61" fillId="5" borderId="0" xfId="0" applyFont="1" applyFill="1"/>
    <xf numFmtId="168" fontId="61" fillId="5" borderId="0" xfId="0" applyNumberFormat="1" applyFont="1" applyFill="1"/>
    <xf numFmtId="0" fontId="124" fillId="5" borderId="0" xfId="0" applyFont="1" applyFill="1" applyAlignment="1">
      <alignment horizontal="right"/>
    </xf>
    <xf numFmtId="168" fontId="60" fillId="5" borderId="0" xfId="0" applyNumberFormat="1" applyFont="1" applyFill="1"/>
    <xf numFmtId="168" fontId="124" fillId="5" borderId="0" xfId="0" applyNumberFormat="1" applyFont="1" applyFill="1"/>
    <xf numFmtId="0" fontId="100" fillId="5" borderId="0" xfId="0" applyFont="1" applyFill="1"/>
    <xf numFmtId="168" fontId="100" fillId="5" borderId="0" xfId="0" applyNumberFormat="1" applyFont="1" applyFill="1"/>
    <xf numFmtId="168" fontId="99" fillId="5" borderId="0" xfId="0" applyNumberFormat="1" applyFont="1" applyFill="1"/>
    <xf numFmtId="0" fontId="99" fillId="5" borderId="0" xfId="0" applyFont="1" applyFill="1"/>
    <xf numFmtId="6" fontId="98" fillId="5" borderId="0" xfId="0" applyNumberFormat="1" applyFont="1" applyFill="1"/>
    <xf numFmtId="6" fontId="100" fillId="5" borderId="0" xfId="0" applyNumberFormat="1" applyFont="1" applyFill="1"/>
    <xf numFmtId="0" fontId="125" fillId="5" borderId="0" xfId="0" applyFont="1" applyFill="1" applyAlignment="1">
      <alignment horizontal="right"/>
    </xf>
    <xf numFmtId="168" fontId="125" fillId="5" borderId="0" xfId="0" applyNumberFormat="1" applyFont="1" applyFill="1"/>
    <xf numFmtId="0" fontId="123" fillId="5" borderId="18" xfId="0" applyFont="1" applyFill="1" applyBorder="1"/>
    <xf numFmtId="0" fontId="123" fillId="5" borderId="0" xfId="0" applyFont="1" applyFill="1" applyAlignment="1">
      <alignment horizontal="left" indent="8"/>
    </xf>
    <xf numFmtId="0" fontId="62" fillId="34" borderId="3" xfId="0" applyFont="1" applyFill="1" applyBorder="1"/>
    <xf numFmtId="3" fontId="62" fillId="34" borderId="53" xfId="0" applyNumberFormat="1" applyFont="1" applyFill="1" applyBorder="1" applyAlignment="1">
      <alignment horizontal="right" indent="5"/>
    </xf>
    <xf numFmtId="0" fontId="62" fillId="34" borderId="21" xfId="0" applyFont="1" applyFill="1" applyBorder="1"/>
    <xf numFmtId="0" fontId="62" fillId="34" borderId="14" xfId="0" applyFont="1" applyFill="1" applyBorder="1"/>
    <xf numFmtId="168" fontId="126" fillId="5" borderId="0" xfId="0" applyNumberFormat="1" applyFont="1" applyFill="1"/>
    <xf numFmtId="0" fontId="62" fillId="27" borderId="53" xfId="0" applyFont="1" applyFill="1" applyBorder="1"/>
    <xf numFmtId="168" fontId="62" fillId="27" borderId="40" xfId="0" applyNumberFormat="1" applyFont="1" applyFill="1" applyBorder="1" applyAlignment="1">
      <alignment horizontal="right" indent="1"/>
    </xf>
    <xf numFmtId="168" fontId="62" fillId="27" borderId="48" xfId="0" applyNumberFormat="1" applyFont="1" applyFill="1" applyBorder="1" applyAlignment="1">
      <alignment horizontal="right" indent="1"/>
    </xf>
    <xf numFmtId="168" fontId="62" fillId="27" borderId="37" xfId="0" applyNumberFormat="1" applyFont="1" applyFill="1" applyBorder="1" applyAlignment="1">
      <alignment horizontal="right" indent="1"/>
    </xf>
    <xf numFmtId="0" fontId="62" fillId="27" borderId="33" xfId="0" applyFont="1" applyFill="1" applyBorder="1"/>
    <xf numFmtId="0" fontId="62" fillId="27" borderId="21" xfId="0" applyFont="1" applyFill="1" applyBorder="1"/>
    <xf numFmtId="168" fontId="62" fillId="8" borderId="19" xfId="0" applyNumberFormat="1" applyFont="1" applyFill="1" applyBorder="1" applyAlignment="1">
      <alignment horizontal="right" indent="1"/>
    </xf>
    <xf numFmtId="168" fontId="62" fillId="8" borderId="14" xfId="0" applyNumberFormat="1" applyFont="1" applyFill="1" applyBorder="1" applyAlignment="1">
      <alignment horizontal="right" indent="1"/>
    </xf>
    <xf numFmtId="0" fontId="62" fillId="8" borderId="18" xfId="0" applyFont="1" applyFill="1" applyBorder="1"/>
    <xf numFmtId="0" fontId="62" fillId="8" borderId="60" xfId="0" applyFont="1" applyFill="1" applyBorder="1"/>
    <xf numFmtId="0" fontId="62" fillId="8" borderId="19" xfId="0" applyFont="1" applyFill="1" applyBorder="1"/>
    <xf numFmtId="0" fontId="62" fillId="8" borderId="14" xfId="0" applyFont="1" applyFill="1" applyBorder="1"/>
    <xf numFmtId="168" fontId="62" fillId="8" borderId="21" xfId="0" applyNumberFormat="1" applyFont="1" applyFill="1" applyBorder="1" applyAlignment="1">
      <alignment horizontal="right" indent="1"/>
    </xf>
    <xf numFmtId="0" fontId="62" fillId="8" borderId="23" xfId="0" applyFont="1" applyFill="1" applyBorder="1"/>
    <xf numFmtId="0" fontId="62" fillId="8" borderId="53" xfId="0" applyFont="1" applyFill="1" applyBorder="1"/>
    <xf numFmtId="168" fontId="62" fillId="8" borderId="54" xfId="0" applyNumberFormat="1" applyFont="1" applyFill="1" applyBorder="1" applyAlignment="1">
      <alignment horizontal="right" indent="1"/>
    </xf>
    <xf numFmtId="168" fontId="62" fillId="8" borderId="55" xfId="0" applyNumberFormat="1" applyFont="1" applyFill="1" applyBorder="1" applyAlignment="1">
      <alignment horizontal="right" indent="1"/>
    </xf>
    <xf numFmtId="168" fontId="62" fillId="8" borderId="51" xfId="0" applyNumberFormat="1" applyFont="1" applyFill="1" applyBorder="1" applyAlignment="1">
      <alignment horizontal="right" indent="1"/>
    </xf>
    <xf numFmtId="0" fontId="62" fillId="8" borderId="28" xfId="0" applyFont="1" applyFill="1" applyBorder="1"/>
    <xf numFmtId="0" fontId="62" fillId="8" borderId="54" xfId="0" applyFont="1" applyFill="1" applyBorder="1"/>
    <xf numFmtId="0" fontId="62" fillId="8" borderId="51" xfId="0" applyFont="1" applyFill="1" applyBorder="1"/>
    <xf numFmtId="168" fontId="62" fillId="0" borderId="0" xfId="0" applyNumberFormat="1" applyFont="1" applyAlignment="1">
      <alignment horizontal="right" indent="1"/>
    </xf>
    <xf numFmtId="0" fontId="59" fillId="5" borderId="0" xfId="0" applyFont="1" applyFill="1" applyAlignment="1">
      <alignment horizontal="center"/>
    </xf>
    <xf numFmtId="168" fontId="59" fillId="5" borderId="0" xfId="0" applyNumberFormat="1" applyFont="1" applyFill="1" applyAlignment="1">
      <alignment horizontal="right"/>
    </xf>
    <xf numFmtId="0" fontId="86" fillId="5" borderId="0" xfId="0" applyFont="1" applyFill="1" applyAlignment="1">
      <alignment horizontal="right"/>
    </xf>
    <xf numFmtId="168" fontId="86" fillId="5" borderId="0" xfId="0" applyNumberFormat="1" applyFont="1" applyFill="1" applyAlignment="1">
      <alignment horizontal="right"/>
    </xf>
    <xf numFmtId="168" fontId="86" fillId="5" borderId="0" xfId="0" applyNumberFormat="1" applyFont="1" applyFill="1"/>
    <xf numFmtId="168" fontId="58" fillId="5" borderId="0" xfId="0" applyNumberFormat="1" applyFont="1" applyFill="1"/>
    <xf numFmtId="0" fontId="58" fillId="5" borderId="0" xfId="0" applyFont="1" applyFill="1"/>
    <xf numFmtId="0" fontId="106" fillId="10" borderId="0" xfId="0" applyFont="1" applyFill="1"/>
    <xf numFmtId="0" fontId="104" fillId="10" borderId="0" xfId="0" applyFont="1" applyFill="1" applyAlignment="1">
      <alignment horizontal="center"/>
    </xf>
    <xf numFmtId="3" fontId="106" fillId="10" borderId="0" xfId="0" applyNumberFormat="1" applyFont="1" applyFill="1"/>
    <xf numFmtId="3" fontId="49" fillId="10" borderId="0" xfId="0" applyNumberFormat="1" applyFont="1" applyFill="1"/>
    <xf numFmtId="3" fontId="109" fillId="10" borderId="0" xfId="0" applyNumberFormat="1" applyFont="1" applyFill="1" applyAlignment="1">
      <alignment horizontal="center"/>
    </xf>
    <xf numFmtId="3" fontId="127" fillId="10" borderId="0" xfId="0" applyNumberFormat="1" applyFont="1" applyFill="1" applyAlignment="1">
      <alignment horizontal="center"/>
    </xf>
    <xf numFmtId="49" fontId="109" fillId="10" borderId="0" xfId="0" applyNumberFormat="1" applyFont="1" applyFill="1"/>
    <xf numFmtId="0" fontId="104" fillId="8" borderId="0" xfId="0" applyFont="1" applyFill="1"/>
    <xf numFmtId="0" fontId="104" fillId="8" borderId="0" xfId="0" applyFont="1" applyFill="1" applyAlignment="1">
      <alignment horizontal="center"/>
    </xf>
    <xf numFmtId="3" fontId="106" fillId="8" borderId="0" xfId="0" applyNumberFormat="1" applyFont="1" applyFill="1"/>
    <xf numFmtId="3" fontId="49" fillId="8" borderId="0" xfId="0" applyNumberFormat="1" applyFont="1" applyFill="1"/>
    <xf numFmtId="3" fontId="109" fillId="8" borderId="0" xfId="0" applyNumberFormat="1" applyFont="1" applyFill="1" applyAlignment="1">
      <alignment horizontal="center"/>
    </xf>
    <xf numFmtId="3" fontId="127" fillId="8" borderId="0" xfId="0" applyNumberFormat="1" applyFont="1" applyFill="1" applyAlignment="1">
      <alignment horizontal="center"/>
    </xf>
    <xf numFmtId="49" fontId="109" fillId="8" borderId="0" xfId="0" applyNumberFormat="1" applyFont="1" applyFill="1"/>
    <xf numFmtId="0" fontId="106" fillId="8" borderId="0" xfId="0" applyFont="1" applyFill="1"/>
    <xf numFmtId="3" fontId="104" fillId="8" borderId="0" xfId="0" applyNumberFormat="1" applyFont="1" applyFill="1" applyAlignment="1">
      <alignment horizontal="center"/>
    </xf>
    <xf numFmtId="3" fontId="110" fillId="8" borderId="0" xfId="0" applyNumberFormat="1" applyFont="1" applyFill="1" applyAlignment="1">
      <alignment horizontal="center"/>
    </xf>
    <xf numFmtId="3" fontId="128" fillId="8" borderId="0" xfId="0" applyNumberFormat="1" applyFont="1" applyFill="1" applyAlignment="1">
      <alignment horizontal="center"/>
    </xf>
    <xf numFmtId="0" fontId="104" fillId="0" borderId="44" xfId="0" applyFont="1" applyBorder="1" applyAlignment="1">
      <alignment vertical="center"/>
    </xf>
    <xf numFmtId="0" fontId="106" fillId="0" borderId="44" xfId="0" applyFont="1" applyBorder="1" applyAlignment="1">
      <alignment vertical="center"/>
    </xf>
    <xf numFmtId="0" fontId="104" fillId="0" borderId="49" xfId="0" applyFont="1" applyBorder="1" applyAlignment="1">
      <alignment horizontal="center" vertical="center"/>
    </xf>
    <xf numFmtId="3" fontId="104" fillId="0" borderId="2" xfId="0" applyNumberFormat="1" applyFont="1" applyBorder="1" applyAlignment="1">
      <alignment horizontal="center" vertical="center" wrapText="1"/>
    </xf>
    <xf numFmtId="3" fontId="77" fillId="0" borderId="2" xfId="0" applyNumberFormat="1" applyFont="1" applyBorder="1" applyAlignment="1">
      <alignment horizontal="center" vertical="center" wrapText="1"/>
    </xf>
    <xf numFmtId="3" fontId="77" fillId="0" borderId="3" xfId="0" applyNumberFormat="1" applyFont="1" applyBorder="1" applyAlignment="1">
      <alignment horizontal="center" vertical="center" wrapText="1"/>
    </xf>
    <xf numFmtId="3" fontId="77" fillId="0" borderId="30" xfId="0" applyNumberFormat="1" applyFont="1" applyBorder="1" applyAlignment="1">
      <alignment horizontal="center" vertical="center" wrapText="1"/>
    </xf>
    <xf numFmtId="3" fontId="77" fillId="0" borderId="6" xfId="0" applyNumberFormat="1" applyFont="1" applyBorder="1" applyAlignment="1">
      <alignment horizontal="center" vertical="center" wrapText="1"/>
    </xf>
    <xf numFmtId="3" fontId="77" fillId="0" borderId="0" xfId="0" applyNumberFormat="1" applyFont="1" applyAlignment="1">
      <alignment horizontal="center" vertical="center" wrapText="1"/>
    </xf>
    <xf numFmtId="0" fontId="104" fillId="0" borderId="0" xfId="0" applyFont="1" applyAlignment="1">
      <alignment horizontal="center"/>
    </xf>
    <xf numFmtId="3" fontId="104" fillId="0" borderId="59" xfId="0" applyNumberFormat="1" applyFont="1" applyBorder="1" applyAlignment="1">
      <alignment horizontal="center"/>
    </xf>
    <xf numFmtId="9" fontId="104" fillId="0" borderId="46" xfId="8" applyFont="1" applyBorder="1" applyAlignment="1">
      <alignment horizontal="center"/>
    </xf>
    <xf numFmtId="3" fontId="110" fillId="0" borderId="46" xfId="0" applyNumberFormat="1" applyFont="1" applyBorder="1" applyAlignment="1">
      <alignment horizontal="center"/>
    </xf>
    <xf numFmtId="169" fontId="128" fillId="0" borderId="46" xfId="0" applyNumberFormat="1" applyFont="1" applyBorder="1" applyAlignment="1">
      <alignment horizontal="center"/>
    </xf>
    <xf numFmtId="49" fontId="109" fillId="0" borderId="46" xfId="0" applyNumberFormat="1" applyFont="1" applyBorder="1"/>
    <xf numFmtId="49" fontId="109" fillId="0" borderId="31" xfId="0" applyNumberFormat="1" applyFont="1" applyBorder="1"/>
    <xf numFmtId="49" fontId="109" fillId="0" borderId="0" xfId="0" applyNumberFormat="1" applyFont="1"/>
    <xf numFmtId="0" fontId="104" fillId="8" borderId="85" xfId="0" applyFont="1" applyFill="1" applyBorder="1"/>
    <xf numFmtId="0" fontId="104" fillId="8" borderId="86" xfId="0" applyFont="1" applyFill="1" applyBorder="1"/>
    <xf numFmtId="0" fontId="104" fillId="8" borderId="86" xfId="0" applyFont="1" applyFill="1" applyBorder="1" applyAlignment="1">
      <alignment horizontal="center"/>
    </xf>
    <xf numFmtId="3" fontId="104" fillId="8" borderId="92" xfId="0" applyNumberFormat="1" applyFont="1" applyFill="1" applyBorder="1"/>
    <xf numFmtId="3" fontId="104" fillId="8" borderId="87" xfId="0" applyNumberFormat="1" applyFont="1" applyFill="1" applyBorder="1"/>
    <xf numFmtId="49" fontId="110" fillId="0" borderId="0" xfId="0" applyNumberFormat="1" applyFont="1"/>
    <xf numFmtId="0" fontId="104" fillId="22" borderId="0" xfId="0" applyFont="1" applyFill="1"/>
    <xf numFmtId="0" fontId="49" fillId="0" borderId="59" xfId="0" applyFont="1" applyBorder="1"/>
    <xf numFmtId="0" fontId="49" fillId="0" borderId="90" xfId="0" applyFont="1" applyBorder="1" applyAlignment="1">
      <alignment horizontal="right"/>
    </xf>
    <xf numFmtId="0" fontId="49" fillId="0" borderId="26" xfId="0" applyFont="1" applyBorder="1" applyAlignment="1">
      <alignment horizontal="center"/>
    </xf>
    <xf numFmtId="3" fontId="49" fillId="0" borderId="10" xfId="0" applyNumberFormat="1" applyFont="1" applyBorder="1"/>
    <xf numFmtId="3" fontId="49" fillId="0" borderId="27" xfId="0" applyNumberFormat="1" applyFont="1" applyBorder="1"/>
    <xf numFmtId="0" fontId="49" fillId="0" borderId="14" xfId="0" applyFont="1" applyBorder="1" applyAlignment="1">
      <alignment horizontal="right"/>
    </xf>
    <xf numFmtId="0" fontId="49" fillId="0" borderId="70" xfId="0" applyFont="1" applyBorder="1" applyAlignment="1">
      <alignment horizontal="center"/>
    </xf>
    <xf numFmtId="3" fontId="49" fillId="0" borderId="11" xfId="0" applyNumberFormat="1" applyFont="1" applyBorder="1"/>
    <xf numFmtId="3" fontId="49" fillId="0" borderId="43" xfId="0" applyNumberFormat="1" applyFont="1" applyBorder="1"/>
    <xf numFmtId="0" fontId="109" fillId="0" borderId="59" xfId="0" applyFont="1" applyBorder="1"/>
    <xf numFmtId="0" fontId="111" fillId="0" borderId="14" xfId="0" applyFont="1" applyBorder="1" applyAlignment="1">
      <alignment horizontal="right"/>
    </xf>
    <xf numFmtId="0" fontId="111" fillId="0" borderId="70" xfId="0" applyFont="1" applyBorder="1" applyAlignment="1">
      <alignment horizontal="center"/>
    </xf>
    <xf numFmtId="3" fontId="111" fillId="0" borderId="11" xfId="0" applyNumberFormat="1" applyFont="1" applyBorder="1"/>
    <xf numFmtId="3" fontId="111" fillId="0" borderId="43" xfId="0" applyNumberFormat="1" applyFont="1" applyBorder="1"/>
    <xf numFmtId="0" fontId="106" fillId="0" borderId="59" xfId="0" applyFont="1" applyBorder="1"/>
    <xf numFmtId="0" fontId="111" fillId="0" borderId="14" xfId="0" applyFont="1" applyBorder="1" applyAlignment="1">
      <alignment horizontal="right" wrapText="1"/>
    </xf>
    <xf numFmtId="3" fontId="106" fillId="0" borderId="12" xfId="0" applyNumberFormat="1" applyFont="1" applyBorder="1"/>
    <xf numFmtId="3" fontId="106" fillId="0" borderId="66" xfId="0" applyNumberFormat="1" applyFont="1" applyBorder="1"/>
    <xf numFmtId="0" fontId="104" fillId="8" borderId="83" xfId="0" applyFont="1" applyFill="1" applyBorder="1"/>
    <xf numFmtId="0" fontId="104" fillId="8" borderId="81" xfId="0" applyFont="1" applyFill="1" applyBorder="1"/>
    <xf numFmtId="0" fontId="104" fillId="8" borderId="81" xfId="0" applyFont="1" applyFill="1" applyBorder="1" applyAlignment="1">
      <alignment horizontal="center"/>
    </xf>
    <xf numFmtId="3" fontId="104" fillId="8" borderId="93" xfId="0" applyNumberFormat="1" applyFont="1" applyFill="1" applyBorder="1"/>
    <xf numFmtId="3" fontId="104" fillId="8" borderId="82" xfId="0" applyNumberFormat="1" applyFont="1" applyFill="1" applyBorder="1"/>
    <xf numFmtId="0" fontId="106" fillId="0" borderId="90" xfId="0" applyFont="1" applyBorder="1" applyAlignment="1">
      <alignment horizontal="right"/>
    </xf>
    <xf numFmtId="0" fontId="106" fillId="0" borderId="26" xfId="0" applyFont="1" applyBorder="1" applyAlignment="1">
      <alignment horizontal="center"/>
    </xf>
    <xf numFmtId="3" fontId="106" fillId="0" borderId="10" xfId="0" applyNumberFormat="1" applyFont="1" applyBorder="1"/>
    <xf numFmtId="3" fontId="106" fillId="0" borderId="27" xfId="0" applyNumberFormat="1" applyFont="1" applyBorder="1"/>
    <xf numFmtId="0" fontId="106" fillId="0" borderId="14" xfId="0" applyFont="1" applyBorder="1" applyAlignment="1">
      <alignment horizontal="right"/>
    </xf>
    <xf numFmtId="0" fontId="106" fillId="0" borderId="70" xfId="0" applyFont="1" applyBorder="1" applyAlignment="1">
      <alignment horizontal="center"/>
    </xf>
    <xf numFmtId="3" fontId="106" fillId="0" borderId="11" xfId="0" applyNumberFormat="1" applyFont="1" applyBorder="1"/>
    <xf numFmtId="3" fontId="106" fillId="0" borderId="43" xfId="0" applyNumberFormat="1" applyFont="1" applyBorder="1"/>
    <xf numFmtId="49" fontId="49" fillId="0" borderId="0" xfId="0" applyNumberFormat="1" applyFont="1"/>
    <xf numFmtId="49" fontId="106" fillId="0" borderId="0" xfId="0" applyNumberFormat="1" applyFont="1"/>
    <xf numFmtId="0" fontId="106" fillId="0" borderId="24" xfId="0" applyFont="1" applyBorder="1" applyAlignment="1">
      <alignment horizontal="right"/>
    </xf>
    <xf numFmtId="0" fontId="106" fillId="0" borderId="72" xfId="0" applyFont="1" applyBorder="1" applyAlignment="1">
      <alignment horizontal="center"/>
    </xf>
    <xf numFmtId="0" fontId="106" fillId="0" borderId="14" xfId="0" applyFont="1" applyBorder="1"/>
    <xf numFmtId="0" fontId="104" fillId="0" borderId="72" xfId="0" applyFont="1" applyBorder="1" applyAlignment="1">
      <alignment horizontal="center"/>
    </xf>
    <xf numFmtId="0" fontId="106" fillId="0" borderId="14" xfId="0" applyFont="1" applyBorder="1" applyAlignment="1">
      <alignment horizontal="center"/>
    </xf>
    <xf numFmtId="0" fontId="106" fillId="0" borderId="25" xfId="0" applyFont="1" applyBorder="1" applyAlignment="1">
      <alignment horizontal="center"/>
    </xf>
    <xf numFmtId="0" fontId="106" fillId="0" borderId="25" xfId="0" applyFont="1" applyBorder="1" applyAlignment="1">
      <alignment horizontal="right"/>
    </xf>
    <xf numFmtId="0" fontId="106" fillId="0" borderId="14" xfId="0" applyFont="1" applyBorder="1" applyAlignment="1">
      <alignment horizontal="right" wrapText="1"/>
    </xf>
    <xf numFmtId="3" fontId="106" fillId="0" borderId="23" xfId="0" applyNumberFormat="1" applyFont="1" applyBorder="1"/>
    <xf numFmtId="3" fontId="106" fillId="0" borderId="25" xfId="0" applyNumberFormat="1" applyFont="1" applyBorder="1"/>
    <xf numFmtId="3" fontId="106" fillId="0" borderId="19" xfId="0" applyNumberFormat="1" applyFont="1" applyBorder="1"/>
    <xf numFmtId="3" fontId="106" fillId="0" borderId="14" xfId="0" applyNumberFormat="1" applyFont="1" applyBorder="1"/>
    <xf numFmtId="0" fontId="104" fillId="0" borderId="70" xfId="0" applyFont="1" applyBorder="1" applyAlignment="1">
      <alignment horizontal="center"/>
    </xf>
    <xf numFmtId="3" fontId="49" fillId="0" borderId="59" xfId="0" applyNumberFormat="1" applyFont="1" applyBorder="1"/>
    <xf numFmtId="3" fontId="49" fillId="0" borderId="39" xfId="0" applyNumberFormat="1" applyFont="1" applyBorder="1"/>
    <xf numFmtId="9" fontId="106" fillId="0" borderId="59" xfId="8" applyFont="1" applyBorder="1"/>
    <xf numFmtId="9" fontId="106" fillId="0" borderId="0" xfId="8" applyFont="1" applyBorder="1"/>
    <xf numFmtId="9" fontId="106" fillId="0" borderId="39" xfId="8" applyFont="1" applyBorder="1"/>
    <xf numFmtId="0" fontId="104" fillId="4" borderId="2" xfId="0" applyFont="1" applyFill="1" applyBorder="1" applyAlignment="1">
      <alignment vertical="center"/>
    </xf>
    <xf numFmtId="0" fontId="106" fillId="4" borderId="30" xfId="0" applyFont="1" applyFill="1" applyBorder="1" applyAlignment="1">
      <alignment vertical="center"/>
    </xf>
    <xf numFmtId="0" fontId="104" fillId="4" borderId="50" xfId="0" applyFont="1" applyFill="1" applyBorder="1" applyAlignment="1">
      <alignment horizontal="center" vertical="center"/>
    </xf>
    <xf numFmtId="3" fontId="104" fillId="4" borderId="3" xfId="0" applyNumberFormat="1" applyFont="1" applyFill="1" applyBorder="1" applyAlignment="1">
      <alignment horizontal="center" vertical="center" wrapText="1"/>
    </xf>
    <xf numFmtId="3" fontId="104" fillId="4" borderId="56" xfId="0" applyNumberFormat="1" applyFont="1" applyFill="1" applyBorder="1" applyAlignment="1">
      <alignment horizontal="center" vertical="center" wrapText="1"/>
    </xf>
    <xf numFmtId="3" fontId="106" fillId="0" borderId="59" xfId="0" applyNumberFormat="1" applyFont="1" applyBorder="1"/>
    <xf numFmtId="3" fontId="106" fillId="0" borderId="39" xfId="0" applyNumberFormat="1" applyFont="1" applyBorder="1"/>
    <xf numFmtId="0" fontId="104" fillId="8" borderId="2" xfId="0" applyFont="1" applyFill="1" applyBorder="1"/>
    <xf numFmtId="0" fontId="104" fillId="8" borderId="30" xfId="0" applyFont="1" applyFill="1" applyBorder="1"/>
    <xf numFmtId="0" fontId="104" fillId="8" borderId="30" xfId="0" applyFont="1" applyFill="1" applyBorder="1" applyAlignment="1">
      <alignment horizontal="center"/>
    </xf>
    <xf numFmtId="3" fontId="104" fillId="8" borderId="3" xfId="0" applyNumberFormat="1" applyFont="1" applyFill="1" applyBorder="1"/>
    <xf numFmtId="3" fontId="104" fillId="8" borderId="56" xfId="0" applyNumberFormat="1" applyFont="1" applyFill="1" applyBorder="1"/>
    <xf numFmtId="0" fontId="104" fillId="0" borderId="59" xfId="0" applyFont="1" applyBorder="1"/>
    <xf numFmtId="0" fontId="104" fillId="8" borderId="88" xfId="0" applyFont="1" applyFill="1" applyBorder="1"/>
    <xf numFmtId="0" fontId="104" fillId="8" borderId="80" xfId="0" applyFont="1" applyFill="1" applyBorder="1" applyAlignment="1">
      <alignment horizontal="center"/>
    </xf>
    <xf numFmtId="3" fontId="104" fillId="8" borderId="94" xfId="0" applyNumberFormat="1" applyFont="1" applyFill="1" applyBorder="1"/>
    <xf numFmtId="3" fontId="104" fillId="8" borderId="84" xfId="0" applyNumberFormat="1" applyFont="1" applyFill="1" applyBorder="1"/>
    <xf numFmtId="0" fontId="106" fillId="0" borderId="59" xfId="0" applyFont="1" applyBorder="1" applyAlignment="1">
      <alignment vertical="center"/>
    </xf>
    <xf numFmtId="0" fontId="106" fillId="0" borderId="25" xfId="0" applyFont="1" applyBorder="1" applyAlignment="1">
      <alignment horizontal="right" vertical="center"/>
    </xf>
    <xf numFmtId="0" fontId="106" fillId="0" borderId="26" xfId="0" applyFont="1" applyBorder="1" applyAlignment="1">
      <alignment horizontal="center" vertical="center"/>
    </xf>
    <xf numFmtId="3" fontId="106" fillId="0" borderId="10" xfId="0" applyNumberFormat="1" applyFont="1" applyBorder="1" applyAlignment="1">
      <alignment vertical="center"/>
    </xf>
    <xf numFmtId="3" fontId="106" fillId="0" borderId="27" xfId="0" applyNumberFormat="1" applyFont="1" applyBorder="1" applyAlignment="1">
      <alignment vertical="center"/>
    </xf>
    <xf numFmtId="49" fontId="109" fillId="0" borderId="0" xfId="0" applyNumberFormat="1" applyFont="1" applyAlignment="1">
      <alignment horizontal="left" vertical="center" wrapText="1"/>
    </xf>
    <xf numFmtId="0" fontId="106" fillId="22" borderId="0" xfId="0" applyFont="1" applyFill="1" applyAlignment="1">
      <alignment vertical="center"/>
    </xf>
    <xf numFmtId="0" fontId="106" fillId="0" borderId="14" xfId="0" applyFont="1" applyBorder="1" applyAlignment="1">
      <alignment horizontal="right" vertical="center"/>
    </xf>
    <xf numFmtId="0" fontId="106" fillId="0" borderId="70" xfId="0" applyFont="1" applyBorder="1" applyAlignment="1">
      <alignment horizontal="center" vertical="center"/>
    </xf>
    <xf numFmtId="3" fontId="106" fillId="0" borderId="11" xfId="0" applyNumberFormat="1" applyFont="1" applyBorder="1" applyAlignment="1">
      <alignment vertical="center"/>
    </xf>
    <xf numFmtId="3" fontId="106" fillId="0" borderId="43" xfId="0" applyNumberFormat="1" applyFont="1" applyBorder="1" applyAlignment="1">
      <alignment vertical="center"/>
    </xf>
    <xf numFmtId="49" fontId="109" fillId="0" borderId="0" xfId="0" applyNumberFormat="1" applyFont="1" applyAlignment="1">
      <alignment vertical="center"/>
    </xf>
    <xf numFmtId="0" fontId="106" fillId="0" borderId="69" xfId="0" applyFont="1" applyBorder="1" applyAlignment="1">
      <alignment horizontal="right"/>
    </xf>
    <xf numFmtId="3" fontId="106" fillId="0" borderId="36" xfId="0" applyNumberFormat="1" applyFont="1" applyBorder="1"/>
    <xf numFmtId="0" fontId="104" fillId="8" borderId="89" xfId="0" applyFont="1" applyFill="1" applyBorder="1"/>
    <xf numFmtId="0" fontId="106" fillId="8" borderId="81" xfId="0" applyFont="1" applyFill="1" applyBorder="1" applyAlignment="1">
      <alignment horizontal="center"/>
    </xf>
    <xf numFmtId="49" fontId="109" fillId="0" borderId="0" xfId="0" applyNumberFormat="1" applyFont="1" applyAlignment="1">
      <alignment wrapText="1"/>
    </xf>
    <xf numFmtId="49" fontId="109" fillId="0" borderId="0" xfId="0" applyNumberFormat="1" applyFont="1" applyAlignment="1">
      <alignment vertical="center" wrapText="1"/>
    </xf>
    <xf numFmtId="12" fontId="109" fillId="0" borderId="0" xfId="0" applyNumberFormat="1" applyFont="1" applyAlignment="1">
      <alignment wrapText="1"/>
    </xf>
    <xf numFmtId="0" fontId="104" fillId="8" borderId="81" xfId="0" applyFont="1" applyFill="1" applyBorder="1" applyAlignment="1">
      <alignment horizontal="left"/>
    </xf>
    <xf numFmtId="0" fontId="106" fillId="0" borderId="37" xfId="0" applyFont="1" applyBorder="1"/>
    <xf numFmtId="0" fontId="106" fillId="0" borderId="49" xfId="0" applyFont="1" applyBorder="1" applyAlignment="1">
      <alignment horizontal="center"/>
    </xf>
    <xf numFmtId="3" fontId="106" fillId="0" borderId="34" xfId="0" applyNumberFormat="1" applyFont="1" applyBorder="1"/>
    <xf numFmtId="3" fontId="106" fillId="0" borderId="33" xfId="0" applyNumberFormat="1" applyFont="1" applyBorder="1"/>
    <xf numFmtId="0" fontId="106" fillId="8" borderId="30" xfId="0" applyFont="1" applyFill="1" applyBorder="1" applyAlignment="1">
      <alignment horizontal="center"/>
    </xf>
    <xf numFmtId="0" fontId="104" fillId="4" borderId="83" xfId="0" applyFont="1" applyFill="1" applyBorder="1"/>
    <xf numFmtId="0" fontId="104" fillId="4" borderId="81" xfId="0" applyFont="1" applyFill="1" applyBorder="1"/>
    <xf numFmtId="0" fontId="106" fillId="4" borderId="81" xfId="0" applyFont="1" applyFill="1" applyBorder="1" applyAlignment="1">
      <alignment horizontal="center"/>
    </xf>
    <xf numFmtId="3" fontId="104" fillId="4" borderId="82" xfId="0" applyNumberFormat="1" applyFont="1" applyFill="1" applyBorder="1"/>
    <xf numFmtId="3" fontId="104" fillId="0" borderId="0" xfId="0" applyNumberFormat="1" applyFont="1" applyAlignment="1">
      <alignment horizontal="center"/>
    </xf>
    <xf numFmtId="0" fontId="110" fillId="0" borderId="0" xfId="0" applyFont="1"/>
    <xf numFmtId="0" fontId="110" fillId="0" borderId="80" xfId="0" applyFont="1" applyBorder="1"/>
    <xf numFmtId="0" fontId="110" fillId="0" borderId="80" xfId="0" applyFont="1" applyBorder="1" applyAlignment="1">
      <alignment horizontal="center"/>
    </xf>
    <xf numFmtId="3" fontId="110" fillId="0" borderId="80" xfId="0" applyNumberFormat="1" applyFont="1" applyBorder="1" applyAlignment="1">
      <alignment horizontal="center"/>
    </xf>
    <xf numFmtId="0" fontId="110" fillId="22" borderId="0" xfId="0" applyFont="1" applyFill="1"/>
    <xf numFmtId="0" fontId="110" fillId="0" borderId="0" xfId="0" applyFont="1" applyAlignment="1">
      <alignment horizontal="center"/>
    </xf>
    <xf numFmtId="166" fontId="110" fillId="0" borderId="0" xfId="8" applyNumberFormat="1" applyFont="1"/>
    <xf numFmtId="0" fontId="105" fillId="0" borderId="0" xfId="0" applyFont="1"/>
    <xf numFmtId="0" fontId="105" fillId="0" borderId="80" xfId="0" applyFont="1" applyBorder="1"/>
    <xf numFmtId="0" fontId="105" fillId="0" borderId="80" xfId="0" applyFont="1" applyBorder="1" applyAlignment="1">
      <alignment horizontal="center"/>
    </xf>
    <xf numFmtId="3" fontId="105" fillId="0" borderId="80" xfId="0" applyNumberFormat="1" applyFont="1" applyBorder="1"/>
    <xf numFmtId="3" fontId="105" fillId="22" borderId="0" xfId="0" applyNumberFormat="1" applyFont="1" applyFill="1"/>
    <xf numFmtId="0" fontId="105" fillId="22" borderId="0" xfId="0" applyFont="1" applyFill="1"/>
    <xf numFmtId="0" fontId="104" fillId="0" borderId="0" xfId="0" applyFont="1"/>
    <xf numFmtId="10" fontId="105" fillId="0" borderId="80" xfId="8" applyNumberFormat="1" applyFont="1" applyBorder="1"/>
    <xf numFmtId="43" fontId="129" fillId="0" borderId="0" xfId="1" applyFont="1"/>
    <xf numFmtId="43" fontId="104" fillId="4" borderId="0" xfId="1" applyFont="1" applyFill="1"/>
    <xf numFmtId="3" fontId="130" fillId="0" borderId="0" xfId="0" applyNumberFormat="1" applyFont="1"/>
    <xf numFmtId="0" fontId="106" fillId="0" borderId="0" xfId="0" applyFont="1" applyAlignment="1">
      <alignment horizontal="center" wrapText="1"/>
    </xf>
    <xf numFmtId="0" fontId="104" fillId="0" borderId="80" xfId="0" applyFont="1" applyBorder="1"/>
    <xf numFmtId="0" fontId="104" fillId="0" borderId="80" xfId="0" applyFont="1" applyBorder="1" applyAlignment="1">
      <alignment horizontal="center"/>
    </xf>
    <xf numFmtId="3" fontId="104" fillId="22" borderId="80" xfId="0" applyNumberFormat="1" applyFont="1" applyFill="1" applyBorder="1" applyAlignment="1">
      <alignment horizontal="right"/>
    </xf>
    <xf numFmtId="3" fontId="110" fillId="22" borderId="0" xfId="0" applyNumberFormat="1" applyFont="1" applyFill="1"/>
    <xf numFmtId="0" fontId="104" fillId="0" borderId="0" xfId="0" applyFont="1" applyAlignment="1">
      <alignment horizontal="right"/>
    </xf>
    <xf numFmtId="3" fontId="104" fillId="0" borderId="0" xfId="0" applyNumberFormat="1" applyFont="1" applyAlignment="1">
      <alignment horizontal="right"/>
    </xf>
    <xf numFmtId="0" fontId="110" fillId="0" borderId="47" xfId="0" applyFont="1" applyBorder="1"/>
    <xf numFmtId="0" fontId="104" fillId="0" borderId="47" xfId="0" applyFont="1" applyBorder="1" applyAlignment="1">
      <alignment horizontal="right"/>
    </xf>
    <xf numFmtId="3" fontId="110" fillId="0" borderId="47" xfId="0" applyNumberFormat="1" applyFont="1" applyBorder="1"/>
    <xf numFmtId="3" fontId="104" fillId="0" borderId="47" xfId="0" applyNumberFormat="1" applyFont="1" applyBorder="1" applyAlignment="1">
      <alignment horizontal="right"/>
    </xf>
    <xf numFmtId="0" fontId="106" fillId="5" borderId="0" xfId="3" applyFont="1" applyFill="1"/>
    <xf numFmtId="0" fontId="110" fillId="5" borderId="0" xfId="0" applyFont="1" applyFill="1" applyAlignment="1">
      <alignment horizontal="right"/>
    </xf>
    <xf numFmtId="3" fontId="110" fillId="5" borderId="0" xfId="0" applyNumberFormat="1" applyFont="1" applyFill="1"/>
    <xf numFmtId="3" fontId="105" fillId="5" borderId="0" xfId="0" applyNumberFormat="1" applyFont="1" applyFill="1"/>
    <xf numFmtId="3" fontId="110" fillId="5" borderId="0" xfId="0" applyNumberFormat="1" applyFont="1" applyFill="1" applyAlignment="1">
      <alignment horizontal="center"/>
    </xf>
    <xf numFmtId="49" fontId="110" fillId="5" borderId="0" xfId="0" applyNumberFormat="1" applyFont="1" applyFill="1"/>
    <xf numFmtId="0" fontId="104" fillId="22" borderId="0" xfId="0" applyFont="1" applyFill="1" applyAlignment="1">
      <alignment horizontal="center"/>
    </xf>
    <xf numFmtId="3" fontId="109" fillId="22" borderId="0" xfId="0" applyNumberFormat="1" applyFont="1" applyFill="1" applyAlignment="1">
      <alignment horizontal="center"/>
    </xf>
    <xf numFmtId="3" fontId="127" fillId="22" borderId="0" xfId="0" applyNumberFormat="1" applyFont="1" applyFill="1" applyAlignment="1">
      <alignment horizontal="center"/>
    </xf>
    <xf numFmtId="49" fontId="109" fillId="22" borderId="0" xfId="0" applyNumberFormat="1" applyFont="1" applyFill="1"/>
    <xf numFmtId="0" fontId="105" fillId="0" borderId="0" xfId="0" applyFont="1" applyAlignment="1">
      <alignment horizontal="right"/>
    </xf>
    <xf numFmtId="3" fontId="105" fillId="0" borderId="0" xfId="0" applyNumberFormat="1" applyFont="1" applyAlignment="1">
      <alignment horizontal="right"/>
    </xf>
    <xf numFmtId="49" fontId="105" fillId="0" borderId="0" xfId="0" applyNumberFormat="1" applyFont="1"/>
    <xf numFmtId="3" fontId="35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35" fillId="5" borderId="0" xfId="3" applyFont="1" applyFill="1"/>
    <xf numFmtId="0" fontId="131" fillId="0" borderId="0" xfId="0" applyFont="1"/>
    <xf numFmtId="0" fontId="11" fillId="0" borderId="63" xfId="0" applyFont="1" applyBorder="1"/>
    <xf numFmtId="0" fontId="11" fillId="0" borderId="64" xfId="0" applyFont="1" applyBorder="1"/>
    <xf numFmtId="0" fontId="11" fillId="0" borderId="67" xfId="0" applyFont="1" applyBorder="1"/>
    <xf numFmtId="0" fontId="0" fillId="0" borderId="95" xfId="0" applyBorder="1"/>
    <xf numFmtId="0" fontId="0" fillId="0" borderId="78" xfId="0" applyBorder="1"/>
    <xf numFmtId="0" fontId="11" fillId="0" borderId="4" xfId="0" applyFont="1" applyBorder="1"/>
    <xf numFmtId="0" fontId="0" fillId="0" borderId="65" xfId="0" applyBorder="1"/>
    <xf numFmtId="0" fontId="0" fillId="0" borderId="68" xfId="0" applyBorder="1"/>
    <xf numFmtId="0" fontId="0" fillId="0" borderId="55" xfId="0" applyBorder="1"/>
    <xf numFmtId="0" fontId="0" fillId="0" borderId="51" xfId="0" applyBorder="1"/>
    <xf numFmtId="0" fontId="0" fillId="0" borderId="53" xfId="0" applyBorder="1"/>
    <xf numFmtId="0" fontId="0" fillId="0" borderId="17" xfId="0" applyBorder="1"/>
    <xf numFmtId="167" fontId="0" fillId="0" borderId="42" xfId="0" applyNumberFormat="1" applyBorder="1"/>
    <xf numFmtId="167" fontId="0" fillId="0" borderId="47" xfId="0" applyNumberFormat="1" applyBorder="1"/>
    <xf numFmtId="167" fontId="0" fillId="0" borderId="25" xfId="0" applyNumberFormat="1" applyBorder="1"/>
    <xf numFmtId="167" fontId="0" fillId="0" borderId="10" xfId="0" applyNumberFormat="1" applyBorder="1"/>
    <xf numFmtId="167" fontId="0" fillId="0" borderId="57" xfId="0" applyNumberFormat="1" applyBorder="1"/>
    <xf numFmtId="167" fontId="0" fillId="0" borderId="0" xfId="0" applyNumberFormat="1"/>
    <xf numFmtId="167" fontId="0" fillId="0" borderId="38" xfId="0" applyNumberFormat="1" applyBorder="1"/>
    <xf numFmtId="167" fontId="0" fillId="0" borderId="36" xfId="0" applyNumberFormat="1" applyBorder="1"/>
    <xf numFmtId="0" fontId="0" fillId="0" borderId="58" xfId="0" applyBorder="1"/>
    <xf numFmtId="0" fontId="0" fillId="0" borderId="62" xfId="0" applyBorder="1"/>
    <xf numFmtId="0" fontId="0" fillId="0" borderId="8" xfId="0" applyBorder="1"/>
    <xf numFmtId="167" fontId="0" fillId="0" borderId="21" xfId="0" applyNumberFormat="1" applyBorder="1"/>
    <xf numFmtId="167" fontId="0" fillId="0" borderId="62" xfId="0" applyNumberFormat="1" applyBorder="1"/>
    <xf numFmtId="167" fontId="0" fillId="0" borderId="14" xfId="0" applyNumberFormat="1" applyBorder="1"/>
    <xf numFmtId="167" fontId="0" fillId="0" borderId="11" xfId="0" applyNumberFormat="1" applyBorder="1"/>
    <xf numFmtId="0" fontId="0" fillId="0" borderId="73" xfId="0" applyBorder="1"/>
    <xf numFmtId="0" fontId="0" fillId="0" borderId="74" xfId="0" applyBorder="1"/>
    <xf numFmtId="0" fontId="0" fillId="0" borderId="9" xfId="0" applyBorder="1"/>
    <xf numFmtId="167" fontId="0" fillId="0" borderId="75" xfId="0" applyNumberFormat="1" applyBorder="1"/>
    <xf numFmtId="167" fontId="0" fillId="0" borderId="74" xfId="0" applyNumberFormat="1" applyBorder="1"/>
    <xf numFmtId="167" fontId="0" fillId="0" borderId="24" xfId="0" applyNumberFormat="1" applyBorder="1"/>
    <xf numFmtId="167" fontId="0" fillId="0" borderId="12" xfId="0" applyNumberFormat="1" applyBorder="1"/>
    <xf numFmtId="0" fontId="11" fillId="0" borderId="2" xfId="0" applyFont="1" applyBorder="1"/>
    <xf numFmtId="0" fontId="11" fillId="0" borderId="30" xfId="0" applyFont="1" applyBorder="1"/>
    <xf numFmtId="0" fontId="0" fillId="0" borderId="6" xfId="0" applyBorder="1"/>
    <xf numFmtId="167" fontId="0" fillId="0" borderId="22" xfId="0" applyNumberFormat="1" applyBorder="1"/>
    <xf numFmtId="167" fontId="0" fillId="0" borderId="30" xfId="0" applyNumberFormat="1" applyBorder="1"/>
    <xf numFmtId="167" fontId="0" fillId="0" borderId="5" xfId="0" applyNumberFormat="1" applyBorder="1"/>
    <xf numFmtId="167" fontId="0" fillId="14" borderId="3" xfId="0" applyNumberFormat="1" applyFill="1" applyBorder="1"/>
    <xf numFmtId="0" fontId="64" fillId="5" borderId="0" xfId="5" applyFont="1" applyFill="1" applyAlignment="1">
      <alignment horizontal="left"/>
    </xf>
    <xf numFmtId="0" fontId="64" fillId="5" borderId="0" xfId="5" applyFont="1" applyFill="1" applyAlignment="1">
      <alignment horizontal="center"/>
    </xf>
    <xf numFmtId="0" fontId="38" fillId="5" borderId="0" xfId="5" applyFont="1" applyFill="1"/>
    <xf numFmtId="0" fontId="64" fillId="5" borderId="0" xfId="0" applyFont="1" applyFill="1"/>
    <xf numFmtId="0" fontId="64" fillId="5" borderId="0" xfId="5" applyFont="1" applyFill="1" applyAlignment="1">
      <alignment wrapText="1"/>
    </xf>
    <xf numFmtId="3" fontId="71" fillId="22" borderId="0" xfId="0" applyNumberFormat="1" applyFont="1" applyFill="1"/>
    <xf numFmtId="0" fontId="132" fillId="22" borderId="0" xfId="0" applyFont="1" applyFill="1" applyAlignment="1">
      <alignment horizontal="right"/>
    </xf>
    <xf numFmtId="0" fontId="132" fillId="22" borderId="0" xfId="0" applyFont="1" applyFill="1"/>
    <xf numFmtId="0" fontId="71" fillId="22" borderId="0" xfId="0" applyFont="1" applyFill="1"/>
    <xf numFmtId="3" fontId="132" fillId="22" borderId="0" xfId="0" applyNumberFormat="1" applyFont="1" applyFill="1"/>
    <xf numFmtId="4" fontId="132" fillId="22" borderId="0" xfId="0" applyNumberFormat="1" applyFont="1" applyFill="1"/>
    <xf numFmtId="3" fontId="71" fillId="22" borderId="0" xfId="8" applyNumberFormat="1" applyFont="1" applyFill="1"/>
    <xf numFmtId="4" fontId="71" fillId="22" borderId="0" xfId="0" applyNumberFormat="1" applyFont="1" applyFill="1"/>
    <xf numFmtId="10" fontId="71" fillId="22" borderId="0" xfId="8" applyNumberFormat="1" applyFont="1" applyFill="1"/>
    <xf numFmtId="4" fontId="72" fillId="22" borderId="0" xfId="0" applyNumberFormat="1" applyFont="1" applyFill="1"/>
    <xf numFmtId="3" fontId="67" fillId="22" borderId="0" xfId="0" applyNumberFormat="1" applyFont="1" applyFill="1"/>
    <xf numFmtId="3" fontId="67" fillId="22" borderId="0" xfId="0" applyNumberFormat="1" applyFont="1" applyFill="1" applyAlignment="1">
      <alignment horizontal="left" wrapText="1"/>
    </xf>
    <xf numFmtId="4" fontId="67" fillId="22" borderId="0" xfId="0" applyNumberFormat="1" applyFont="1" applyFill="1" applyAlignment="1">
      <alignment horizontal="center"/>
    </xf>
    <xf numFmtId="0" fontId="133" fillId="22" borderId="0" xfId="0" applyFont="1" applyFill="1"/>
    <xf numFmtId="4" fontId="133" fillId="22" borderId="0" xfId="0" applyNumberFormat="1" applyFont="1" applyFill="1"/>
    <xf numFmtId="3" fontId="133" fillId="22" borderId="0" xfId="0" applyNumberFormat="1" applyFont="1" applyFill="1"/>
    <xf numFmtId="4" fontId="67" fillId="22" borderId="0" xfId="0" applyNumberFormat="1" applyFont="1" applyFill="1"/>
    <xf numFmtId="3" fontId="51" fillId="22" borderId="0" xfId="0" applyNumberFormat="1" applyFont="1" applyFill="1" applyAlignment="1">
      <alignment horizontal="left" wrapText="1"/>
    </xf>
    <xf numFmtId="3" fontId="51" fillId="22" borderId="0" xfId="0" applyNumberFormat="1" applyFont="1" applyFill="1" applyAlignment="1">
      <alignment wrapText="1"/>
    </xf>
    <xf numFmtId="3" fontId="132" fillId="22" borderId="0" xfId="0" applyNumberFormat="1" applyFont="1" applyFill="1" applyAlignment="1">
      <alignment horizontal="center"/>
    </xf>
    <xf numFmtId="3" fontId="51" fillId="22" borderId="0" xfId="0" applyNumberFormat="1" applyFont="1" applyFill="1" applyAlignment="1">
      <alignment horizontal="right"/>
    </xf>
    <xf numFmtId="0" fontId="132" fillId="22" borderId="0" xfId="0" applyFont="1" applyFill="1" applyAlignment="1">
      <alignment horizontal="center"/>
    </xf>
    <xf numFmtId="4" fontId="132" fillId="22" borderId="0" xfId="0" applyNumberFormat="1" applyFont="1" applyFill="1" applyAlignment="1">
      <alignment horizontal="center"/>
    </xf>
    <xf numFmtId="4" fontId="71" fillId="22" borderId="0" xfId="0" applyNumberFormat="1" applyFont="1" applyFill="1" applyAlignment="1">
      <alignment horizontal="right"/>
    </xf>
    <xf numFmtId="3" fontId="71" fillId="4" borderId="0" xfId="0" applyNumberFormat="1" applyFont="1" applyFill="1"/>
    <xf numFmtId="0" fontId="75" fillId="22" borderId="0" xfId="0" applyFont="1" applyFill="1"/>
    <xf numFmtId="3" fontId="71" fillId="22" borderId="0" xfId="0" applyNumberFormat="1" applyFont="1" applyFill="1" applyAlignment="1">
      <alignment vertical="center"/>
    </xf>
    <xf numFmtId="0" fontId="71" fillId="22" borderId="0" xfId="0" applyFont="1" applyFill="1" applyAlignment="1">
      <alignment vertical="center"/>
    </xf>
    <xf numFmtId="4" fontId="71" fillId="22" borderId="0" xfId="0" applyNumberFormat="1" applyFont="1" applyFill="1" applyAlignment="1">
      <alignment vertical="center"/>
    </xf>
    <xf numFmtId="3" fontId="132" fillId="22" borderId="0" xfId="0" applyNumberFormat="1" applyFont="1" applyFill="1" applyAlignment="1">
      <alignment vertical="center"/>
    </xf>
    <xf numFmtId="0" fontId="132" fillId="22" borderId="0" xfId="0" applyFont="1" applyFill="1" applyAlignment="1">
      <alignment vertical="center"/>
    </xf>
    <xf numFmtId="0" fontId="75" fillId="22" borderId="0" xfId="0" applyFont="1" applyFill="1" applyAlignment="1">
      <alignment vertical="center"/>
    </xf>
    <xf numFmtId="164" fontId="51" fillId="22" borderId="0" xfId="0" applyNumberFormat="1" applyFont="1" applyFill="1"/>
    <xf numFmtId="167" fontId="33" fillId="5" borderId="0" xfId="0" applyNumberFormat="1" applyFont="1" applyFill="1"/>
    <xf numFmtId="3" fontId="34" fillId="9" borderId="1" xfId="10" applyNumberFormat="1" applyFont="1" applyFill="1" applyBorder="1"/>
    <xf numFmtId="3" fontId="34" fillId="9" borderId="22" xfId="10" applyNumberFormat="1" applyFont="1" applyFill="1" applyBorder="1"/>
    <xf numFmtId="3" fontId="34" fillId="9" borderId="30" xfId="10" applyNumberFormat="1" applyFont="1" applyFill="1" applyBorder="1"/>
    <xf numFmtId="3" fontId="34" fillId="9" borderId="5" xfId="10" applyNumberFormat="1" applyFont="1" applyFill="1" applyBorder="1"/>
    <xf numFmtId="3" fontId="34" fillId="9" borderId="50" xfId="10" applyNumberFormat="1" applyFont="1" applyFill="1" applyBorder="1"/>
    <xf numFmtId="3" fontId="33" fillId="8" borderId="54" xfId="10" applyNumberFormat="1" applyFont="1" applyFill="1" applyBorder="1"/>
    <xf numFmtId="3" fontId="33" fillId="8" borderId="51" xfId="10" applyNumberFormat="1" applyFont="1" applyFill="1" applyBorder="1"/>
    <xf numFmtId="3" fontId="33" fillId="8" borderId="1" xfId="10" applyNumberFormat="1" applyFont="1" applyFill="1" applyBorder="1"/>
    <xf numFmtId="3" fontId="33" fillId="8" borderId="22" xfId="10" applyNumberFormat="1" applyFont="1" applyFill="1" applyBorder="1"/>
    <xf numFmtId="3" fontId="33" fillId="8" borderId="30" xfId="10" applyNumberFormat="1" applyFont="1" applyFill="1" applyBorder="1"/>
    <xf numFmtId="3" fontId="33" fillId="8" borderId="5" xfId="10" applyNumberFormat="1" applyFont="1" applyFill="1" applyBorder="1"/>
    <xf numFmtId="3" fontId="33" fillId="8" borderId="50" xfId="10" applyNumberFormat="1" applyFont="1" applyFill="1" applyBorder="1"/>
    <xf numFmtId="3" fontId="33" fillId="8" borderId="55" xfId="10" applyNumberFormat="1" applyFont="1" applyFill="1" applyBorder="1"/>
    <xf numFmtId="3" fontId="33" fillId="8" borderId="45" xfId="10" applyNumberFormat="1" applyFont="1" applyFill="1" applyBorder="1"/>
    <xf numFmtId="3" fontId="33" fillId="8" borderId="52" xfId="10" applyNumberFormat="1" applyFont="1" applyFill="1" applyBorder="1"/>
    <xf numFmtId="3" fontId="36" fillId="8" borderId="1" xfId="10" applyNumberFormat="1" applyFont="1" applyFill="1" applyBorder="1"/>
    <xf numFmtId="3" fontId="36" fillId="8" borderId="22" xfId="10" applyNumberFormat="1" applyFont="1" applyFill="1" applyBorder="1"/>
    <xf numFmtId="3" fontId="36" fillId="8" borderId="30" xfId="10" applyNumberFormat="1" applyFont="1" applyFill="1" applyBorder="1"/>
    <xf numFmtId="3" fontId="36" fillId="8" borderId="5" xfId="10" applyNumberFormat="1" applyFont="1" applyFill="1" applyBorder="1"/>
    <xf numFmtId="3" fontId="36" fillId="8" borderId="50" xfId="10" applyNumberFormat="1" applyFont="1" applyFill="1" applyBorder="1"/>
    <xf numFmtId="3" fontId="34" fillId="10" borderId="1" xfId="3" applyNumberFormat="1" applyFont="1" applyFill="1" applyBorder="1" applyAlignment="1">
      <alignment vertical="center" wrapText="1"/>
    </xf>
    <xf numFmtId="3" fontId="34" fillId="10" borderId="22" xfId="3" applyNumberFormat="1" applyFont="1" applyFill="1" applyBorder="1" applyAlignment="1">
      <alignment vertical="center" wrapText="1"/>
    </xf>
    <xf numFmtId="3" fontId="34" fillId="10" borderId="30" xfId="3" applyNumberFormat="1" applyFont="1" applyFill="1" applyBorder="1" applyAlignment="1">
      <alignment vertical="center" wrapText="1"/>
    </xf>
    <xf numFmtId="3" fontId="34" fillId="10" borderId="5" xfId="3" applyNumberFormat="1" applyFont="1" applyFill="1" applyBorder="1" applyAlignment="1">
      <alignment vertical="center" wrapText="1"/>
    </xf>
    <xf numFmtId="3" fontId="34" fillId="10" borderId="50" xfId="3" applyNumberFormat="1" applyFont="1" applyFill="1" applyBorder="1" applyAlignment="1">
      <alignment vertical="center" wrapText="1"/>
    </xf>
    <xf numFmtId="0" fontId="58" fillId="0" borderId="43" xfId="0" applyFont="1" applyBorder="1" applyAlignment="1" applyProtection="1">
      <alignment wrapText="1"/>
      <protection locked="0"/>
    </xf>
    <xf numFmtId="0" fontId="106" fillId="0" borderId="60" xfId="6" applyFont="1" applyBorder="1" applyAlignment="1">
      <alignment wrapText="1"/>
    </xf>
    <xf numFmtId="3" fontId="31" fillId="0" borderId="14" xfId="10" applyNumberFormat="1" applyFont="1" applyBorder="1" applyAlignment="1">
      <alignment horizontal="right" vertical="center"/>
    </xf>
    <xf numFmtId="0" fontId="134" fillId="2" borderId="69" xfId="5" applyFont="1" applyFill="1" applyBorder="1" applyAlignment="1">
      <alignment horizontal="center" vertical="center"/>
    </xf>
    <xf numFmtId="0" fontId="59" fillId="5" borderId="5" xfId="0" applyFont="1" applyFill="1" applyBorder="1" applyAlignment="1">
      <alignment horizontal="center" vertical="center"/>
    </xf>
    <xf numFmtId="0" fontId="98" fillId="5" borderId="13" xfId="0" applyFont="1" applyFill="1" applyBorder="1" applyAlignment="1">
      <alignment horizontal="center" vertical="center"/>
    </xf>
    <xf numFmtId="0" fontId="62" fillId="5" borderId="0" xfId="0" applyFont="1" applyFill="1" applyAlignment="1">
      <alignment vertical="center"/>
    </xf>
    <xf numFmtId="0" fontId="62" fillId="27" borderId="10" xfId="0" applyFont="1" applyFill="1" applyBorder="1" applyAlignment="1">
      <alignment wrapText="1"/>
    </xf>
    <xf numFmtId="0" fontId="98" fillId="5" borderId="56" xfId="0" applyFont="1" applyFill="1" applyBorder="1" applyAlignment="1">
      <alignment horizontal="center" vertical="center"/>
    </xf>
    <xf numFmtId="0" fontId="98" fillId="5" borderId="3" xfId="0" applyFont="1" applyFill="1" applyBorder="1" applyAlignment="1">
      <alignment horizontal="center" vertical="center"/>
    </xf>
    <xf numFmtId="12" fontId="98" fillId="5" borderId="1" xfId="0" applyNumberFormat="1" applyFont="1" applyFill="1" applyBorder="1" applyAlignment="1">
      <alignment horizontal="center" vertical="center" wrapText="1"/>
    </xf>
    <xf numFmtId="0" fontId="59" fillId="5" borderId="50" xfId="0" applyFont="1" applyFill="1" applyBorder="1" applyAlignment="1">
      <alignment horizontal="center" vertical="center"/>
    </xf>
    <xf numFmtId="0" fontId="59" fillId="5" borderId="56" xfId="0" applyFont="1" applyFill="1" applyBorder="1" applyAlignment="1">
      <alignment horizontal="center" vertical="center"/>
    </xf>
    <xf numFmtId="0" fontId="98" fillId="5" borderId="5" xfId="0" applyFont="1" applyFill="1" applyBorder="1" applyAlignment="1">
      <alignment horizontal="center" vertical="center"/>
    </xf>
    <xf numFmtId="0" fontId="98" fillId="5" borderId="50" xfId="0" applyFont="1" applyFill="1" applyBorder="1" applyAlignment="1">
      <alignment horizontal="center" vertical="center"/>
    </xf>
    <xf numFmtId="0" fontId="98" fillId="5" borderId="22" xfId="0" applyFont="1" applyFill="1" applyBorder="1" applyAlignment="1">
      <alignment horizontal="center"/>
    </xf>
    <xf numFmtId="0" fontId="98" fillId="5" borderId="5" xfId="0" applyFont="1" applyFill="1" applyBorder="1" applyAlignment="1">
      <alignment horizontal="center"/>
    </xf>
    <xf numFmtId="0" fontId="98" fillId="5" borderId="50" xfId="0" applyFont="1" applyFill="1" applyBorder="1" applyAlignment="1">
      <alignment horizontal="center"/>
    </xf>
    <xf numFmtId="0" fontId="98" fillId="5" borderId="56" xfId="0" applyFont="1" applyFill="1" applyBorder="1" applyAlignment="1">
      <alignment horizontal="center"/>
    </xf>
    <xf numFmtId="0" fontId="98" fillId="5" borderId="1" xfId="0" applyFont="1" applyFill="1" applyBorder="1" applyAlignment="1">
      <alignment horizontal="center" vertical="center"/>
    </xf>
    <xf numFmtId="12" fontId="98" fillId="5" borderId="22" xfId="0" applyNumberFormat="1" applyFont="1" applyFill="1" applyBorder="1" applyAlignment="1">
      <alignment horizontal="center" vertical="center" wrapText="1"/>
    </xf>
    <xf numFmtId="12" fontId="98" fillId="5" borderId="13" xfId="0" applyNumberFormat="1" applyFont="1" applyFill="1" applyBorder="1" applyAlignment="1">
      <alignment horizontal="center" vertical="center" wrapText="1"/>
    </xf>
    <xf numFmtId="0" fontId="98" fillId="5" borderId="60" xfId="0" applyFont="1" applyFill="1" applyBorder="1" applyAlignment="1">
      <alignment horizontal="center" vertical="center"/>
    </xf>
    <xf numFmtId="0" fontId="98" fillId="5" borderId="77" xfId="0" applyFont="1" applyFill="1" applyBorder="1" applyAlignment="1">
      <alignment horizontal="center"/>
    </xf>
    <xf numFmtId="0" fontId="98" fillId="5" borderId="95" xfId="0" applyFont="1" applyFill="1" applyBorder="1" applyAlignment="1">
      <alignment horizontal="center"/>
    </xf>
    <xf numFmtId="0" fontId="98" fillId="5" borderId="78" xfId="0" applyFont="1" applyFill="1" applyBorder="1" applyAlignment="1">
      <alignment horizontal="center"/>
    </xf>
    <xf numFmtId="0" fontId="98" fillId="5" borderId="79" xfId="0" applyFont="1" applyFill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76" fillId="0" borderId="14" xfId="0" applyFont="1" applyBorder="1" applyAlignment="1">
      <alignment horizontal="center"/>
    </xf>
    <xf numFmtId="0" fontId="33" fillId="2" borderId="1" xfId="5" applyFont="1" applyFill="1" applyBorder="1" applyAlignment="1">
      <alignment horizontal="left" vertical="center"/>
    </xf>
    <xf numFmtId="3" fontId="51" fillId="5" borderId="11" xfId="0" applyNumberFormat="1" applyFont="1" applyFill="1" applyBorder="1"/>
    <xf numFmtId="0" fontId="133" fillId="4" borderId="29" xfId="0" applyFont="1" applyFill="1" applyBorder="1" applyAlignment="1">
      <alignment horizontal="center" vertical="center"/>
    </xf>
    <xf numFmtId="0" fontId="133" fillId="4" borderId="24" xfId="0" applyFont="1" applyFill="1" applyBorder="1" applyAlignment="1">
      <alignment horizontal="center" vertical="center"/>
    </xf>
    <xf numFmtId="0" fontId="67" fillId="4" borderId="14" xfId="0" applyFont="1" applyFill="1" applyBorder="1" applyAlignment="1">
      <alignment horizontal="center"/>
    </xf>
    <xf numFmtId="0" fontId="67" fillId="4" borderId="9" xfId="0" applyFont="1" applyFill="1" applyBorder="1" applyAlignment="1">
      <alignment vertical="center" wrapText="1"/>
    </xf>
    <xf numFmtId="3" fontId="39" fillId="4" borderId="12" xfId="0" applyNumberFormat="1" applyFont="1" applyFill="1" applyBorder="1" applyAlignment="1">
      <alignment vertical="center"/>
    </xf>
    <xf numFmtId="3" fontId="133" fillId="22" borderId="0" xfId="0" applyNumberFormat="1" applyFont="1" applyFill="1" applyAlignment="1">
      <alignment vertical="center"/>
    </xf>
    <xf numFmtId="0" fontId="133" fillId="22" borderId="0" xfId="0" applyFont="1" applyFill="1" applyAlignment="1">
      <alignment vertical="center"/>
    </xf>
    <xf numFmtId="4" fontId="133" fillId="22" borderId="0" xfId="0" applyNumberFormat="1" applyFont="1" applyFill="1" applyAlignment="1">
      <alignment vertical="center"/>
    </xf>
    <xf numFmtId="0" fontId="135" fillId="0" borderId="0" xfId="0" applyFont="1"/>
    <xf numFmtId="0" fontId="0" fillId="0" borderId="2" xfId="0" applyBorder="1"/>
    <xf numFmtId="0" fontId="11" fillId="0" borderId="30" xfId="0" applyFont="1" applyBorder="1" applyAlignment="1">
      <alignment horizontal="left"/>
    </xf>
    <xf numFmtId="0" fontId="22" fillId="0" borderId="30" xfId="0" applyFont="1" applyBorder="1"/>
    <xf numFmtId="0" fontId="22" fillId="0" borderId="3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59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30" borderId="14" xfId="0" applyFill="1" applyBorder="1"/>
    <xf numFmtId="0" fontId="0" fillId="30" borderId="14" xfId="0" applyFill="1" applyBorder="1" applyAlignment="1">
      <alignment horizontal="center"/>
    </xf>
    <xf numFmtId="14" fontId="0" fillId="30" borderId="14" xfId="0" applyNumberFormat="1" applyFill="1" applyBorder="1" applyAlignment="1">
      <alignment horizontal="center"/>
    </xf>
    <xf numFmtId="0" fontId="0" fillId="5" borderId="14" xfId="0" applyFill="1" applyBorder="1"/>
    <xf numFmtId="0" fontId="0" fillId="5" borderId="14" xfId="0" applyFill="1" applyBorder="1" applyAlignment="1">
      <alignment horizontal="center"/>
    </xf>
    <xf numFmtId="0" fontId="0" fillId="5" borderId="0" xfId="0" applyFill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82" fillId="5" borderId="14" xfId="0" applyFont="1" applyFill="1" applyBorder="1" applyAlignment="1">
      <alignment horizontal="center"/>
    </xf>
    <xf numFmtId="0" fontId="26" fillId="5" borderId="14" xfId="0" applyFont="1" applyFill="1" applyBorder="1"/>
    <xf numFmtId="0" fontId="22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27" borderId="14" xfId="0" applyFill="1" applyBorder="1"/>
    <xf numFmtId="0" fontId="0" fillId="27" borderId="14" xfId="0" applyFill="1" applyBorder="1" applyAlignment="1">
      <alignment horizontal="center"/>
    </xf>
    <xf numFmtId="14" fontId="0" fillId="27" borderId="14" xfId="0" applyNumberFormat="1" applyFill="1" applyBorder="1" applyAlignment="1">
      <alignment horizontal="center"/>
    </xf>
    <xf numFmtId="14" fontId="82" fillId="5" borderId="14" xfId="0" applyNumberFormat="1" applyFont="1" applyFill="1" applyBorder="1" applyAlignment="1">
      <alignment horizontal="center"/>
    </xf>
    <xf numFmtId="0" fontId="0" fillId="33" borderId="14" xfId="0" applyFill="1" applyBorder="1"/>
    <xf numFmtId="0" fontId="0" fillId="33" borderId="14" xfId="0" applyFill="1" applyBorder="1" applyAlignment="1">
      <alignment horizontal="center"/>
    </xf>
    <xf numFmtId="14" fontId="0" fillId="33" borderId="14" xfId="0" applyNumberFormat="1" applyFill="1" applyBorder="1" applyAlignment="1">
      <alignment horizontal="center"/>
    </xf>
    <xf numFmtId="0" fontId="136" fillId="33" borderId="14" xfId="0" applyFont="1" applyFill="1" applyBorder="1" applyAlignment="1">
      <alignment horizontal="center"/>
    </xf>
    <xf numFmtId="0" fontId="82" fillId="33" borderId="14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1" xfId="0" applyBorder="1"/>
    <xf numFmtId="0" fontId="11" fillId="0" borderId="5" xfId="0" applyFont="1" applyBorder="1" applyAlignment="1">
      <alignment horizontal="left"/>
    </xf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9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5" borderId="14" xfId="0" applyFill="1" applyBorder="1"/>
    <xf numFmtId="0" fontId="0" fillId="35" borderId="14" xfId="0" applyFill="1" applyBorder="1" applyAlignment="1">
      <alignment horizontal="center"/>
    </xf>
    <xf numFmtId="14" fontId="0" fillId="35" borderId="14" xfId="0" applyNumberFormat="1" applyFill="1" applyBorder="1" applyAlignment="1">
      <alignment horizontal="center"/>
    </xf>
    <xf numFmtId="0" fontId="11" fillId="35" borderId="14" xfId="0" applyFont="1" applyFill="1" applyBorder="1" applyAlignment="1">
      <alignment horizontal="center"/>
    </xf>
    <xf numFmtId="14" fontId="22" fillId="35" borderId="14" xfId="0" applyNumberFormat="1" applyFont="1" applyFill="1" applyBorder="1" applyAlignment="1">
      <alignment horizontal="center"/>
    </xf>
    <xf numFmtId="0" fontId="136" fillId="35" borderId="14" xfId="0" applyFont="1" applyFill="1" applyBorder="1" applyAlignment="1">
      <alignment horizontal="center"/>
    </xf>
    <xf numFmtId="14" fontId="22" fillId="35" borderId="70" xfId="0" applyNumberFormat="1" applyFont="1" applyFill="1" applyBorder="1" applyAlignment="1">
      <alignment horizontal="center"/>
    </xf>
    <xf numFmtId="0" fontId="82" fillId="35" borderId="14" xfId="0" applyFont="1" applyFill="1" applyBorder="1" applyAlignment="1">
      <alignment horizontal="center"/>
    </xf>
    <xf numFmtId="0" fontId="58" fillId="35" borderId="14" xfId="0" applyFont="1" applyFill="1" applyBorder="1"/>
    <xf numFmtId="0" fontId="26" fillId="35" borderId="14" xfId="0" applyFont="1" applyFill="1" applyBorder="1" applyAlignment="1">
      <alignment horizontal="center"/>
    </xf>
    <xf numFmtId="0" fontId="136" fillId="0" borderId="14" xfId="0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0" fillId="4" borderId="14" xfId="0" applyFill="1" applyBorder="1"/>
    <xf numFmtId="0" fontId="136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14" fontId="136" fillId="4" borderId="14" xfId="0" applyNumberFormat="1" applyFont="1" applyFill="1" applyBorder="1" applyAlignment="1">
      <alignment horizontal="center"/>
    </xf>
    <xf numFmtId="0" fontId="26" fillId="4" borderId="14" xfId="0" applyFont="1" applyFill="1" applyBorder="1"/>
    <xf numFmtId="14" fontId="22" fillId="4" borderId="14" xfId="0" applyNumberFormat="1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58" fillId="4" borderId="14" xfId="0" applyFont="1" applyFill="1" applyBorder="1"/>
    <xf numFmtId="3" fontId="61" fillId="0" borderId="0" xfId="0" applyNumberFormat="1" applyFont="1" applyAlignment="1">
      <alignment horizontal="right"/>
    </xf>
    <xf numFmtId="3" fontId="106" fillId="4" borderId="12" xfId="6" applyNumberFormat="1" applyFont="1" applyFill="1" applyBorder="1"/>
    <xf numFmtId="3" fontId="66" fillId="5" borderId="24" xfId="0" applyNumberFormat="1" applyFont="1" applyFill="1" applyBorder="1"/>
    <xf numFmtId="3" fontId="66" fillId="5" borderId="72" xfId="0" applyNumberFormat="1" applyFont="1" applyFill="1" applyBorder="1"/>
    <xf numFmtId="3" fontId="66" fillId="5" borderId="12" xfId="0" applyNumberFormat="1" applyFont="1" applyFill="1" applyBorder="1"/>
    <xf numFmtId="3" fontId="68" fillId="5" borderId="24" xfId="0" applyNumberFormat="1" applyFont="1" applyFill="1" applyBorder="1"/>
    <xf numFmtId="3" fontId="68" fillId="5" borderId="72" xfId="0" applyNumberFormat="1" applyFont="1" applyFill="1" applyBorder="1"/>
    <xf numFmtId="3" fontId="68" fillId="5" borderId="9" xfId="0" applyNumberFormat="1" applyFont="1" applyFill="1" applyBorder="1"/>
    <xf numFmtId="3" fontId="68" fillId="5" borderId="12" xfId="0" applyNumberFormat="1" applyFont="1" applyFill="1" applyBorder="1"/>
    <xf numFmtId="0" fontId="112" fillId="5" borderId="41" xfId="0" applyFont="1" applyFill="1" applyBorder="1"/>
    <xf numFmtId="0" fontId="108" fillId="5" borderId="38" xfId="0" applyFont="1" applyFill="1" applyBorder="1"/>
    <xf numFmtId="0" fontId="116" fillId="5" borderId="38" xfId="0" applyFont="1" applyFill="1" applyBorder="1"/>
    <xf numFmtId="0" fontId="74" fillId="5" borderId="38" xfId="0" applyFont="1" applyFill="1" applyBorder="1"/>
    <xf numFmtId="0" fontId="112" fillId="5" borderId="38" xfId="0" applyFont="1" applyFill="1" applyBorder="1"/>
    <xf numFmtId="0" fontId="112" fillId="5" borderId="69" xfId="0" applyFont="1" applyFill="1" applyBorder="1"/>
    <xf numFmtId="0" fontId="112" fillId="5" borderId="39" xfId="0" applyFont="1" applyFill="1" applyBorder="1"/>
    <xf numFmtId="0" fontId="112" fillId="5" borderId="36" xfId="0" applyFont="1" applyFill="1" applyBorder="1"/>
    <xf numFmtId="0" fontId="108" fillId="4" borderId="50" xfId="0" applyFont="1" applyFill="1" applyBorder="1"/>
    <xf numFmtId="0" fontId="108" fillId="5" borderId="69" xfId="0" applyFont="1" applyFill="1" applyBorder="1"/>
    <xf numFmtId="3" fontId="112" fillId="18" borderId="49" xfId="0" applyNumberFormat="1" applyFont="1" applyFill="1" applyBorder="1"/>
    <xf numFmtId="9" fontId="108" fillId="20" borderId="49" xfId="8" applyFont="1" applyFill="1" applyBorder="1"/>
    <xf numFmtId="3" fontId="68" fillId="4" borderId="24" xfId="0" applyNumberFormat="1" applyFont="1" applyFill="1" applyBorder="1"/>
    <xf numFmtId="3" fontId="68" fillId="4" borderId="72" xfId="0" applyNumberFormat="1" applyFont="1" applyFill="1" applyBorder="1"/>
    <xf numFmtId="3" fontId="68" fillId="4" borderId="9" xfId="0" applyNumberFormat="1" applyFont="1" applyFill="1" applyBorder="1"/>
    <xf numFmtId="3" fontId="68" fillId="4" borderId="12" xfId="0" applyNumberFormat="1" applyFont="1" applyFill="1" applyBorder="1"/>
    <xf numFmtId="3" fontId="137" fillId="11" borderId="72" xfId="0" applyNumberFormat="1" applyFont="1" applyFill="1" applyBorder="1"/>
    <xf numFmtId="3" fontId="31" fillId="36" borderId="11" xfId="0" applyNumberFormat="1" applyFont="1" applyFill="1" applyBorder="1"/>
    <xf numFmtId="0" fontId="38" fillId="36" borderId="29" xfId="0" applyFont="1" applyFill="1" applyBorder="1" applyAlignment="1">
      <alignment horizontal="center"/>
    </xf>
    <xf numFmtId="0" fontId="38" fillId="36" borderId="24" xfId="0" applyFont="1" applyFill="1" applyBorder="1" applyAlignment="1">
      <alignment horizontal="center"/>
    </xf>
    <xf numFmtId="0" fontId="38" fillId="36" borderId="9" xfId="0" applyFont="1" applyFill="1" applyBorder="1" applyAlignment="1">
      <alignment wrapText="1"/>
    </xf>
    <xf numFmtId="0" fontId="64" fillId="36" borderId="0" xfId="0" applyFont="1" applyFill="1"/>
    <xf numFmtId="49" fontId="106" fillId="7" borderId="10" xfId="7" applyNumberFormat="1" applyFont="1" applyFill="1" applyBorder="1" applyAlignment="1">
      <alignment horizontal="left"/>
    </xf>
    <xf numFmtId="3" fontId="106" fillId="7" borderId="10" xfId="0" applyNumberFormat="1" applyFont="1" applyFill="1" applyBorder="1" applyAlignment="1">
      <alignment horizontal="right" wrapText="1"/>
    </xf>
    <xf numFmtId="3" fontId="112" fillId="5" borderId="29" xfId="0" applyNumberFormat="1" applyFont="1" applyFill="1" applyBorder="1"/>
    <xf numFmtId="3" fontId="112" fillId="5" borderId="24" xfId="0" applyNumberFormat="1" applyFont="1" applyFill="1" applyBorder="1"/>
    <xf numFmtId="3" fontId="112" fillId="5" borderId="72" xfId="0" applyNumberFormat="1" applyFont="1" applyFill="1" applyBorder="1"/>
    <xf numFmtId="3" fontId="112" fillId="5" borderId="75" xfId="0" applyNumberFormat="1" applyFont="1" applyFill="1" applyBorder="1"/>
    <xf numFmtId="3" fontId="112" fillId="5" borderId="74" xfId="0" applyNumberFormat="1" applyFont="1" applyFill="1" applyBorder="1"/>
    <xf numFmtId="3" fontId="112" fillId="5" borderId="12" xfId="0" applyNumberFormat="1" applyFont="1" applyFill="1" applyBorder="1"/>
    <xf numFmtId="3" fontId="68" fillId="11" borderId="29" xfId="0" applyNumberFormat="1" applyFont="1" applyFill="1" applyBorder="1" applyAlignment="1">
      <alignment vertical="center"/>
    </xf>
    <xf numFmtId="3" fontId="68" fillId="11" borderId="24" xfId="0" applyNumberFormat="1" applyFont="1" applyFill="1" applyBorder="1" applyAlignment="1">
      <alignment vertical="center"/>
    </xf>
    <xf numFmtId="3" fontId="68" fillId="11" borderId="72" xfId="0" applyNumberFormat="1" applyFont="1" applyFill="1" applyBorder="1" applyAlignment="1">
      <alignment vertical="center"/>
    </xf>
    <xf numFmtId="3" fontId="137" fillId="11" borderId="72" xfId="0" applyNumberFormat="1" applyFont="1" applyFill="1" applyBorder="1" applyAlignment="1">
      <alignment horizontal="center" vertical="center" wrapText="1"/>
    </xf>
    <xf numFmtId="3" fontId="68" fillId="11" borderId="9" xfId="0" applyNumberFormat="1" applyFont="1" applyFill="1" applyBorder="1" applyAlignment="1">
      <alignment vertical="center"/>
    </xf>
    <xf numFmtId="3" fontId="68" fillId="11" borderId="12" xfId="0" applyNumberFormat="1" applyFont="1" applyFill="1" applyBorder="1" applyAlignment="1">
      <alignment vertical="center"/>
    </xf>
    <xf numFmtId="0" fontId="68" fillId="5" borderId="0" xfId="0" applyFont="1" applyFill="1" applyAlignment="1">
      <alignment vertical="center"/>
    </xf>
    <xf numFmtId="3" fontId="68" fillId="23" borderId="0" xfId="0" applyNumberFormat="1" applyFont="1" applyFill="1" applyAlignment="1">
      <alignment vertical="center"/>
    </xf>
    <xf numFmtId="3" fontId="137" fillId="11" borderId="72" xfId="0" applyNumberFormat="1" applyFont="1" applyFill="1" applyBorder="1" applyAlignment="1">
      <alignment vertical="center" wrapText="1"/>
    </xf>
    <xf numFmtId="0" fontId="116" fillId="4" borderId="5" xfId="0" applyFont="1" applyFill="1" applyBorder="1"/>
    <xf numFmtId="0" fontId="74" fillId="4" borderId="5" xfId="0" applyFont="1" applyFill="1" applyBorder="1"/>
    <xf numFmtId="0" fontId="112" fillId="4" borderId="5" xfId="0" applyFont="1" applyFill="1" applyBorder="1"/>
    <xf numFmtId="0" fontId="112" fillId="4" borderId="50" xfId="0" applyFont="1" applyFill="1" applyBorder="1"/>
    <xf numFmtId="0" fontId="112" fillId="4" borderId="6" xfId="0" applyFont="1" applyFill="1" applyBorder="1"/>
    <xf numFmtId="0" fontId="112" fillId="4" borderId="3" xfId="0" applyFont="1" applyFill="1" applyBorder="1"/>
    <xf numFmtId="0" fontId="36" fillId="8" borderId="0" xfId="0" applyFont="1" applyFill="1" applyAlignment="1">
      <alignment horizontal="center"/>
    </xf>
    <xf numFmtId="0" fontId="106" fillId="0" borderId="36" xfId="7" applyFont="1" applyBorder="1"/>
    <xf numFmtId="0" fontId="106" fillId="0" borderId="36" xfId="7" applyFont="1" applyBorder="1" applyAlignment="1">
      <alignment horizontal="center"/>
    </xf>
    <xf numFmtId="0" fontId="106" fillId="0" borderId="59" xfId="7" applyFont="1" applyBorder="1" applyAlignment="1">
      <alignment horizontal="center"/>
    </xf>
    <xf numFmtId="3" fontId="109" fillId="0" borderId="36" xfId="7" applyNumberFormat="1" applyFont="1" applyBorder="1" applyAlignment="1">
      <alignment horizontal="right"/>
    </xf>
    <xf numFmtId="3" fontId="104" fillId="0" borderId="36" xfId="7" applyNumberFormat="1" applyFont="1" applyBorder="1" applyAlignment="1">
      <alignment horizontal="right"/>
    </xf>
    <xf numFmtId="3" fontId="104" fillId="0" borderId="36" xfId="7" applyNumberFormat="1" applyFont="1" applyBorder="1" applyAlignment="1">
      <alignment horizontal="center"/>
    </xf>
    <xf numFmtId="3" fontId="99" fillId="0" borderId="0" xfId="0" applyNumberFormat="1" applyFont="1" applyAlignment="1">
      <alignment horizontal="center"/>
    </xf>
    <xf numFmtId="3" fontId="98" fillId="4" borderId="0" xfId="0" applyNumberFormat="1" applyFont="1" applyFill="1" applyAlignment="1">
      <alignment horizontal="right"/>
    </xf>
    <xf numFmtId="3" fontId="62" fillId="0" borderId="0" xfId="0" applyNumberFormat="1" applyFont="1" applyAlignment="1">
      <alignment horizontal="center"/>
    </xf>
    <xf numFmtId="3" fontId="100" fillId="0" borderId="0" xfId="0" applyNumberFormat="1" applyFont="1" applyAlignment="1">
      <alignment horizontal="center"/>
    </xf>
    <xf numFmtId="10" fontId="62" fillId="0" borderId="0" xfId="8" applyNumberFormat="1" applyFont="1" applyAlignment="1">
      <alignment horizontal="center"/>
    </xf>
    <xf numFmtId="4" fontId="99" fillId="0" borderId="0" xfId="0" applyNumberFormat="1" applyFont="1" applyAlignment="1">
      <alignment horizontal="center"/>
    </xf>
    <xf numFmtId="174" fontId="62" fillId="0" borderId="0" xfId="0" applyNumberFormat="1" applyFont="1"/>
    <xf numFmtId="4" fontId="61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right"/>
    </xf>
    <xf numFmtId="3" fontId="138" fillId="0" borderId="0" xfId="0" applyNumberFormat="1" applyFont="1"/>
    <xf numFmtId="3" fontId="138" fillId="0" borderId="0" xfId="0" applyNumberFormat="1" applyFont="1" applyAlignment="1">
      <alignment horizontal="right"/>
    </xf>
    <xf numFmtId="3" fontId="139" fillId="0" borderId="0" xfId="0" applyNumberFormat="1" applyFont="1"/>
    <xf numFmtId="3" fontId="99" fillId="0" borderId="0" xfId="0" applyNumberFormat="1" applyFont="1"/>
    <xf numFmtId="3" fontId="59" fillId="4" borderId="0" xfId="0" applyNumberFormat="1" applyFont="1" applyFill="1" applyAlignment="1">
      <alignment horizontal="right"/>
    </xf>
    <xf numFmtId="3" fontId="35" fillId="36" borderId="11" xfId="0" applyNumberFormat="1" applyFont="1" applyFill="1" applyBorder="1"/>
    <xf numFmtId="3" fontId="31" fillId="37" borderId="11" xfId="0" applyNumberFormat="1" applyFont="1" applyFill="1" applyBorder="1"/>
    <xf numFmtId="173" fontId="0" fillId="0" borderId="0" xfId="0" applyNumberFormat="1" applyAlignment="1">
      <alignment horizontal="right"/>
    </xf>
    <xf numFmtId="173" fontId="0" fillId="26" borderId="62" xfId="0" applyNumberFormat="1" applyFill="1" applyBorder="1" applyAlignment="1">
      <alignment horizontal="right"/>
    </xf>
    <xf numFmtId="0" fontId="80" fillId="0" borderId="2" xfId="0" applyFont="1" applyBorder="1" applyAlignment="1">
      <alignment horizontal="center"/>
    </xf>
    <xf numFmtId="0" fontId="80" fillId="0" borderId="30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75" fillId="3" borderId="2" xfId="0" applyFont="1" applyFill="1" applyBorder="1" applyAlignment="1">
      <alignment horizontal="left" wrapText="1"/>
    </xf>
    <xf numFmtId="0" fontId="75" fillId="3" borderId="30" xfId="0" applyFont="1" applyFill="1" applyBorder="1" applyAlignment="1">
      <alignment horizontal="left" wrapText="1"/>
    </xf>
    <xf numFmtId="0" fontId="75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34" fillId="9" borderId="2" xfId="10" applyNumberFormat="1" applyFont="1" applyFill="1" applyBorder="1" applyAlignment="1">
      <alignment horizontal="left"/>
    </xf>
    <xf numFmtId="3" fontId="34" fillId="9" borderId="64" xfId="10" applyNumberFormat="1" applyFont="1" applyFill="1" applyBorder="1" applyAlignment="1">
      <alignment horizontal="left"/>
    </xf>
    <xf numFmtId="3" fontId="34" fillId="9" borderId="67" xfId="10" applyNumberFormat="1" applyFont="1" applyFill="1" applyBorder="1" applyAlignment="1">
      <alignment horizontal="left"/>
    </xf>
    <xf numFmtId="3" fontId="33" fillId="8" borderId="65" xfId="10" applyNumberFormat="1" applyFont="1" applyFill="1" applyBorder="1" applyAlignment="1">
      <alignment horizontal="left"/>
    </xf>
    <xf numFmtId="3" fontId="33" fillId="8" borderId="68" xfId="10" applyNumberFormat="1" applyFont="1" applyFill="1" applyBorder="1" applyAlignment="1">
      <alignment horizontal="left"/>
    </xf>
    <xf numFmtId="0" fontId="33" fillId="0" borderId="63" xfId="3" applyFont="1" applyBorder="1" applyAlignment="1">
      <alignment horizontal="center" vertical="center" textRotation="90"/>
    </xf>
    <xf numFmtId="0" fontId="33" fillId="0" borderId="59" xfId="3" applyFont="1" applyBorder="1" applyAlignment="1">
      <alignment horizontal="center" vertical="center" textRotation="90"/>
    </xf>
    <xf numFmtId="0" fontId="33" fillId="0" borderId="36" xfId="3" applyFont="1" applyBorder="1" applyAlignment="1">
      <alignment horizontal="center" vertical="center" textRotation="90"/>
    </xf>
    <xf numFmtId="3" fontId="33" fillId="8" borderId="63" xfId="10" applyNumberFormat="1" applyFont="1" applyFill="1" applyBorder="1" applyAlignment="1">
      <alignment horizontal="left"/>
    </xf>
    <xf numFmtId="3" fontId="33" fillId="8" borderId="6" xfId="10" applyNumberFormat="1" applyFont="1" applyFill="1" applyBorder="1" applyAlignment="1">
      <alignment horizontal="left"/>
    </xf>
    <xf numFmtId="0" fontId="34" fillId="10" borderId="2" xfId="5" applyFont="1" applyFill="1" applyBorder="1" applyAlignment="1">
      <alignment horizontal="left" vertical="center"/>
    </xf>
    <xf numFmtId="0" fontId="34" fillId="10" borderId="6" xfId="5" applyFont="1" applyFill="1" applyBorder="1" applyAlignment="1">
      <alignment horizontal="left" vertical="center"/>
    </xf>
    <xf numFmtId="3" fontId="36" fillId="8" borderId="2" xfId="10" applyNumberFormat="1" applyFont="1" applyFill="1" applyBorder="1" applyAlignment="1">
      <alignment horizontal="left"/>
    </xf>
    <xf numFmtId="3" fontId="36" fillId="8" borderId="6" xfId="10" applyNumberFormat="1" applyFont="1" applyFill="1" applyBorder="1" applyAlignment="1">
      <alignment horizontal="left"/>
    </xf>
    <xf numFmtId="0" fontId="33" fillId="0" borderId="4" xfId="3" applyFont="1" applyBorder="1" applyAlignment="1">
      <alignment horizontal="center" vertical="center" textRotation="90"/>
    </xf>
    <xf numFmtId="0" fontId="33" fillId="0" borderId="53" xfId="3" applyFont="1" applyBorder="1" applyAlignment="1">
      <alignment horizontal="center" vertical="center" textRotation="90"/>
    </xf>
    <xf numFmtId="0" fontId="33" fillId="0" borderId="67" xfId="3" applyFont="1" applyBorder="1" applyAlignment="1">
      <alignment horizontal="center" vertical="center" textRotation="90"/>
    </xf>
    <xf numFmtId="0" fontId="33" fillId="0" borderId="39" xfId="3" applyFont="1" applyBorder="1" applyAlignment="1">
      <alignment horizontal="center" vertical="center" textRotation="90"/>
    </xf>
    <xf numFmtId="0" fontId="33" fillId="0" borderId="68" xfId="3" applyFont="1" applyBorder="1" applyAlignment="1">
      <alignment horizontal="center" vertical="center" textRotation="90"/>
    </xf>
    <xf numFmtId="0" fontId="58" fillId="32" borderId="29" xfId="0" applyFont="1" applyFill="1" applyBorder="1" applyAlignment="1">
      <alignment horizontal="center" vertical="center" wrapText="1" shrinkToFit="1"/>
    </xf>
    <xf numFmtId="0" fontId="58" fillId="32" borderId="41" xfId="0" applyFont="1" applyFill="1" applyBorder="1" applyAlignment="1">
      <alignment horizontal="center" vertical="center" wrapText="1" shrinkToFit="1"/>
    </xf>
    <xf numFmtId="0" fontId="58" fillId="32" borderId="54" xfId="0" applyFont="1" applyFill="1" applyBorder="1" applyAlignment="1">
      <alignment horizontal="center" vertical="center" wrapText="1" shrinkToFit="1"/>
    </xf>
    <xf numFmtId="0" fontId="59" fillId="27" borderId="4" xfId="0" applyFont="1" applyFill="1" applyBorder="1" applyAlignment="1">
      <alignment horizontal="center" vertical="center" wrapText="1"/>
    </xf>
    <xf numFmtId="0" fontId="59" fillId="27" borderId="36" xfId="0" applyFont="1" applyFill="1" applyBorder="1" applyAlignment="1">
      <alignment horizontal="center" vertical="center" wrapText="1"/>
    </xf>
    <xf numFmtId="0" fontId="59" fillId="27" borderId="53" xfId="0" applyFont="1" applyFill="1" applyBorder="1" applyAlignment="1">
      <alignment horizontal="center" vertical="center" wrapText="1"/>
    </xf>
    <xf numFmtId="0" fontId="58" fillId="27" borderId="77" xfId="0" applyFont="1" applyFill="1" applyBorder="1" applyAlignment="1">
      <alignment horizontal="justify" vertical="center"/>
    </xf>
    <xf numFmtId="0" fontId="58" fillId="27" borderId="41" xfId="0" applyFont="1" applyFill="1" applyBorder="1" applyAlignment="1">
      <alignment horizontal="justify" vertical="center"/>
    </xf>
    <xf numFmtId="0" fontId="58" fillId="27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0" borderId="4" xfId="0" applyFont="1" applyFill="1" applyBorder="1" applyAlignment="1">
      <alignment horizontal="center" vertical="center" wrapText="1"/>
    </xf>
    <xf numFmtId="0" fontId="59" fillId="30" borderId="36" xfId="0" applyFont="1" applyFill="1" applyBorder="1" applyAlignment="1">
      <alignment horizontal="center" vertical="center" wrapText="1"/>
    </xf>
    <xf numFmtId="0" fontId="59" fillId="30" borderId="53" xfId="0" applyFont="1" applyFill="1" applyBorder="1" applyAlignment="1">
      <alignment horizontal="center" vertical="center" wrapText="1"/>
    </xf>
    <xf numFmtId="0" fontId="58" fillId="30" borderId="77" xfId="0" applyFont="1" applyFill="1" applyBorder="1" applyAlignment="1">
      <alignment horizontal="justify" vertical="center"/>
    </xf>
    <xf numFmtId="0" fontId="58" fillId="30" borderId="41" xfId="0" applyFont="1" applyFill="1" applyBorder="1" applyAlignment="1">
      <alignment horizontal="justify" vertical="center"/>
    </xf>
    <xf numFmtId="0" fontId="58" fillId="30" borderId="54" xfId="0" applyFont="1" applyFill="1" applyBorder="1" applyAlignment="1">
      <alignment horizontal="justify" vertical="center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41" xfId="0" applyFont="1" applyFill="1" applyBorder="1" applyAlignment="1">
      <alignment horizontal="center" vertical="center" wrapText="1"/>
    </xf>
    <xf numFmtId="0" fontId="62" fillId="27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7" borderId="29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0" borderId="77" xfId="0" applyFont="1" applyFill="1" applyBorder="1" applyAlignment="1">
      <alignment horizontal="center" vertical="center"/>
    </xf>
    <xf numFmtId="0" fontId="58" fillId="30" borderId="41" xfId="0" applyFont="1" applyFill="1" applyBorder="1" applyAlignment="1">
      <alignment horizontal="center" vertical="center"/>
    </xf>
    <xf numFmtId="0" fontId="58" fillId="30" borderId="23" xfId="0" applyFont="1" applyFill="1" applyBorder="1" applyAlignment="1">
      <alignment horizontal="center" vertical="center"/>
    </xf>
    <xf numFmtId="3" fontId="59" fillId="30" borderId="4" xfId="0" applyNumberFormat="1" applyFont="1" applyFill="1" applyBorder="1" applyAlignment="1">
      <alignment horizontal="center" vertical="center"/>
    </xf>
    <xf numFmtId="3" fontId="59" fillId="30" borderId="36" xfId="0" applyNumberFormat="1" applyFont="1" applyFill="1" applyBorder="1" applyAlignment="1">
      <alignment horizontal="center" vertical="center"/>
    </xf>
    <xf numFmtId="3" fontId="59" fillId="30" borderId="53" xfId="0" applyNumberFormat="1" applyFont="1" applyFill="1" applyBorder="1" applyAlignment="1">
      <alignment horizontal="center" vertical="center"/>
    </xf>
    <xf numFmtId="0" fontId="58" fillId="30" borderId="29" xfId="0" applyFont="1" applyFill="1" applyBorder="1" applyAlignment="1">
      <alignment horizontal="center" vertical="center" wrapText="1"/>
    </xf>
    <xf numFmtId="0" fontId="58" fillId="30" borderId="41" xfId="0" applyFont="1" applyFill="1" applyBorder="1" applyAlignment="1">
      <alignment horizontal="center" vertical="center" wrapText="1"/>
    </xf>
    <xf numFmtId="0" fontId="104" fillId="26" borderId="2" xfId="7" applyFont="1" applyFill="1" applyBorder="1" applyAlignment="1">
      <alignment horizontal="left"/>
    </xf>
    <xf numFmtId="0" fontId="104" fillId="26" borderId="6" xfId="7" applyFont="1" applyFill="1" applyBorder="1" applyAlignment="1">
      <alignment horizontal="left"/>
    </xf>
    <xf numFmtId="0" fontId="104" fillId="8" borderId="49" xfId="6" applyFont="1" applyFill="1" applyBorder="1" applyAlignment="1">
      <alignment horizontal="center" wrapText="1"/>
    </xf>
    <xf numFmtId="0" fontId="104" fillId="8" borderId="48" xfId="6" applyFont="1" applyFill="1" applyBorder="1" applyAlignment="1">
      <alignment horizontal="center" wrapText="1"/>
    </xf>
    <xf numFmtId="0" fontId="104" fillId="0" borderId="0" xfId="6" applyFont="1" applyAlignment="1">
      <alignment horizontal="left"/>
    </xf>
    <xf numFmtId="0" fontId="106" fillId="0" borderId="0" xfId="6" applyFont="1" applyAlignment="1">
      <alignment horizontal="left"/>
    </xf>
    <xf numFmtId="0" fontId="104" fillId="0" borderId="2" xfId="0" applyFont="1" applyBorder="1" applyAlignment="1">
      <alignment horizontal="left" wrapText="1"/>
    </xf>
    <xf numFmtId="0" fontId="104" fillId="0" borderId="30" xfId="0" applyFont="1" applyBorder="1" applyAlignment="1">
      <alignment horizontal="left" wrapText="1"/>
    </xf>
    <xf numFmtId="0" fontId="104" fillId="0" borderId="22" xfId="0" applyFont="1" applyBorder="1" applyAlignment="1">
      <alignment horizontal="left" wrapText="1"/>
    </xf>
    <xf numFmtId="0" fontId="104" fillId="5" borderId="2" xfId="0" applyFont="1" applyFill="1" applyBorder="1" applyAlignment="1">
      <alignment horizontal="left" wrapText="1"/>
    </xf>
    <xf numFmtId="0" fontId="104" fillId="5" borderId="30" xfId="0" applyFont="1" applyFill="1" applyBorder="1" applyAlignment="1">
      <alignment horizontal="left" wrapText="1"/>
    </xf>
    <xf numFmtId="0" fontId="104" fillId="5" borderId="22" xfId="0" applyFont="1" applyFill="1" applyBorder="1" applyAlignment="1">
      <alignment horizontal="left" wrapText="1"/>
    </xf>
    <xf numFmtId="0" fontId="30" fillId="0" borderId="0" xfId="6" applyFont="1" applyAlignment="1">
      <alignment horizontal="left"/>
    </xf>
    <xf numFmtId="0" fontId="41" fillId="0" borderId="0" xfId="6" applyFont="1" applyAlignment="1">
      <alignment horizontal="left"/>
    </xf>
    <xf numFmtId="0" fontId="104" fillId="33" borderId="49" xfId="6" applyFont="1" applyFill="1" applyBorder="1" applyAlignment="1">
      <alignment horizontal="center" wrapText="1"/>
    </xf>
    <xf numFmtId="0" fontId="104" fillId="33" borderId="48" xfId="6" applyFont="1" applyFill="1" applyBorder="1" applyAlignment="1">
      <alignment horizontal="center" wrapText="1"/>
    </xf>
    <xf numFmtId="0" fontId="104" fillId="33" borderId="49" xfId="6" applyFont="1" applyFill="1" applyBorder="1" applyAlignment="1">
      <alignment horizontal="left" wrapText="1"/>
    </xf>
    <xf numFmtId="0" fontId="104" fillId="33" borderId="48" xfId="6" applyFont="1" applyFill="1" applyBorder="1" applyAlignment="1">
      <alignment horizontal="left" wrapText="1"/>
    </xf>
    <xf numFmtId="0" fontId="77" fillId="0" borderId="49" xfId="6" applyFont="1" applyBorder="1" applyAlignment="1">
      <alignment horizontal="left" wrapText="1"/>
    </xf>
    <xf numFmtId="0" fontId="77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3" fontId="66" fillId="4" borderId="24" xfId="0" applyNumberFormat="1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168" fontId="0" fillId="28" borderId="24" xfId="0" applyNumberFormat="1" applyFill="1" applyBorder="1" applyAlignment="1">
      <alignment horizontal="right" vertical="center" indent="1"/>
    </xf>
    <xf numFmtId="168" fontId="0" fillId="28" borderId="38" xfId="0" applyNumberFormat="1" applyFill="1" applyBorder="1" applyAlignment="1">
      <alignment horizontal="right" vertical="center" indent="1"/>
    </xf>
    <xf numFmtId="168" fontId="0" fillId="28" borderId="25" xfId="0" applyNumberFormat="1" applyFill="1" applyBorder="1" applyAlignment="1">
      <alignment horizontal="right" vertical="center" indent="1"/>
    </xf>
  </cellXfs>
  <cellStyles count="18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046672"/>
        <c:axId val="124644360"/>
      </c:barChart>
      <c:catAx>
        <c:axId val="41504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4644360"/>
        <c:crosses val="autoZero"/>
        <c:auto val="1"/>
        <c:lblAlgn val="ctr"/>
        <c:lblOffset val="100"/>
        <c:noMultiLvlLbl val="0"/>
      </c:catAx>
      <c:valAx>
        <c:axId val="1246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046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645144"/>
        <c:axId val="12464553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45144"/>
        <c:axId val="124645536"/>
      </c:lineChart>
      <c:catAx>
        <c:axId val="12464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4645536"/>
        <c:crosses val="autoZero"/>
        <c:auto val="1"/>
        <c:lblAlgn val="ctr"/>
        <c:lblOffset val="100"/>
        <c:noMultiLvlLbl val="0"/>
      </c:catAx>
      <c:valAx>
        <c:axId val="1246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464514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354960"/>
        <c:axId val="420355352"/>
      </c:barChart>
      <c:catAx>
        <c:axId val="42035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0355352"/>
        <c:crosses val="autoZero"/>
        <c:auto val="1"/>
        <c:lblAlgn val="ctr"/>
        <c:lblOffset val="100"/>
        <c:noMultiLvlLbl val="0"/>
      </c:catAx>
      <c:valAx>
        <c:axId val="42035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035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60056"/>
        <c:axId val="420356528"/>
      </c:scatterChart>
      <c:valAx>
        <c:axId val="42036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0356528"/>
        <c:crosses val="autoZero"/>
        <c:crossBetween val="midCat"/>
      </c:valAx>
      <c:valAx>
        <c:axId val="4203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0360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357312"/>
        <c:axId val="420360840"/>
      </c:scatterChart>
      <c:valAx>
        <c:axId val="42035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360840"/>
        <c:crosses val="autoZero"/>
        <c:crossBetween val="midCat"/>
      </c:valAx>
      <c:valAx>
        <c:axId val="42036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35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0360448"/>
        <c:axId val="420357704"/>
      </c:barChart>
      <c:catAx>
        <c:axId val="42036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357704"/>
        <c:crosses val="autoZero"/>
        <c:auto val="1"/>
        <c:lblAlgn val="ctr"/>
        <c:lblOffset val="100"/>
        <c:noMultiLvlLbl val="0"/>
      </c:catAx>
      <c:valAx>
        <c:axId val="42035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3604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202828784</c:v>
                </c:pt>
                <c:pt idx="1">
                  <c:v>32235801</c:v>
                </c:pt>
                <c:pt idx="2">
                  <c:v>76000</c:v>
                </c:pt>
                <c:pt idx="3">
                  <c:v>36181156</c:v>
                </c:pt>
                <c:pt idx="4">
                  <c:v>63877507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202094656.44124001</c:v>
                </c:pt>
                <c:pt idx="1">
                  <c:v>96832091</c:v>
                </c:pt>
                <c:pt idx="2">
                  <c:v>36272500.558759987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4%20Nesahat!!!!\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4%20Nesahat!!!!\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4%20Nesahat!!!!\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4%20Nesahat!!!!\Rozpo&#269;et%202024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4%20Nesahat!!!!\Rozpo&#269;et%202024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m&#283;sta%20rok%202024%20RO%20&#269;.4%20Nesahat!!!!\Rozpo&#269;et%202024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ávrh RO 3. 2024"/>
    </sheetNames>
    <sheetDataSet>
      <sheetData sheetId="0">
        <row r="3">
          <cell r="B3">
            <v>5860000</v>
          </cell>
          <cell r="C3">
            <v>53000</v>
          </cell>
          <cell r="D3">
            <v>560000</v>
          </cell>
          <cell r="E3">
            <v>0</v>
          </cell>
          <cell r="F3">
            <v>0</v>
          </cell>
          <cell r="G3">
            <v>0</v>
          </cell>
          <cell r="H3">
            <v>1605000</v>
          </cell>
          <cell r="I3">
            <v>577800</v>
          </cell>
          <cell r="J3">
            <v>26964</v>
          </cell>
        </row>
        <row r="4">
          <cell r="B4">
            <v>5349000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1337250</v>
          </cell>
          <cell r="I4">
            <v>481410</v>
          </cell>
          <cell r="J4">
            <v>22465.8</v>
          </cell>
        </row>
        <row r="5">
          <cell r="B5">
            <v>0</v>
          </cell>
          <cell r="C5">
            <v>0</v>
          </cell>
          <cell r="D5">
            <v>120000</v>
          </cell>
          <cell r="E5">
            <v>0</v>
          </cell>
          <cell r="F5">
            <v>0</v>
          </cell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1700000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425000</v>
          </cell>
          <cell r="I6">
            <v>153000</v>
          </cell>
          <cell r="J6">
            <v>7140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1510000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377500</v>
          </cell>
          <cell r="I8">
            <v>135900</v>
          </cell>
          <cell r="J8">
            <v>6342</v>
          </cell>
        </row>
        <row r="9">
          <cell r="B9">
            <v>0</v>
          </cell>
          <cell r="C9">
            <v>240000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>
            <v>0</v>
          </cell>
          <cell r="D13">
            <v>58000</v>
          </cell>
          <cell r="E13">
            <v>0</v>
          </cell>
          <cell r="F13">
            <v>0</v>
          </cell>
          <cell r="G13">
            <v>0</v>
          </cell>
          <cell r="H13">
            <v>714500</v>
          </cell>
          <cell r="I13">
            <v>257220</v>
          </cell>
          <cell r="J13">
            <v>12003.6</v>
          </cell>
        </row>
        <row r="14">
          <cell r="B14">
            <v>4045000</v>
          </cell>
          <cell r="C14">
            <v>0</v>
          </cell>
          <cell r="D14">
            <v>330000</v>
          </cell>
          <cell r="E14">
            <v>0</v>
          </cell>
          <cell r="F14">
            <v>0</v>
          </cell>
          <cell r="G14">
            <v>0</v>
          </cell>
          <cell r="H14">
            <v>1093750</v>
          </cell>
          <cell r="I14">
            <v>393750</v>
          </cell>
          <cell r="J14">
            <v>18375</v>
          </cell>
        </row>
        <row r="15">
          <cell r="B15">
            <v>1923000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480750</v>
          </cell>
          <cell r="I15">
            <v>173070</v>
          </cell>
          <cell r="J15">
            <v>8076.5999999999995</v>
          </cell>
        </row>
        <row r="16">
          <cell r="B16">
            <v>1531000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382750</v>
          </cell>
          <cell r="I16">
            <v>137790</v>
          </cell>
          <cell r="J16">
            <v>6430.2</v>
          </cell>
        </row>
        <row r="17">
          <cell r="B17">
            <v>3765000</v>
          </cell>
          <cell r="C17">
            <v>36000</v>
          </cell>
          <cell r="D17">
            <v>500000</v>
          </cell>
          <cell r="E17">
            <v>0</v>
          </cell>
          <cell r="F17">
            <v>0</v>
          </cell>
          <cell r="G17">
            <v>0</v>
          </cell>
          <cell r="H17">
            <v>1066250</v>
          </cell>
          <cell r="I17">
            <v>383850</v>
          </cell>
          <cell r="J17">
            <v>17913</v>
          </cell>
        </row>
        <row r="18">
          <cell r="B18">
            <v>0</v>
          </cell>
          <cell r="C18">
            <v>0</v>
          </cell>
          <cell r="D18">
            <v>164807</v>
          </cell>
          <cell r="E18">
            <v>0</v>
          </cell>
          <cell r="F18">
            <v>0</v>
          </cell>
          <cell r="G18">
            <v>0</v>
          </cell>
          <cell r="H18">
            <v>13837</v>
          </cell>
          <cell r="I18">
            <v>5022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133430</v>
          </cell>
          <cell r="G19">
            <v>0</v>
          </cell>
          <cell r="H19">
            <v>8233</v>
          </cell>
          <cell r="I19">
            <v>2986</v>
          </cell>
        </row>
        <row r="20">
          <cell r="E20">
            <v>3310000</v>
          </cell>
          <cell r="F20">
            <v>94000</v>
          </cell>
          <cell r="H20">
            <v>827500</v>
          </cell>
          <cell r="I20">
            <v>297900</v>
          </cell>
          <cell r="J20">
            <v>13902</v>
          </cell>
        </row>
        <row r="23">
          <cell r="D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_6115 "/>
      <sheetName val="Volby_6117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2307952.5247400003</v>
          </cell>
        </row>
        <row r="20">
          <cell r="B20">
            <v>80000</v>
          </cell>
        </row>
      </sheetData>
      <sheetData sheetId="1">
        <row r="4">
          <cell r="B4">
            <v>29142971</v>
          </cell>
        </row>
      </sheetData>
      <sheetData sheetId="2">
        <row r="49">
          <cell r="B49">
            <v>2312960</v>
          </cell>
        </row>
        <row r="57">
          <cell r="B57">
            <v>4780970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33417507</v>
          </cell>
        </row>
        <row r="86">
          <cell r="B86">
            <v>33417507</v>
          </cell>
        </row>
        <row r="87">
          <cell r="B87">
            <v>0</v>
          </cell>
        </row>
        <row r="92">
          <cell r="B92">
            <v>7560000</v>
          </cell>
        </row>
        <row r="93">
          <cell r="B93">
            <v>7560000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4913</v>
          </cell>
        </row>
        <row r="20">
          <cell r="B20">
            <v>0</v>
          </cell>
        </row>
        <row r="25">
          <cell r="B25">
            <v>10000</v>
          </cell>
        </row>
        <row r="26">
          <cell r="B26">
            <v>10000</v>
          </cell>
        </row>
        <row r="27">
          <cell r="B27">
            <v>0</v>
          </cell>
        </row>
        <row r="32">
          <cell r="B32">
            <v>12548</v>
          </cell>
        </row>
      </sheetData>
      <sheetData sheetId="4">
        <row r="18">
          <cell r="B18">
            <v>2774.17</v>
          </cell>
        </row>
        <row r="19">
          <cell r="B19">
            <v>2774.17</v>
          </cell>
        </row>
        <row r="20">
          <cell r="B20">
            <v>0</v>
          </cell>
        </row>
        <row r="25">
          <cell r="B25">
            <v>10000</v>
          </cell>
        </row>
        <row r="26">
          <cell r="B26">
            <v>10000</v>
          </cell>
        </row>
        <row r="27">
          <cell r="B27">
            <v>0</v>
          </cell>
        </row>
        <row r="32">
          <cell r="B32">
            <v>6274</v>
          </cell>
        </row>
      </sheetData>
      <sheetData sheetId="5">
        <row r="4">
          <cell r="B4">
            <v>1000000</v>
          </cell>
        </row>
        <row r="5">
          <cell r="B5">
            <v>1000000</v>
          </cell>
        </row>
        <row r="6">
          <cell r="B6">
            <v>0</v>
          </cell>
        </row>
        <row r="11">
          <cell r="B11">
            <v>77958.766499999998</v>
          </cell>
        </row>
      </sheetData>
      <sheetData sheetId="6">
        <row r="4">
          <cell r="B4">
            <v>75000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7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8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9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10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1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2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4"/>
      <sheetData sheetId="15">
        <row r="4">
          <cell r="D4">
            <v>15000</v>
          </cell>
          <cell r="E4">
            <v>0</v>
          </cell>
        </row>
      </sheetData>
      <sheetData sheetId="16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8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  <cell r="E25">
            <v>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15538400</v>
          </cell>
        </row>
        <row r="39">
          <cell r="B39">
            <v>3783840</v>
          </cell>
        </row>
        <row r="40">
          <cell r="B40">
            <v>3783840</v>
          </cell>
        </row>
      </sheetData>
      <sheetData sheetId="19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20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5523848.3799999999</v>
          </cell>
          <cell r="E32">
            <v>0</v>
          </cell>
        </row>
      </sheetData>
      <sheetData sheetId="21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2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3">
        <row r="4">
          <cell r="B4">
            <v>0</v>
          </cell>
        </row>
      </sheetData>
      <sheetData sheetId="24">
        <row r="4">
          <cell r="B4">
            <v>4274000</v>
          </cell>
        </row>
      </sheetData>
      <sheetData sheetId="25">
        <row r="4">
          <cell r="B4">
            <v>200000</v>
          </cell>
        </row>
      </sheetData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103000</v>
          </cell>
        </row>
        <row r="88">
          <cell r="B88">
            <v>450000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750000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B60">
            <v>1950000</v>
          </cell>
        </row>
        <row r="61">
          <cell r="B61">
            <v>750000</v>
          </cell>
        </row>
        <row r="62">
          <cell r="B62">
            <v>200000</v>
          </cell>
        </row>
        <row r="63">
          <cell r="B63">
            <v>660000</v>
          </cell>
        </row>
        <row r="64">
          <cell r="B64">
            <v>340000</v>
          </cell>
        </row>
        <row r="69">
          <cell r="B69">
            <v>450000</v>
          </cell>
        </row>
        <row r="70">
          <cell r="B70">
            <v>420000</v>
          </cell>
        </row>
        <row r="71">
          <cell r="B71">
            <v>30000</v>
          </cell>
        </row>
        <row r="76">
          <cell r="D76">
            <v>3100000</v>
          </cell>
          <cell r="E76">
            <v>0</v>
          </cell>
        </row>
        <row r="77">
          <cell r="B77">
            <v>2450000</v>
          </cell>
        </row>
        <row r="78">
          <cell r="B78">
            <v>650000</v>
          </cell>
        </row>
        <row r="83">
          <cell r="D83">
            <v>30000</v>
          </cell>
          <cell r="E83">
            <v>0</v>
          </cell>
        </row>
        <row r="90">
          <cell r="D90">
            <v>150000</v>
          </cell>
          <cell r="E90">
            <v>0</v>
          </cell>
        </row>
        <row r="97">
          <cell r="B97">
            <v>0</v>
          </cell>
        </row>
        <row r="104">
          <cell r="D104">
            <v>100000</v>
          </cell>
          <cell r="E104">
            <v>0</v>
          </cell>
        </row>
        <row r="111">
          <cell r="D111">
            <v>30000</v>
          </cell>
          <cell r="E111">
            <v>0</v>
          </cell>
        </row>
        <row r="118">
          <cell r="D118">
            <v>100000</v>
          </cell>
          <cell r="E118">
            <v>0</v>
          </cell>
        </row>
        <row r="125">
          <cell r="B125">
            <v>0</v>
          </cell>
        </row>
        <row r="132">
          <cell r="B132">
            <v>0</v>
          </cell>
        </row>
        <row r="139">
          <cell r="B139">
            <v>800000</v>
          </cell>
        </row>
        <row r="140">
          <cell r="B140">
            <v>400000</v>
          </cell>
        </row>
        <row r="146">
          <cell r="B146">
            <v>0</v>
          </cell>
        </row>
        <row r="147">
          <cell r="B147">
            <v>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</row>
        <row r="60">
          <cell r="B60">
            <v>60000</v>
          </cell>
        </row>
        <row r="61">
          <cell r="B61">
            <v>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</sheetData>
      <sheetData sheetId="5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65000</v>
          </cell>
        </row>
        <row r="29">
          <cell r="B29">
            <v>40000</v>
          </cell>
        </row>
        <row r="30">
          <cell r="B30">
            <v>25000</v>
          </cell>
        </row>
        <row r="35">
          <cell r="B35">
            <v>210000</v>
          </cell>
        </row>
        <row r="49">
          <cell r="B49">
            <v>80000</v>
          </cell>
        </row>
        <row r="70">
          <cell r="B70">
            <v>120000</v>
          </cell>
        </row>
        <row r="77">
          <cell r="B77">
            <v>160000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120000</v>
          </cell>
        </row>
        <row r="86">
          <cell r="B86">
            <v>120000</v>
          </cell>
        </row>
        <row r="87">
          <cell r="B87">
            <v>0</v>
          </cell>
        </row>
        <row r="92">
          <cell r="B92">
            <v>200000</v>
          </cell>
        </row>
        <row r="93">
          <cell r="B93">
            <v>0</v>
          </cell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280000</v>
          </cell>
        </row>
        <row r="11">
          <cell r="B11">
            <v>90000</v>
          </cell>
        </row>
        <row r="12">
          <cell r="B12">
            <v>70000</v>
          </cell>
        </row>
        <row r="13">
          <cell r="B13">
            <v>20000</v>
          </cell>
        </row>
        <row r="19">
          <cell r="B19">
            <v>50000</v>
          </cell>
        </row>
        <row r="20">
          <cell r="B20">
            <v>50000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57000</v>
          </cell>
        </row>
        <row r="55">
          <cell r="B55">
            <v>42000</v>
          </cell>
        </row>
        <row r="56">
          <cell r="B56">
            <v>15000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40000</v>
          </cell>
        </row>
        <row r="11">
          <cell r="B11">
            <v>500000</v>
          </cell>
        </row>
        <row r="12">
          <cell r="B12">
            <v>500000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1060000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1">
        <row r="4">
          <cell r="B4">
            <v>95000</v>
          </cell>
        </row>
        <row r="11">
          <cell r="B11">
            <v>265000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65000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</sheetData>
      <sheetData sheetId="12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20000</v>
          </cell>
        </row>
        <row r="26">
          <cell r="B26">
            <v>20000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1100000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4179126</v>
          </cell>
        </row>
        <row r="47">
          <cell r="B47">
            <v>2500000</v>
          </cell>
        </row>
        <row r="48">
          <cell r="B48">
            <v>995000</v>
          </cell>
        </row>
        <row r="49">
          <cell r="B49">
            <v>21670</v>
          </cell>
        </row>
        <row r="50">
          <cell r="B50">
            <v>662456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  <row r="118">
          <cell r="B118">
            <v>600000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800000</v>
          </cell>
        </row>
        <row r="19">
          <cell r="B19">
            <v>400000</v>
          </cell>
        </row>
        <row r="20">
          <cell r="B20">
            <v>400000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2690000</v>
          </cell>
          <cell r="E32">
            <v>0</v>
          </cell>
        </row>
        <row r="33">
          <cell r="B33">
            <v>430000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1050000</v>
          </cell>
        </row>
        <row r="38">
          <cell r="B38">
            <v>900000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150000</v>
          </cell>
        </row>
        <row r="26">
          <cell r="B26">
            <v>150000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  <row r="11">
          <cell r="B11">
            <v>3320000</v>
          </cell>
        </row>
        <row r="12">
          <cell r="B12">
            <v>300000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2370000</v>
          </cell>
        </row>
        <row r="16">
          <cell r="B16">
            <v>200000</v>
          </cell>
        </row>
        <row r="17">
          <cell r="B17">
            <v>300000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30000</v>
          </cell>
        </row>
        <row r="5">
          <cell r="B5">
            <v>30000</v>
          </cell>
        </row>
        <row r="12">
          <cell r="B12">
            <v>320000</v>
          </cell>
        </row>
        <row r="13">
          <cell r="B13">
            <v>100000</v>
          </cell>
        </row>
        <row r="14">
          <cell r="B14">
            <v>220000</v>
          </cell>
        </row>
        <row r="19">
          <cell r="B19">
            <v>60000</v>
          </cell>
        </row>
        <row r="26">
          <cell r="B26">
            <v>220000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</sheetData>
      <sheetData sheetId="8"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1500000</v>
          </cell>
        </row>
        <row r="19">
          <cell r="B19">
            <v>1500000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500000</v>
          </cell>
          <cell r="E21">
            <v>0</v>
          </cell>
        </row>
        <row r="22">
          <cell r="B22">
            <v>200000</v>
          </cell>
        </row>
        <row r="23">
          <cell r="B23">
            <v>300000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350000</v>
          </cell>
          <cell r="E14">
            <v>30000</v>
          </cell>
        </row>
        <row r="15">
          <cell r="B15">
            <v>250000</v>
          </cell>
        </row>
        <row r="16">
          <cell r="B16">
            <v>130000</v>
          </cell>
        </row>
        <row r="21">
          <cell r="D21">
            <v>354000</v>
          </cell>
          <cell r="E21">
            <v>200000</v>
          </cell>
        </row>
        <row r="22">
          <cell r="B22">
            <v>400000</v>
          </cell>
        </row>
        <row r="23">
          <cell r="B23">
            <v>154000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95000</v>
          </cell>
          <cell r="E11">
            <v>0</v>
          </cell>
        </row>
        <row r="12">
          <cell r="B12">
            <v>55000</v>
          </cell>
        </row>
        <row r="13">
          <cell r="B13">
            <v>40000</v>
          </cell>
        </row>
      </sheetData>
      <sheetData sheetId="17">
        <row r="46">
          <cell r="B46">
            <v>4145255</v>
          </cell>
        </row>
        <row r="47">
          <cell r="B47">
            <v>0</v>
          </cell>
        </row>
        <row r="48">
          <cell r="B48">
            <v>4145255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160000</v>
          </cell>
          <cell r="E11">
            <v>0</v>
          </cell>
        </row>
        <row r="12">
          <cell r="B12">
            <v>80000</v>
          </cell>
        </row>
        <row r="13">
          <cell r="B13">
            <v>80000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200000</v>
          </cell>
          <cell r="E11">
            <v>20000</v>
          </cell>
        </row>
        <row r="12">
          <cell r="B12">
            <v>170000</v>
          </cell>
        </row>
        <row r="13">
          <cell r="B13">
            <v>50000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430000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  <row r="14">
          <cell r="B14">
            <v>290000</v>
          </cell>
        </row>
      </sheetData>
      <sheetData sheetId="21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625000</v>
          </cell>
          <cell r="E11">
            <v>30000</v>
          </cell>
        </row>
        <row r="12">
          <cell r="B12">
            <v>130000</v>
          </cell>
        </row>
        <row r="13">
          <cell r="B13">
            <v>200000</v>
          </cell>
        </row>
        <row r="14">
          <cell r="B14">
            <v>155000</v>
          </cell>
        </row>
        <row r="15">
          <cell r="B15">
            <v>20000</v>
          </cell>
        </row>
        <row r="16">
          <cell r="B16">
            <v>150000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1930000</v>
          </cell>
          <cell r="E11">
            <v>0</v>
          </cell>
        </row>
        <row r="12">
          <cell r="B12">
            <v>790000</v>
          </cell>
        </row>
        <row r="13">
          <cell r="B13">
            <v>1140000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20"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7">
          <cell r="B37">
            <v>592000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6">
        <row r="4">
          <cell r="B4">
            <v>100000</v>
          </cell>
        </row>
        <row r="5">
          <cell r="B5">
            <v>100000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200000</v>
          </cell>
          <cell r="E30">
            <v>0</v>
          </cell>
        </row>
        <row r="31">
          <cell r="B31">
            <v>100000</v>
          </cell>
        </row>
        <row r="33">
          <cell r="B33">
            <v>100000</v>
          </cell>
        </row>
        <row r="39">
          <cell r="D39">
            <v>17125108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700000</v>
          </cell>
        </row>
        <row r="49">
          <cell r="B49">
            <v>2015682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1116212</v>
          </cell>
        </row>
        <row r="54">
          <cell r="B54">
            <v>711480</v>
          </cell>
        </row>
        <row r="55">
          <cell r="B55">
            <v>4646548</v>
          </cell>
        </row>
        <row r="56">
          <cell r="B56">
            <v>1852222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1778964</v>
          </cell>
        </row>
        <row r="61">
          <cell r="B61">
            <v>500000</v>
          </cell>
        </row>
        <row r="62">
          <cell r="B62">
            <v>0</v>
          </cell>
        </row>
        <row r="63">
          <cell r="B63">
            <v>604000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  <row r="20">
          <cell r="D20">
            <v>0</v>
          </cell>
          <cell r="E20">
            <v>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29">
        <row r="4">
          <cell r="D4">
            <v>50000</v>
          </cell>
          <cell r="E4">
            <v>300000</v>
          </cell>
        </row>
        <row r="5">
          <cell r="B5">
            <v>50000</v>
          </cell>
        </row>
        <row r="6">
          <cell r="B6">
            <v>300000</v>
          </cell>
        </row>
        <row r="11">
          <cell r="D11">
            <v>890000</v>
          </cell>
          <cell r="E11">
            <v>0</v>
          </cell>
        </row>
        <row r="12">
          <cell r="B12">
            <v>0</v>
          </cell>
        </row>
        <row r="13">
          <cell r="B13">
            <v>890000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v.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3139000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2900000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290000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1100000</v>
          </cell>
          <cell r="E3">
            <v>0</v>
          </cell>
        </row>
        <row r="4">
          <cell r="B4">
            <v>200000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500000</v>
          </cell>
        </row>
        <row r="8">
          <cell r="B8">
            <v>100000</v>
          </cell>
        </row>
      </sheetData>
      <sheetData sheetId="6">
        <row r="4">
          <cell r="B4">
            <v>463000</v>
          </cell>
        </row>
        <row r="5">
          <cell r="B5">
            <v>2950000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400000</v>
          </cell>
        </row>
        <row r="59">
          <cell r="B59">
            <v>0</v>
          </cell>
        </row>
        <row r="60">
          <cell r="B60">
            <v>1350000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100000</v>
          </cell>
        </row>
        <row r="107">
          <cell r="B107">
            <v>0</v>
          </cell>
        </row>
        <row r="108">
          <cell r="B108">
            <v>100000</v>
          </cell>
        </row>
        <row r="120">
          <cell r="B120">
            <v>0</v>
          </cell>
        </row>
        <row r="121">
          <cell r="B121">
            <v>50000</v>
          </cell>
        </row>
        <row r="133">
          <cell r="B133">
            <v>0</v>
          </cell>
        </row>
        <row r="134">
          <cell r="B134">
            <v>150000</v>
          </cell>
        </row>
        <row r="146">
          <cell r="B146">
            <v>20000</v>
          </cell>
        </row>
        <row r="147">
          <cell r="B147">
            <v>0</v>
          </cell>
        </row>
        <row r="161">
          <cell r="B161">
            <v>0</v>
          </cell>
        </row>
        <row r="162">
          <cell r="B162">
            <v>0</v>
          </cell>
        </row>
        <row r="179">
          <cell r="B179">
            <v>0</v>
          </cell>
        </row>
        <row r="180">
          <cell r="B180">
            <v>0</v>
          </cell>
        </row>
        <row r="189">
          <cell r="B189">
            <v>0</v>
          </cell>
        </row>
        <row r="190">
          <cell r="B190">
            <v>100000</v>
          </cell>
        </row>
        <row r="199">
          <cell r="B199">
            <v>0</v>
          </cell>
        </row>
        <row r="200">
          <cell r="B200">
            <v>0</v>
          </cell>
        </row>
        <row r="209">
          <cell r="B209">
            <v>0</v>
          </cell>
        </row>
        <row r="210">
          <cell r="B210">
            <v>0</v>
          </cell>
        </row>
        <row r="223">
          <cell r="B223">
            <v>0</v>
          </cell>
        </row>
        <row r="224">
          <cell r="B224">
            <v>0</v>
          </cell>
        </row>
        <row r="234">
          <cell r="B234">
            <v>0</v>
          </cell>
        </row>
        <row r="235">
          <cell r="B235">
            <v>0</v>
          </cell>
        </row>
        <row r="254">
          <cell r="B254">
            <v>0</v>
          </cell>
        </row>
        <row r="255">
          <cell r="B255">
            <v>0</v>
          </cell>
        </row>
        <row r="264">
          <cell r="B264">
            <v>0</v>
          </cell>
        </row>
        <row r="265">
          <cell r="B265">
            <v>300000</v>
          </cell>
        </row>
        <row r="274">
          <cell r="B274">
            <v>0</v>
          </cell>
        </row>
        <row r="275">
          <cell r="B275">
            <v>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0</v>
          </cell>
        </row>
        <row r="298">
          <cell r="B298">
            <v>400000</v>
          </cell>
        </row>
        <row r="304">
          <cell r="B304">
            <v>363000</v>
          </cell>
        </row>
        <row r="305">
          <cell r="B305">
            <v>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1900000</v>
          </cell>
        </row>
        <row r="20">
          <cell r="B20">
            <v>6158080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</sheetData>
      <sheetData sheetId="10">
        <row r="4">
          <cell r="B4">
            <v>4500000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>
        <row r="4">
          <cell r="B4">
            <v>4400000</v>
          </cell>
        </row>
        <row r="14">
          <cell r="B14">
            <v>4400000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130000</v>
          </cell>
        </row>
        <row r="5">
          <cell r="B5">
            <v>300000</v>
          </cell>
        </row>
        <row r="18">
          <cell r="C18">
            <v>0</v>
          </cell>
          <cell r="D18">
            <v>130000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19">
        <row r="4">
          <cell r="B4">
            <v>100000</v>
          </cell>
        </row>
      </sheetData>
      <sheetData sheetId="20">
        <row r="4">
          <cell r="B4">
            <v>44005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10225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350000</v>
          </cell>
        </row>
        <row r="5">
          <cell r="B5">
            <v>0</v>
          </cell>
        </row>
      </sheetData>
      <sheetData sheetId="23">
        <row r="4">
          <cell r="D4">
            <v>5500000</v>
          </cell>
          <cell r="E4">
            <v>0</v>
          </cell>
        </row>
        <row r="6">
          <cell r="B6">
            <v>5500000</v>
          </cell>
        </row>
        <row r="7">
          <cell r="B7">
            <v>0</v>
          </cell>
        </row>
      </sheetData>
      <sheetData sheetId="24">
        <row r="4">
          <cell r="B4">
            <v>8563940</v>
          </cell>
        </row>
        <row r="5">
          <cell r="B5">
            <v>3500000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4">
          <cell r="B54">
            <v>2000000</v>
          </cell>
        </row>
        <row r="64">
          <cell r="C64">
            <v>0</v>
          </cell>
          <cell r="D64">
            <v>8513940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5">
        <row r="4">
          <cell r="D4">
            <v>500000</v>
          </cell>
          <cell r="E4">
            <v>0</v>
          </cell>
        </row>
        <row r="6">
          <cell r="B6">
            <v>500000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Inženýrské sítě 3633"/>
      <sheetName val="Krizové situace 5213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750000</v>
          </cell>
        </row>
        <row r="20">
          <cell r="B20">
            <v>100000</v>
          </cell>
        </row>
        <row r="22">
          <cell r="B22">
            <v>100000</v>
          </cell>
        </row>
        <row r="23">
          <cell r="B23">
            <v>0</v>
          </cell>
        </row>
        <row r="29">
          <cell r="B29">
            <v>913550</v>
          </cell>
        </row>
        <row r="31">
          <cell r="B31">
            <v>250000</v>
          </cell>
        </row>
        <row r="32">
          <cell r="B32">
            <v>663550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</sheetData>
      <sheetData sheetId="3">
        <row r="20">
          <cell r="D20">
            <v>50000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50000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34707</v>
          </cell>
        </row>
        <row r="14">
          <cell r="B14">
            <v>28207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4">
          <cell r="D4">
            <v>200000</v>
          </cell>
          <cell r="E4">
            <v>0</v>
          </cell>
        </row>
        <row r="6">
          <cell r="B6">
            <v>150000</v>
          </cell>
        </row>
        <row r="7">
          <cell r="B7">
            <v>50000</v>
          </cell>
        </row>
        <row r="12">
          <cell r="D12">
            <v>400000</v>
          </cell>
          <cell r="E12">
            <v>1550000</v>
          </cell>
        </row>
        <row r="14">
          <cell r="B14">
            <v>580000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150000</v>
          </cell>
        </row>
        <row r="26">
          <cell r="B26">
            <v>150000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>
        <row r="4">
          <cell r="B4">
            <v>0</v>
          </cell>
        </row>
        <row r="11">
          <cell r="B11">
            <v>31793</v>
          </cell>
        </row>
        <row r="12">
          <cell r="B12">
            <v>31793</v>
          </cell>
        </row>
        <row r="13">
          <cell r="B13">
            <v>0</v>
          </cell>
        </row>
      </sheetData>
      <sheetData sheetId="14">
        <row r="4">
          <cell r="B4">
            <v>60000</v>
          </cell>
        </row>
        <row r="5">
          <cell r="B5">
            <v>60000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236"/>
  <sheetViews>
    <sheetView tabSelected="1" topLeftCell="A4" zoomScale="81" zoomScaleNormal="81" workbookViewId="0">
      <pane xSplit="6" ySplit="3" topLeftCell="G220" activePane="bottomRight" state="frozen"/>
      <selection activeCell="A4" sqref="A4"/>
      <selection pane="topRight" activeCell="G4" sqref="G4"/>
      <selection pane="bottomLeft" activeCell="A7" sqref="A7"/>
      <selection pane="bottomRight" activeCell="B1" sqref="B1"/>
    </sheetView>
  </sheetViews>
  <sheetFormatPr defaultColWidth="9" defaultRowHeight="15.75" outlineLevelRow="1" outlineLevelCol="1" x14ac:dyDescent="0.25"/>
  <cols>
    <col min="1" max="1" width="11.5703125" style="320" customWidth="1"/>
    <col min="2" max="2" width="63.85546875" style="320" customWidth="1"/>
    <col min="3" max="3" width="6" style="321" bestFit="1" customWidth="1"/>
    <col min="4" max="4" width="17.5703125" style="322" hidden="1" customWidth="1"/>
    <col min="5" max="6" width="15" style="322" hidden="1" customWidth="1"/>
    <col min="7" max="8" width="15.42578125" style="322" bestFit="1" customWidth="1"/>
    <col min="9" max="9" width="15" style="323" bestFit="1" customWidth="1" outlineLevel="1"/>
    <col min="10" max="10" width="11.5703125" style="324" hidden="1" customWidth="1" outlineLevel="1"/>
    <col min="11" max="11" width="10" style="325" hidden="1" customWidth="1" outlineLevel="1"/>
    <col min="12" max="12" width="58.28515625" style="1333" customWidth="1" collapsed="1"/>
    <col min="13" max="13" width="12.28515625" style="274" bestFit="1" customWidth="1"/>
    <col min="14" max="16384" width="9" style="274"/>
  </cols>
  <sheetData>
    <row r="1" spans="1:12" x14ac:dyDescent="0.25">
      <c r="A1" s="268"/>
      <c r="B1" s="268"/>
      <c r="C1" s="269"/>
      <c r="D1" s="270"/>
      <c r="E1" s="270"/>
      <c r="F1" s="270"/>
      <c r="G1" s="270"/>
      <c r="H1" s="270"/>
      <c r="I1" s="271"/>
      <c r="J1" s="272"/>
      <c r="K1" s="273"/>
      <c r="L1" s="1328"/>
    </row>
    <row r="2" spans="1:12" ht="16.5" x14ac:dyDescent="0.3">
      <c r="A2" s="1678" t="s">
        <v>2162</v>
      </c>
      <c r="B2" s="1371"/>
      <c r="C2" s="1372"/>
      <c r="D2" s="1373"/>
      <c r="E2" s="1373"/>
      <c r="F2" s="1373"/>
      <c r="G2" s="1373"/>
      <c r="H2" s="1373"/>
      <c r="I2" s="1374"/>
      <c r="J2" s="1375"/>
      <c r="K2" s="1376"/>
      <c r="L2" s="1377"/>
    </row>
    <row r="3" spans="1:12" x14ac:dyDescent="0.25">
      <c r="A3" s="1378"/>
      <c r="B3" s="1378"/>
      <c r="C3" s="1372"/>
      <c r="D3" s="1379"/>
      <c r="E3" s="1379"/>
      <c r="F3" s="1379"/>
      <c r="G3" s="1379"/>
      <c r="H3" s="1379"/>
      <c r="I3" s="1380"/>
      <c r="J3" s="1381"/>
      <c r="K3" s="1382"/>
      <c r="L3" s="1383"/>
    </row>
    <row r="4" spans="1:12" s="280" customFormat="1" ht="50.25" thickBot="1" x14ac:dyDescent="0.35">
      <c r="A4" s="1679" t="s">
        <v>219</v>
      </c>
      <c r="B4" s="1679"/>
      <c r="C4" s="1680" t="s">
        <v>63</v>
      </c>
      <c r="D4" s="1681" t="s">
        <v>2159</v>
      </c>
      <c r="E4" s="1681" t="s">
        <v>1985</v>
      </c>
      <c r="F4" s="1681" t="s">
        <v>2495</v>
      </c>
      <c r="G4" s="1681" t="s">
        <v>2566</v>
      </c>
      <c r="H4" s="1681" t="s">
        <v>2896</v>
      </c>
      <c r="I4" s="1682" t="s">
        <v>5</v>
      </c>
      <c r="J4" s="1683" t="s">
        <v>673</v>
      </c>
      <c r="K4" s="1684" t="s">
        <v>674</v>
      </c>
      <c r="L4" s="1685" t="s">
        <v>547</v>
      </c>
    </row>
    <row r="5" spans="1:12" ht="11.65" customHeight="1" thickBot="1" x14ac:dyDescent="0.3">
      <c r="A5" s="109"/>
      <c r="B5" s="109"/>
      <c r="C5" s="114"/>
      <c r="D5" s="113"/>
      <c r="E5" s="113"/>
      <c r="F5" s="113"/>
      <c r="G5" s="113"/>
      <c r="H5" s="113"/>
      <c r="I5" s="1368">
        <f>+I7+I8+I9+I10+I11+I12+I13</f>
        <v>-4281112</v>
      </c>
      <c r="J5" s="277"/>
      <c r="K5" s="827"/>
      <c r="L5" s="1329"/>
    </row>
    <row r="6" spans="1:12" s="280" customFormat="1" ht="15" customHeight="1" thickBot="1" x14ac:dyDescent="0.35">
      <c r="A6" s="1686" t="s">
        <v>220</v>
      </c>
      <c r="B6" s="1687" t="s">
        <v>221</v>
      </c>
      <c r="C6" s="1688"/>
      <c r="D6" s="1689">
        <v>176538157</v>
      </c>
      <c r="E6" s="1689">
        <v>189704537</v>
      </c>
      <c r="F6" s="1689">
        <v>198704537</v>
      </c>
      <c r="G6" s="1689">
        <v>206828496</v>
      </c>
      <c r="H6" s="1690">
        <f>SUM(H7:H28)</f>
        <v>202828784</v>
      </c>
      <c r="I6" s="1691">
        <f>+H6-G6</f>
        <v>-3999712</v>
      </c>
      <c r="J6" s="885"/>
      <c r="K6" s="1692"/>
      <c r="L6" s="886"/>
    </row>
    <row r="7" spans="1:12" s="286" customFormat="1" ht="18" customHeight="1" outlineLevel="1" thickTop="1" x14ac:dyDescent="0.25">
      <c r="A7" s="890"/>
      <c r="B7" s="1047" t="s">
        <v>1148</v>
      </c>
      <c r="C7" s="1038">
        <v>1111</v>
      </c>
      <c r="D7" s="365">
        <v>24554614</v>
      </c>
      <c r="E7" s="365">
        <v>24554614</v>
      </c>
      <c r="F7" s="365">
        <v>27254614</v>
      </c>
      <c r="G7" s="365">
        <v>27254614</v>
      </c>
      <c r="H7" s="837">
        <f>+'Příjmy kapitol celkem'!I7</f>
        <v>27863123</v>
      </c>
      <c r="I7" s="1368">
        <f t="shared" ref="I7:I71" si="0">+H7-G7</f>
        <v>608509</v>
      </c>
      <c r="J7" s="284"/>
      <c r="K7" s="284"/>
      <c r="L7" s="1326"/>
    </row>
    <row r="8" spans="1:12" s="286" customFormat="1" ht="18" customHeight="1" outlineLevel="1" x14ac:dyDescent="0.25">
      <c r="A8" s="890"/>
      <c r="B8" s="1042" t="s">
        <v>1150</v>
      </c>
      <c r="C8" s="443">
        <v>1112</v>
      </c>
      <c r="D8" s="371">
        <v>1797180</v>
      </c>
      <c r="E8" s="371">
        <v>1797180</v>
      </c>
      <c r="F8" s="371">
        <v>1797180</v>
      </c>
      <c r="G8" s="371">
        <v>1797180</v>
      </c>
      <c r="H8" s="439">
        <f>+'Příjmy kapitol celkem'!I8</f>
        <v>1951224</v>
      </c>
      <c r="I8" s="1368">
        <f t="shared" si="0"/>
        <v>154044</v>
      </c>
      <c r="J8" s="284"/>
      <c r="K8" s="284"/>
      <c r="L8" s="1326"/>
    </row>
    <row r="9" spans="1:12" s="286" customFormat="1" ht="18" customHeight="1" outlineLevel="1" x14ac:dyDescent="0.25">
      <c r="A9" s="890"/>
      <c r="B9" s="1042" t="s">
        <v>1149</v>
      </c>
      <c r="C9" s="443">
        <v>1113</v>
      </c>
      <c r="D9" s="371">
        <v>4775364</v>
      </c>
      <c r="E9" s="371">
        <v>4775364</v>
      </c>
      <c r="F9" s="371">
        <v>4775364</v>
      </c>
      <c r="G9" s="371">
        <v>4775364</v>
      </c>
      <c r="H9" s="439">
        <f>+'Příjmy kapitol celkem'!I9</f>
        <v>4995791</v>
      </c>
      <c r="I9" s="1368">
        <f t="shared" si="0"/>
        <v>220427</v>
      </c>
      <c r="J9" s="284"/>
      <c r="K9" s="284"/>
      <c r="L9" s="1326"/>
    </row>
    <row r="10" spans="1:12" s="286" customFormat="1" ht="18" customHeight="1" outlineLevel="1" x14ac:dyDescent="0.25">
      <c r="A10" s="890"/>
      <c r="B10" s="1042" t="s">
        <v>1151</v>
      </c>
      <c r="C10" s="443">
        <v>1111</v>
      </c>
      <c r="D10" s="371">
        <v>882547</v>
      </c>
      <c r="E10" s="371">
        <v>882547</v>
      </c>
      <c r="F10" s="371">
        <v>882547</v>
      </c>
      <c r="G10" s="371">
        <v>882547</v>
      </c>
      <c r="H10" s="439">
        <f>+'Příjmy kapitol celkem'!I10</f>
        <v>949964</v>
      </c>
      <c r="I10" s="1368">
        <f t="shared" si="0"/>
        <v>67417</v>
      </c>
      <c r="J10" s="284"/>
      <c r="K10" s="284"/>
      <c r="L10" s="1326"/>
    </row>
    <row r="11" spans="1:12" s="286" customFormat="1" ht="18" customHeight="1" outlineLevel="1" x14ac:dyDescent="0.25">
      <c r="A11" s="890"/>
      <c r="B11" s="1042" t="s">
        <v>2428</v>
      </c>
      <c r="C11" s="443">
        <v>1122</v>
      </c>
      <c r="D11" s="371">
        <v>0</v>
      </c>
      <c r="E11" s="371">
        <v>0</v>
      </c>
      <c r="F11" s="371">
        <v>0</v>
      </c>
      <c r="G11" s="371">
        <v>1280970</v>
      </c>
      <c r="H11" s="439">
        <f>+'Příjmy kapitol celkem'!I11</f>
        <v>1280970</v>
      </c>
      <c r="I11" s="1368">
        <f t="shared" si="0"/>
        <v>0</v>
      </c>
      <c r="J11" s="284"/>
      <c r="K11" s="284"/>
      <c r="L11" s="1326"/>
    </row>
    <row r="12" spans="1:12" s="286" customFormat="1" ht="18" customHeight="1" outlineLevel="1" x14ac:dyDescent="0.25">
      <c r="A12" s="890"/>
      <c r="B12" s="1042" t="s">
        <v>15</v>
      </c>
      <c r="C12" s="443">
        <v>1121</v>
      </c>
      <c r="D12" s="371">
        <v>39281220</v>
      </c>
      <c r="E12" s="371">
        <v>39281220</v>
      </c>
      <c r="F12" s="371">
        <v>41681220</v>
      </c>
      <c r="G12" s="371">
        <v>41681220</v>
      </c>
      <c r="H12" s="439">
        <f>+'Příjmy kapitol celkem'!I12</f>
        <v>39502801</v>
      </c>
      <c r="I12" s="1368">
        <f t="shared" si="0"/>
        <v>-2178419</v>
      </c>
      <c r="J12" s="284"/>
      <c r="K12" s="284"/>
      <c r="L12" s="1326"/>
    </row>
    <row r="13" spans="1:12" s="286" customFormat="1" ht="18" customHeight="1" outlineLevel="1" x14ac:dyDescent="0.25">
      <c r="A13" s="890"/>
      <c r="B13" s="1042" t="s">
        <v>16</v>
      </c>
      <c r="C13" s="443">
        <v>1211</v>
      </c>
      <c r="D13" s="371">
        <v>76816608</v>
      </c>
      <c r="E13" s="371">
        <v>76816608</v>
      </c>
      <c r="F13" s="371">
        <v>80716608</v>
      </c>
      <c r="G13" s="371">
        <v>80716608</v>
      </c>
      <c r="H13" s="439">
        <f>+'Příjmy kapitol celkem'!I13</f>
        <v>77563518</v>
      </c>
      <c r="I13" s="1368">
        <f t="shared" si="0"/>
        <v>-3153090</v>
      </c>
      <c r="J13" s="284"/>
      <c r="K13" s="284"/>
      <c r="L13" s="1326"/>
    </row>
    <row r="14" spans="1:12" ht="18" customHeight="1" outlineLevel="1" x14ac:dyDescent="0.25">
      <c r="A14" s="891"/>
      <c r="B14" s="1385" t="s">
        <v>1982</v>
      </c>
      <c r="C14" s="1386" t="s">
        <v>17</v>
      </c>
      <c r="D14" s="1387">
        <v>26000</v>
      </c>
      <c r="E14" s="1387">
        <v>26000</v>
      </c>
      <c r="F14" s="1387">
        <v>26000</v>
      </c>
      <c r="G14" s="1387">
        <v>26000</v>
      </c>
      <c r="H14" s="1388">
        <f>+'Příjmy kapitol celkem'!I14</f>
        <v>26000</v>
      </c>
      <c r="I14" s="1368">
        <f t="shared" si="0"/>
        <v>0</v>
      </c>
      <c r="J14" s="284"/>
      <c r="K14" s="285"/>
      <c r="L14" s="289"/>
    </row>
    <row r="15" spans="1:12" s="290" customFormat="1" ht="18" customHeight="1" outlineLevel="1" x14ac:dyDescent="0.25">
      <c r="A15" s="892"/>
      <c r="B15" s="1466" t="s">
        <v>20</v>
      </c>
      <c r="C15" s="1467" t="s">
        <v>19</v>
      </c>
      <c r="D15" s="849">
        <v>7818624</v>
      </c>
      <c r="E15" s="849">
        <v>7818624</v>
      </c>
      <c r="F15" s="849">
        <v>7818624</v>
      </c>
      <c r="G15" s="849">
        <v>7818624</v>
      </c>
      <c r="H15" s="1468">
        <f>+'Příjmy kapitol celkem'!I15</f>
        <v>7818624</v>
      </c>
      <c r="I15" s="1368">
        <f t="shared" si="0"/>
        <v>0</v>
      </c>
      <c r="J15" s="284"/>
      <c r="K15" s="284"/>
      <c r="L15" s="289"/>
    </row>
    <row r="16" spans="1:12" ht="18" customHeight="1" outlineLevel="1" x14ac:dyDescent="0.25">
      <c r="A16" s="891"/>
      <c r="B16" s="1385" t="s">
        <v>21</v>
      </c>
      <c r="C16" s="1386">
        <v>1341</v>
      </c>
      <c r="D16" s="1387">
        <v>260000</v>
      </c>
      <c r="E16" s="1387">
        <v>260000</v>
      </c>
      <c r="F16" s="1387">
        <v>260000</v>
      </c>
      <c r="G16" s="1387">
        <v>385000</v>
      </c>
      <c r="H16" s="1388">
        <f>+'Příjmy kapitol celkem'!I16</f>
        <v>385000</v>
      </c>
      <c r="I16" s="1368">
        <f t="shared" si="0"/>
        <v>0</v>
      </c>
      <c r="J16" s="284"/>
      <c r="K16" s="285"/>
      <c r="L16" s="289"/>
    </row>
    <row r="17" spans="1:12" ht="18" customHeight="1" outlineLevel="1" x14ac:dyDescent="0.25">
      <c r="A17" s="891"/>
      <c r="B17" s="1385" t="s">
        <v>22</v>
      </c>
      <c r="C17" s="1386">
        <v>1343</v>
      </c>
      <c r="D17" s="1387">
        <v>75000</v>
      </c>
      <c r="E17" s="1387">
        <v>75000</v>
      </c>
      <c r="F17" s="1387">
        <v>75000</v>
      </c>
      <c r="G17" s="1387">
        <v>75000</v>
      </c>
      <c r="H17" s="1388">
        <f>+'Příjmy kapitol celkem'!I17</f>
        <v>75000</v>
      </c>
      <c r="I17" s="1368">
        <f t="shared" si="0"/>
        <v>0</v>
      </c>
      <c r="J17" s="284"/>
      <c r="K17" s="285"/>
      <c r="L17" s="289"/>
    </row>
    <row r="18" spans="1:12" ht="18" customHeight="1" outlineLevel="1" x14ac:dyDescent="0.25">
      <c r="A18" s="891"/>
      <c r="B18" s="1385" t="s">
        <v>23</v>
      </c>
      <c r="C18" s="1386">
        <v>1344</v>
      </c>
      <c r="D18" s="1387">
        <v>3000</v>
      </c>
      <c r="E18" s="1387">
        <v>3000</v>
      </c>
      <c r="F18" s="1387">
        <v>3000</v>
      </c>
      <c r="G18" s="1387">
        <v>3000</v>
      </c>
      <c r="H18" s="1388">
        <f>+'Příjmy kapitol celkem'!I18</f>
        <v>3000</v>
      </c>
      <c r="I18" s="1368">
        <f t="shared" si="0"/>
        <v>0</v>
      </c>
      <c r="J18" s="284"/>
      <c r="K18" s="285"/>
      <c r="L18" s="289"/>
    </row>
    <row r="19" spans="1:12" ht="18" customHeight="1" outlineLevel="1" x14ac:dyDescent="0.25">
      <c r="A19" s="891"/>
      <c r="B19" s="1385" t="s">
        <v>24</v>
      </c>
      <c r="C19" s="1386">
        <v>1345</v>
      </c>
      <c r="D19" s="1387">
        <v>20000</v>
      </c>
      <c r="E19" s="1387">
        <v>20000</v>
      </c>
      <c r="F19" s="1387">
        <v>20000</v>
      </c>
      <c r="G19" s="1387">
        <v>20000</v>
      </c>
      <c r="H19" s="1388">
        <f>+'Příjmy kapitol celkem'!I19</f>
        <v>20000</v>
      </c>
      <c r="I19" s="1368">
        <f t="shared" si="0"/>
        <v>0</v>
      </c>
      <c r="J19" s="284"/>
      <c r="K19" s="285"/>
      <c r="L19" s="289"/>
    </row>
    <row r="20" spans="1:12" ht="18" hidden="1" customHeight="1" outlineLevel="1" x14ac:dyDescent="0.25">
      <c r="A20" s="891"/>
      <c r="B20" s="1385" t="s">
        <v>25</v>
      </c>
      <c r="C20" s="1386">
        <v>1347</v>
      </c>
      <c r="D20" s="1387">
        <v>0</v>
      </c>
      <c r="E20" s="1387">
        <v>0</v>
      </c>
      <c r="F20" s="1387">
        <v>0</v>
      </c>
      <c r="G20" s="1387">
        <v>0</v>
      </c>
      <c r="H20" s="1388">
        <f>+'Příjmy kapitol celkem'!I20</f>
        <v>0</v>
      </c>
      <c r="I20" s="1368">
        <f t="shared" si="0"/>
        <v>0</v>
      </c>
      <c r="J20" s="284"/>
      <c r="K20" s="285"/>
      <c r="L20" s="289"/>
    </row>
    <row r="21" spans="1:12" ht="18" customHeight="1" outlineLevel="1" x14ac:dyDescent="0.25">
      <c r="A21" s="891"/>
      <c r="B21" s="1385" t="s">
        <v>2875</v>
      </c>
      <c r="C21" s="1386">
        <v>1386</v>
      </c>
      <c r="D21" s="1387">
        <v>0</v>
      </c>
      <c r="E21" s="1387">
        <v>0</v>
      </c>
      <c r="F21" s="1387">
        <v>0</v>
      </c>
      <c r="G21" s="1387">
        <v>621660</v>
      </c>
      <c r="H21" s="1388">
        <f>+'Příjmy kapitol celkem'!I21</f>
        <v>621660</v>
      </c>
      <c r="I21" s="1368">
        <f t="shared" si="0"/>
        <v>0</v>
      </c>
      <c r="J21" s="284"/>
      <c r="K21" s="285"/>
      <c r="L21" s="289"/>
    </row>
    <row r="22" spans="1:12" ht="18" customHeight="1" outlineLevel="1" x14ac:dyDescent="0.25">
      <c r="A22" s="891"/>
      <c r="B22" s="1385" t="s">
        <v>2874</v>
      </c>
      <c r="C22" s="1386">
        <v>1387</v>
      </c>
      <c r="D22" s="1387">
        <v>0</v>
      </c>
      <c r="E22" s="1387">
        <v>0</v>
      </c>
      <c r="F22" s="1387">
        <v>0</v>
      </c>
      <c r="G22" s="1387">
        <v>500414</v>
      </c>
      <c r="H22" s="1388">
        <f>+'Příjmy kapitol celkem'!I22</f>
        <v>500414</v>
      </c>
      <c r="I22" s="1368">
        <f t="shared" si="0"/>
        <v>0</v>
      </c>
      <c r="J22" s="284"/>
      <c r="K22" s="285"/>
      <c r="L22" s="289"/>
    </row>
    <row r="23" spans="1:12" ht="18" customHeight="1" outlineLevel="1" x14ac:dyDescent="0.25">
      <c r="A23" s="891"/>
      <c r="B23" s="1385" t="s">
        <v>27</v>
      </c>
      <c r="C23" s="1386" t="s">
        <v>26</v>
      </c>
      <c r="D23" s="1387">
        <v>2520000</v>
      </c>
      <c r="E23" s="1387">
        <v>2520000</v>
      </c>
      <c r="F23" s="1387">
        <v>2520000</v>
      </c>
      <c r="G23" s="1387">
        <v>3161200</v>
      </c>
      <c r="H23" s="1388">
        <f>+'Příjmy kapitol celkem'!I23</f>
        <v>3161200</v>
      </c>
      <c r="I23" s="1368">
        <f t="shared" si="0"/>
        <v>0</v>
      </c>
      <c r="J23" s="284"/>
      <c r="K23" s="285"/>
      <c r="L23" s="289"/>
    </row>
    <row r="24" spans="1:12" s="290" customFormat="1" ht="27" outlineLevel="1" x14ac:dyDescent="0.25">
      <c r="A24" s="892"/>
      <c r="B24" s="1389" t="s">
        <v>479</v>
      </c>
      <c r="C24" s="1386" t="s">
        <v>26</v>
      </c>
      <c r="D24" s="1387">
        <v>9398000</v>
      </c>
      <c r="E24" s="1387">
        <v>22448000</v>
      </c>
      <c r="F24" s="1387">
        <v>22448000</v>
      </c>
      <c r="G24" s="1387">
        <v>22448000</v>
      </c>
      <c r="H24" s="1388">
        <f>+'Příjmy kapitol celkem'!I24</f>
        <v>22448000</v>
      </c>
      <c r="I24" s="1368">
        <f t="shared" si="0"/>
        <v>0</v>
      </c>
      <c r="J24" s="284"/>
      <c r="K24" s="284"/>
      <c r="L24" s="1334"/>
    </row>
    <row r="25" spans="1:12" s="290" customFormat="1" outlineLevel="1" x14ac:dyDescent="0.25">
      <c r="A25" s="892"/>
      <c r="B25" s="1385" t="s">
        <v>30</v>
      </c>
      <c r="C25" s="1386" t="s">
        <v>29</v>
      </c>
      <c r="D25" s="1387">
        <v>500000</v>
      </c>
      <c r="E25" s="1387">
        <v>500000</v>
      </c>
      <c r="F25" s="1387">
        <v>500000</v>
      </c>
      <c r="G25" s="1387">
        <v>760000</v>
      </c>
      <c r="H25" s="1388">
        <f>+'Příjmy kapitol celkem'!I27</f>
        <v>900000</v>
      </c>
      <c r="I25" s="1368">
        <f t="shared" si="0"/>
        <v>140000</v>
      </c>
      <c r="J25" s="284"/>
      <c r="K25" s="284"/>
      <c r="L25" s="1334"/>
    </row>
    <row r="26" spans="1:12" s="290" customFormat="1" outlineLevel="1" x14ac:dyDescent="0.25">
      <c r="A26" s="892"/>
      <c r="B26" s="1385" t="s">
        <v>481</v>
      </c>
      <c r="C26" s="1386">
        <v>1385</v>
      </c>
      <c r="D26" s="1387">
        <v>0</v>
      </c>
      <c r="E26" s="1387">
        <v>0</v>
      </c>
      <c r="F26" s="1387">
        <v>0</v>
      </c>
      <c r="G26" s="1387">
        <v>1116295</v>
      </c>
      <c r="H26" s="1388">
        <f>+'Příjmy kapitol celkem'!I25</f>
        <v>1116295</v>
      </c>
      <c r="I26" s="1368">
        <f t="shared" si="0"/>
        <v>0</v>
      </c>
      <c r="J26" s="284"/>
      <c r="K26" s="284"/>
      <c r="L26" s="1334"/>
    </row>
    <row r="27" spans="1:12" ht="18" customHeight="1" outlineLevel="1" x14ac:dyDescent="0.25">
      <c r="A27" s="891"/>
      <c r="B27" s="1385" t="s">
        <v>28</v>
      </c>
      <c r="C27" s="1386">
        <v>1381</v>
      </c>
      <c r="D27" s="1387">
        <v>0</v>
      </c>
      <c r="E27" s="1387">
        <v>0</v>
      </c>
      <c r="F27" s="1387">
        <v>0</v>
      </c>
      <c r="G27" s="1387">
        <v>311000</v>
      </c>
      <c r="H27" s="1388">
        <f>+'Příjmy kapitol celkem'!I26</f>
        <v>311000</v>
      </c>
      <c r="I27" s="1368">
        <f t="shared" si="0"/>
        <v>0</v>
      </c>
      <c r="J27" s="284"/>
      <c r="K27" s="285"/>
      <c r="L27" s="289"/>
    </row>
    <row r="28" spans="1:12" s="290" customFormat="1" ht="18" customHeight="1" outlineLevel="1" x14ac:dyDescent="0.25">
      <c r="A28" s="892"/>
      <c r="B28" s="1042" t="s">
        <v>31</v>
      </c>
      <c r="C28" s="443">
        <v>1511</v>
      </c>
      <c r="D28" s="371">
        <v>7810000</v>
      </c>
      <c r="E28" s="371">
        <v>7926380</v>
      </c>
      <c r="F28" s="371">
        <v>7926380</v>
      </c>
      <c r="G28" s="371">
        <v>11193800</v>
      </c>
      <c r="H28" s="439">
        <f>+'Příjmy kapitol celkem'!I28</f>
        <v>11335200</v>
      </c>
      <c r="I28" s="1368">
        <f t="shared" si="0"/>
        <v>141400</v>
      </c>
      <c r="J28" s="284"/>
      <c r="K28" s="284"/>
      <c r="L28" s="289"/>
    </row>
    <row r="29" spans="1:12" ht="13.5" customHeight="1" x14ac:dyDescent="0.25">
      <c r="A29" s="891"/>
      <c r="B29" s="1039"/>
      <c r="C29" s="1035"/>
      <c r="D29" s="1171"/>
      <c r="E29" s="1171"/>
      <c r="F29" s="1171"/>
      <c r="G29" s="1171"/>
      <c r="H29" s="1036"/>
      <c r="I29" s="1368">
        <f t="shared" si="0"/>
        <v>0</v>
      </c>
      <c r="J29" s="284"/>
      <c r="K29" s="285"/>
      <c r="L29" s="289"/>
    </row>
    <row r="30" spans="1:12" s="280" customFormat="1" ht="17.25" thickBot="1" x14ac:dyDescent="0.35">
      <c r="A30" s="1693" t="s">
        <v>222</v>
      </c>
      <c r="B30" s="1694" t="s">
        <v>223</v>
      </c>
      <c r="C30" s="1695"/>
      <c r="D30" s="1696">
        <v>28300162</v>
      </c>
      <c r="E30" s="1696">
        <v>28703333</v>
      </c>
      <c r="F30" s="1696">
        <v>28703333</v>
      </c>
      <c r="G30" s="1696">
        <v>31870101</v>
      </c>
      <c r="H30" s="1697">
        <f>SUM(H31:H72)</f>
        <v>32235801</v>
      </c>
      <c r="I30" s="1698">
        <f t="shared" si="0"/>
        <v>365700</v>
      </c>
      <c r="J30" s="1699"/>
      <c r="K30" s="1700"/>
      <c r="L30" s="1701"/>
    </row>
    <row r="31" spans="1:12" ht="16.5" customHeight="1" outlineLevel="1" thickTop="1" x14ac:dyDescent="0.25">
      <c r="A31" s="891"/>
      <c r="B31" s="1044" t="s">
        <v>33</v>
      </c>
      <c r="C31" s="888" t="s">
        <v>32</v>
      </c>
      <c r="D31" s="1172">
        <v>0</v>
      </c>
      <c r="E31" s="1172">
        <v>0</v>
      </c>
      <c r="F31" s="1172">
        <v>0</v>
      </c>
      <c r="G31" s="1172">
        <v>0</v>
      </c>
      <c r="H31" s="895">
        <f>'Příjmy kapitol celkem'!I29</f>
        <v>5000</v>
      </c>
      <c r="I31" s="1368">
        <f t="shared" si="0"/>
        <v>5000</v>
      </c>
      <c r="J31" s="284"/>
      <c r="K31" s="285"/>
      <c r="L31" s="289"/>
    </row>
    <row r="32" spans="1:12" ht="16.5" customHeight="1" outlineLevel="1" x14ac:dyDescent="0.25">
      <c r="A32" s="891"/>
      <c r="B32" s="887" t="s">
        <v>2873</v>
      </c>
      <c r="C32" s="888">
        <v>2322</v>
      </c>
      <c r="D32" s="1172"/>
      <c r="E32" s="1172"/>
      <c r="F32" s="1172"/>
      <c r="G32" s="1172">
        <v>59700</v>
      </c>
      <c r="H32" s="895">
        <f>+'Příjmy kapitol celkem'!I36</f>
        <v>66400</v>
      </c>
      <c r="I32" s="1368">
        <f t="shared" si="0"/>
        <v>6700</v>
      </c>
      <c r="J32" s="284"/>
      <c r="K32" s="285"/>
      <c r="L32" s="289"/>
    </row>
    <row r="33" spans="1:12" ht="17.25" customHeight="1" outlineLevel="1" x14ac:dyDescent="0.25">
      <c r="A33" s="891"/>
      <c r="B33" s="1037" t="s">
        <v>1534</v>
      </c>
      <c r="C33" s="335">
        <v>2111</v>
      </c>
      <c r="D33" s="211">
        <v>21950</v>
      </c>
      <c r="E33" s="211">
        <v>21950</v>
      </c>
      <c r="F33" s="211">
        <v>21950</v>
      </c>
      <c r="G33" s="211">
        <v>21950</v>
      </c>
      <c r="H33" s="212">
        <f>'Příjmy kapitol celkem'!I37</f>
        <v>21950</v>
      </c>
      <c r="I33" s="1368">
        <f t="shared" si="0"/>
        <v>0</v>
      </c>
      <c r="J33" s="284"/>
      <c r="K33" s="285"/>
      <c r="L33" s="289"/>
    </row>
    <row r="34" spans="1:12" ht="17.25" customHeight="1" outlineLevel="1" x14ac:dyDescent="0.25">
      <c r="A34" s="891"/>
      <c r="B34" s="1037" t="s">
        <v>1535</v>
      </c>
      <c r="C34" s="335">
        <v>2322</v>
      </c>
      <c r="D34" s="211">
        <v>0</v>
      </c>
      <c r="E34" s="211">
        <v>0</v>
      </c>
      <c r="F34" s="211">
        <v>0</v>
      </c>
      <c r="G34" s="211">
        <v>0</v>
      </c>
      <c r="H34" s="212">
        <f>'Příjmy kapitol celkem'!I38</f>
        <v>0</v>
      </c>
      <c r="I34" s="1368">
        <f t="shared" si="0"/>
        <v>0</v>
      </c>
      <c r="J34" s="284"/>
      <c r="K34" s="285"/>
      <c r="L34" s="289"/>
    </row>
    <row r="35" spans="1:12" s="286" customFormat="1" ht="17.25" customHeight="1" outlineLevel="1" x14ac:dyDescent="0.25">
      <c r="A35" s="890"/>
      <c r="B35" s="1042" t="s">
        <v>41</v>
      </c>
      <c r="C35" s="443" t="s">
        <v>40</v>
      </c>
      <c r="D35" s="371">
        <v>4806120</v>
      </c>
      <c r="E35" s="371">
        <v>4806120</v>
      </c>
      <c r="F35" s="371">
        <v>4806120</v>
      </c>
      <c r="G35" s="371">
        <v>4806120</v>
      </c>
      <c r="H35" s="439">
        <f>'Příjmy kapitol celkem'!I39</f>
        <v>4806120</v>
      </c>
      <c r="I35" s="1368">
        <f t="shared" si="0"/>
        <v>0</v>
      </c>
      <c r="J35" s="291"/>
      <c r="K35" s="291"/>
      <c r="L35" s="289"/>
    </row>
    <row r="36" spans="1:12" s="286" customFormat="1" ht="17.25" customHeight="1" outlineLevel="1" x14ac:dyDescent="0.25">
      <c r="A36" s="890"/>
      <c r="B36" s="1042" t="s">
        <v>43</v>
      </c>
      <c r="C36" s="443" t="s">
        <v>40</v>
      </c>
      <c r="D36" s="371">
        <v>8646660</v>
      </c>
      <c r="E36" s="371">
        <v>8646660</v>
      </c>
      <c r="F36" s="371">
        <v>8646660</v>
      </c>
      <c r="G36" s="371">
        <v>8646660</v>
      </c>
      <c r="H36" s="439">
        <f>'Příjmy kapitol celkem'!I40</f>
        <v>8646660</v>
      </c>
      <c r="I36" s="1368">
        <f t="shared" si="0"/>
        <v>0</v>
      </c>
      <c r="J36" s="291"/>
      <c r="K36" s="291"/>
      <c r="L36" s="289"/>
    </row>
    <row r="37" spans="1:12" ht="17.25" customHeight="1" outlineLevel="1" x14ac:dyDescent="0.25">
      <c r="A37" s="891"/>
      <c r="B37" s="1037" t="s">
        <v>45</v>
      </c>
      <c r="C37" s="335" t="s">
        <v>44</v>
      </c>
      <c r="D37" s="1387">
        <v>50000</v>
      </c>
      <c r="E37" s="1387">
        <v>50000</v>
      </c>
      <c r="F37" s="1387">
        <v>50000</v>
      </c>
      <c r="G37" s="1387">
        <v>50000</v>
      </c>
      <c r="H37" s="212">
        <f>'Příjmy kapitol celkem'!I41</f>
        <v>50000</v>
      </c>
      <c r="I37" s="1368">
        <f t="shared" si="0"/>
        <v>0</v>
      </c>
      <c r="J37" s="284"/>
      <c r="K37" s="285"/>
      <c r="L37" s="289"/>
    </row>
    <row r="38" spans="1:12" ht="17.25" customHeight="1" outlineLevel="1" x14ac:dyDescent="0.25">
      <c r="A38" s="891"/>
      <c r="B38" s="1037" t="s">
        <v>46</v>
      </c>
      <c r="C38" s="335" t="s">
        <v>40</v>
      </c>
      <c r="D38" s="211">
        <v>249000</v>
      </c>
      <c r="E38" s="211">
        <v>249000</v>
      </c>
      <c r="F38" s="211">
        <v>249000</v>
      </c>
      <c r="G38" s="211">
        <v>249000</v>
      </c>
      <c r="H38" s="212">
        <f>'Příjmy kapitol celkem'!I42</f>
        <v>249000</v>
      </c>
      <c r="I38" s="1368">
        <f t="shared" si="0"/>
        <v>0</v>
      </c>
      <c r="J38" s="284"/>
      <c r="K38" s="285"/>
      <c r="L38" s="289"/>
    </row>
    <row r="39" spans="1:12" ht="17.25" customHeight="1" outlineLevel="1" x14ac:dyDescent="0.25">
      <c r="A39" s="891"/>
      <c r="B39" s="1037" t="s">
        <v>2876</v>
      </c>
      <c r="C39" s="335">
        <v>2111</v>
      </c>
      <c r="D39" s="211">
        <v>0</v>
      </c>
      <c r="E39" s="211">
        <v>0</v>
      </c>
      <c r="F39" s="211">
        <v>0</v>
      </c>
      <c r="G39" s="211">
        <v>58000</v>
      </c>
      <c r="H39" s="212">
        <f>+'Příjmy kapitol celkem'!I43</f>
        <v>58000</v>
      </c>
      <c r="I39" s="1368">
        <f t="shared" si="0"/>
        <v>0</v>
      </c>
      <c r="J39" s="284"/>
      <c r="K39" s="285"/>
      <c r="L39" s="289"/>
    </row>
    <row r="40" spans="1:12" ht="17.25" customHeight="1" outlineLevel="1" x14ac:dyDescent="0.25">
      <c r="A40" s="891"/>
      <c r="B40" s="1037" t="s">
        <v>47</v>
      </c>
      <c r="C40" s="335">
        <v>2111</v>
      </c>
      <c r="D40" s="211">
        <v>20000</v>
      </c>
      <c r="E40" s="211">
        <v>20000</v>
      </c>
      <c r="F40" s="211">
        <v>20000</v>
      </c>
      <c r="G40" s="211">
        <v>41000</v>
      </c>
      <c r="H40" s="212">
        <f>'Příjmy kapitol celkem'!I44</f>
        <v>57000</v>
      </c>
      <c r="I40" s="1368">
        <f t="shared" si="0"/>
        <v>16000</v>
      </c>
      <c r="J40" s="284"/>
      <c r="K40" s="285"/>
      <c r="L40" s="289"/>
    </row>
    <row r="41" spans="1:12" ht="17.25" hidden="1" customHeight="1" outlineLevel="1" x14ac:dyDescent="0.25">
      <c r="A41" s="891"/>
      <c r="B41" s="1037" t="s">
        <v>1536</v>
      </c>
      <c r="C41" s="335">
        <v>2321</v>
      </c>
      <c r="D41" s="211">
        <v>0</v>
      </c>
      <c r="E41" s="211">
        <v>0</v>
      </c>
      <c r="F41" s="211">
        <v>0</v>
      </c>
      <c r="G41" s="211">
        <v>0</v>
      </c>
      <c r="H41" s="212">
        <f>'Příjmy kapitol celkem'!I45</f>
        <v>0</v>
      </c>
      <c r="I41" s="1368">
        <f t="shared" si="0"/>
        <v>0</v>
      </c>
      <c r="J41" s="284"/>
      <c r="K41" s="285"/>
      <c r="L41" s="289"/>
    </row>
    <row r="42" spans="1:12" ht="17.25" customHeight="1" outlineLevel="1" x14ac:dyDescent="0.25">
      <c r="A42" s="891"/>
      <c r="B42" s="1037" t="s">
        <v>48</v>
      </c>
      <c r="C42" s="335">
        <v>2111</v>
      </c>
      <c r="D42" s="211">
        <v>250000</v>
      </c>
      <c r="E42" s="211">
        <v>250000</v>
      </c>
      <c r="F42" s="211">
        <v>250000</v>
      </c>
      <c r="G42" s="211">
        <v>250000</v>
      </c>
      <c r="H42" s="212">
        <f>'Příjmy kapitol celkem'!I46</f>
        <v>270000</v>
      </c>
      <c r="I42" s="1368">
        <f t="shared" si="0"/>
        <v>20000</v>
      </c>
      <c r="J42" s="284"/>
      <c r="K42" s="285"/>
      <c r="L42" s="289"/>
    </row>
    <row r="43" spans="1:12" ht="17.25" customHeight="1" outlineLevel="1" x14ac:dyDescent="0.25">
      <c r="A43" s="891"/>
      <c r="B43" s="1037" t="s">
        <v>49</v>
      </c>
      <c r="C43" s="335" t="s">
        <v>44</v>
      </c>
      <c r="D43" s="211">
        <v>70000</v>
      </c>
      <c r="E43" s="211">
        <v>70000</v>
      </c>
      <c r="F43" s="211">
        <v>70000</v>
      </c>
      <c r="G43" s="211">
        <v>141000</v>
      </c>
      <c r="H43" s="212">
        <f>'Příjmy kapitol celkem'!I47</f>
        <v>146000</v>
      </c>
      <c r="I43" s="1368">
        <f t="shared" si="0"/>
        <v>5000</v>
      </c>
      <c r="J43" s="284"/>
      <c r="K43" s="285"/>
      <c r="L43" s="289"/>
    </row>
    <row r="44" spans="1:12" ht="17.25" customHeight="1" outlineLevel="1" x14ac:dyDescent="0.25">
      <c r="A44" s="891"/>
      <c r="B44" s="1037" t="s">
        <v>50</v>
      </c>
      <c r="C44" s="335">
        <v>2132</v>
      </c>
      <c r="D44" s="211">
        <v>330005</v>
      </c>
      <c r="E44" s="211">
        <v>436456</v>
      </c>
      <c r="F44" s="211">
        <v>436456</v>
      </c>
      <c r="G44" s="211">
        <v>436456</v>
      </c>
      <c r="H44" s="212">
        <f>'Příjmy kapitol celkem'!I48</f>
        <v>436456</v>
      </c>
      <c r="I44" s="1368">
        <f t="shared" si="0"/>
        <v>0</v>
      </c>
      <c r="J44" s="284"/>
      <c r="K44" s="285"/>
      <c r="L44" s="289"/>
    </row>
    <row r="45" spans="1:12" ht="17.25" customHeight="1" outlineLevel="1" x14ac:dyDescent="0.25">
      <c r="A45" s="891"/>
      <c r="B45" s="1037" t="s">
        <v>51</v>
      </c>
      <c r="C45" s="335">
        <v>2132</v>
      </c>
      <c r="D45" s="211">
        <v>828800</v>
      </c>
      <c r="E45" s="211">
        <v>828800</v>
      </c>
      <c r="F45" s="211">
        <v>828800</v>
      </c>
      <c r="G45" s="211">
        <v>828800</v>
      </c>
      <c r="H45" s="212">
        <f>'Příjmy kapitol celkem'!I49</f>
        <v>828800</v>
      </c>
      <c r="I45" s="1368">
        <f t="shared" si="0"/>
        <v>0</v>
      </c>
      <c r="J45" s="284"/>
      <c r="K45" s="285"/>
      <c r="L45" s="289"/>
    </row>
    <row r="46" spans="1:12" ht="17.25" customHeight="1" outlineLevel="1" x14ac:dyDescent="0.25">
      <c r="A46" s="891"/>
      <c r="B46" s="1037" t="s">
        <v>52</v>
      </c>
      <c r="C46" s="335">
        <v>2111</v>
      </c>
      <c r="D46" s="211">
        <v>2950832</v>
      </c>
      <c r="E46" s="211">
        <v>2950832</v>
      </c>
      <c r="F46" s="211">
        <v>2950832</v>
      </c>
      <c r="G46" s="211">
        <v>3282000</v>
      </c>
      <c r="H46" s="212">
        <f>'Příjmy kapitol celkem'!I50</f>
        <v>3282000</v>
      </c>
      <c r="I46" s="1368">
        <f t="shared" si="0"/>
        <v>0</v>
      </c>
      <c r="J46" s="284"/>
      <c r="K46" s="285"/>
      <c r="L46" s="289"/>
    </row>
    <row r="47" spans="1:12" ht="17.25" customHeight="1" outlineLevel="1" x14ac:dyDescent="0.25">
      <c r="A47" s="891"/>
      <c r="B47" s="1037" t="s">
        <v>53</v>
      </c>
      <c r="C47" s="335">
        <v>2132</v>
      </c>
      <c r="D47" s="211">
        <v>4800000</v>
      </c>
      <c r="E47" s="211">
        <v>4800000</v>
      </c>
      <c r="F47" s="211">
        <v>4800000</v>
      </c>
      <c r="G47" s="211">
        <v>4800000</v>
      </c>
      <c r="H47" s="212">
        <f>'Příjmy kapitol celkem'!I51</f>
        <v>4800000</v>
      </c>
      <c r="I47" s="1368">
        <f t="shared" si="0"/>
        <v>0</v>
      </c>
      <c r="J47" s="284"/>
      <c r="K47" s="285"/>
      <c r="L47" s="289"/>
    </row>
    <row r="48" spans="1:12" ht="17.25" customHeight="1" outlineLevel="1" x14ac:dyDescent="0.25">
      <c r="A48" s="891"/>
      <c r="B48" s="1037" t="s">
        <v>54</v>
      </c>
      <c r="C48" s="335" t="s">
        <v>44</v>
      </c>
      <c r="D48" s="211">
        <v>81000</v>
      </c>
      <c r="E48" s="211">
        <v>81000</v>
      </c>
      <c r="F48" s="211">
        <v>81000</v>
      </c>
      <c r="G48" s="211">
        <v>156000</v>
      </c>
      <c r="H48" s="212">
        <f>'Příjmy kapitol celkem'!I54</f>
        <v>156000</v>
      </c>
      <c r="I48" s="1368">
        <f t="shared" si="0"/>
        <v>0</v>
      </c>
      <c r="J48" s="284"/>
      <c r="K48" s="285"/>
      <c r="L48" s="289"/>
    </row>
    <row r="49" spans="1:12" ht="17.25" customHeight="1" outlineLevel="1" x14ac:dyDescent="0.25">
      <c r="A49" s="891"/>
      <c r="B49" s="1037" t="s">
        <v>502</v>
      </c>
      <c r="C49" s="335">
        <v>2132</v>
      </c>
      <c r="D49" s="211">
        <v>179395</v>
      </c>
      <c r="E49" s="211">
        <v>179395</v>
      </c>
      <c r="F49" s="211">
        <v>179395</v>
      </c>
      <c r="G49" s="211">
        <v>179395</v>
      </c>
      <c r="H49" s="212">
        <f>'Příjmy kapitol celkem'!I55</f>
        <v>179395</v>
      </c>
      <c r="I49" s="1368">
        <f t="shared" si="0"/>
        <v>0</v>
      </c>
      <c r="J49" s="284"/>
      <c r="K49" s="285"/>
      <c r="L49" s="289"/>
    </row>
    <row r="50" spans="1:12" ht="17.25" customHeight="1" outlineLevel="1" x14ac:dyDescent="0.25">
      <c r="A50" s="891"/>
      <c r="B50" s="1037" t="s">
        <v>741</v>
      </c>
      <c r="C50" s="335">
        <v>2111</v>
      </c>
      <c r="D50" s="211">
        <v>78000</v>
      </c>
      <c r="E50" s="211">
        <v>78000</v>
      </c>
      <c r="F50" s="211">
        <v>78000</v>
      </c>
      <c r="G50" s="211">
        <v>78000</v>
      </c>
      <c r="H50" s="212">
        <f>'Příjmy kapitol celkem'!I56</f>
        <v>78000</v>
      </c>
      <c r="I50" s="1368">
        <f t="shared" si="0"/>
        <v>0</v>
      </c>
      <c r="J50" s="284"/>
      <c r="K50" s="285"/>
      <c r="L50" s="289"/>
    </row>
    <row r="51" spans="1:12" ht="17.25" customHeight="1" outlineLevel="1" x14ac:dyDescent="0.25">
      <c r="A51" s="891"/>
      <c r="B51" s="1037" t="s">
        <v>55</v>
      </c>
      <c r="C51" s="335">
        <v>2132</v>
      </c>
      <c r="D51" s="211">
        <v>400000</v>
      </c>
      <c r="E51" s="211">
        <v>400000</v>
      </c>
      <c r="F51" s="211">
        <v>400000</v>
      </c>
      <c r="G51" s="211">
        <v>400000</v>
      </c>
      <c r="H51" s="212">
        <f>'Příjmy kapitol celkem'!I57</f>
        <v>400000</v>
      </c>
      <c r="I51" s="1368">
        <f t="shared" si="0"/>
        <v>0</v>
      </c>
      <c r="J51" s="284"/>
      <c r="K51" s="285"/>
      <c r="L51" s="289"/>
    </row>
    <row r="52" spans="1:12" ht="17.25" customHeight="1" outlineLevel="1" x14ac:dyDescent="0.25">
      <c r="A52" s="891"/>
      <c r="B52" s="1037" t="s">
        <v>2942</v>
      </c>
      <c r="C52" s="335">
        <v>2212</v>
      </c>
      <c r="D52" s="211"/>
      <c r="E52" s="211"/>
      <c r="F52" s="211"/>
      <c r="G52" s="211"/>
      <c r="H52" s="212">
        <f>+'Příjmy kapitol celkem'!I58</f>
        <v>248000</v>
      </c>
      <c r="I52" s="1368">
        <f t="shared" si="0"/>
        <v>248000</v>
      </c>
      <c r="J52" s="284"/>
      <c r="K52" s="285"/>
      <c r="L52" s="289"/>
    </row>
    <row r="53" spans="1:12" ht="17.25" customHeight="1" outlineLevel="1" x14ac:dyDescent="0.25">
      <c r="A53" s="891"/>
      <c r="B53" s="1037" t="s">
        <v>487</v>
      </c>
      <c r="C53" s="335">
        <v>2132</v>
      </c>
      <c r="D53" s="211">
        <v>1063000</v>
      </c>
      <c r="E53" s="211">
        <v>1359720</v>
      </c>
      <c r="F53" s="211">
        <v>1359720</v>
      </c>
      <c r="G53" s="211">
        <v>1359720</v>
      </c>
      <c r="H53" s="212">
        <f>+'Příjmy kapitol celkem'!I59</f>
        <v>1359720</v>
      </c>
      <c r="I53" s="1368">
        <f t="shared" si="0"/>
        <v>0</v>
      </c>
      <c r="J53" s="284"/>
      <c r="K53" s="285"/>
      <c r="L53" s="289"/>
    </row>
    <row r="54" spans="1:12" s="290" customFormat="1" ht="17.25" customHeight="1" outlineLevel="1" x14ac:dyDescent="0.25">
      <c r="A54" s="892"/>
      <c r="B54" s="1385" t="s">
        <v>56</v>
      </c>
      <c r="C54" s="1386">
        <v>2111</v>
      </c>
      <c r="D54" s="211">
        <v>250000</v>
      </c>
      <c r="E54" s="211">
        <v>250000</v>
      </c>
      <c r="F54" s="211">
        <v>250000</v>
      </c>
      <c r="G54" s="211">
        <v>250000</v>
      </c>
      <c r="H54" s="212">
        <f>'Příjmy kapitol celkem'!I60</f>
        <v>250000</v>
      </c>
      <c r="I54" s="1368">
        <f t="shared" si="0"/>
        <v>0</v>
      </c>
      <c r="J54" s="284"/>
      <c r="K54" s="284"/>
      <c r="L54" s="289"/>
    </row>
    <row r="55" spans="1:12" s="290" customFormat="1" ht="17.25" customHeight="1" outlineLevel="1" x14ac:dyDescent="0.25">
      <c r="A55" s="892"/>
      <c r="B55" s="1385" t="s">
        <v>1538</v>
      </c>
      <c r="C55" s="1386">
        <v>2321</v>
      </c>
      <c r="D55" s="211">
        <v>300000</v>
      </c>
      <c r="E55" s="211">
        <v>300000</v>
      </c>
      <c r="F55" s="211">
        <v>300000</v>
      </c>
      <c r="G55" s="211">
        <v>300000</v>
      </c>
      <c r="H55" s="212">
        <f>'Příjmy kapitol celkem'!I61</f>
        <v>300000</v>
      </c>
      <c r="I55" s="1368">
        <f t="shared" si="0"/>
        <v>0</v>
      </c>
      <c r="J55" s="284"/>
      <c r="K55" s="284"/>
      <c r="L55" s="289"/>
    </row>
    <row r="56" spans="1:12" s="290" customFormat="1" ht="17.25" customHeight="1" outlineLevel="1" x14ac:dyDescent="0.25">
      <c r="A56" s="892"/>
      <c r="B56" s="1385" t="s">
        <v>1537</v>
      </c>
      <c r="C56" s="1386">
        <v>2322</v>
      </c>
      <c r="D56" s="211">
        <v>0</v>
      </c>
      <c r="E56" s="211">
        <v>0</v>
      </c>
      <c r="F56" s="211">
        <v>0</v>
      </c>
      <c r="G56" s="211">
        <v>0</v>
      </c>
      <c r="H56" s="212">
        <f>'Příjmy kapitol celkem'!I62</f>
        <v>0</v>
      </c>
      <c r="I56" s="1368">
        <f t="shared" si="0"/>
        <v>0</v>
      </c>
      <c r="J56" s="284"/>
      <c r="K56" s="284"/>
      <c r="L56" s="289"/>
    </row>
    <row r="57" spans="1:12" ht="17.25" customHeight="1" outlineLevel="1" x14ac:dyDescent="0.25">
      <c r="A57" s="891"/>
      <c r="B57" s="1037" t="s">
        <v>963</v>
      </c>
      <c r="C57" s="335" t="s">
        <v>44</v>
      </c>
      <c r="D57" s="211">
        <v>1950000</v>
      </c>
      <c r="E57" s="211">
        <v>1950000</v>
      </c>
      <c r="F57" s="211">
        <v>1950000</v>
      </c>
      <c r="G57" s="211">
        <v>1950000</v>
      </c>
      <c r="H57" s="212">
        <f>'Příjmy kapitol celkem'!I63</f>
        <v>1950000</v>
      </c>
      <c r="I57" s="1368">
        <f t="shared" si="0"/>
        <v>0</v>
      </c>
      <c r="J57" s="284"/>
      <c r="K57" s="285"/>
      <c r="L57" s="289"/>
    </row>
    <row r="58" spans="1:12" ht="17.25" customHeight="1" outlineLevel="1" x14ac:dyDescent="0.25">
      <c r="A58" s="891"/>
      <c r="B58" s="1037" t="s">
        <v>476</v>
      </c>
      <c r="C58" s="335" t="s">
        <v>44</v>
      </c>
      <c r="D58" s="211">
        <v>600000</v>
      </c>
      <c r="E58" s="211">
        <v>600000</v>
      </c>
      <c r="F58" s="211">
        <v>600000</v>
      </c>
      <c r="G58" s="211">
        <v>600000</v>
      </c>
      <c r="H58" s="212">
        <f>'Příjmy kapitol celkem'!I64</f>
        <v>600000</v>
      </c>
      <c r="I58" s="1368">
        <f t="shared" si="0"/>
        <v>0</v>
      </c>
      <c r="J58" s="284"/>
      <c r="K58" s="285"/>
      <c r="L58" s="289"/>
    </row>
    <row r="59" spans="1:12" ht="17.25" customHeight="1" outlineLevel="1" x14ac:dyDescent="0.25">
      <c r="A59" s="891"/>
      <c r="B59" s="1037" t="s">
        <v>742</v>
      </c>
      <c r="C59" s="335">
        <v>2111</v>
      </c>
      <c r="D59" s="211">
        <v>20000</v>
      </c>
      <c r="E59" s="211">
        <v>20000</v>
      </c>
      <c r="F59" s="211">
        <v>20000</v>
      </c>
      <c r="G59" s="211">
        <v>20000</v>
      </c>
      <c r="H59" s="212">
        <f>'Příjmy kapitol celkem'!I65</f>
        <v>20000</v>
      </c>
      <c r="I59" s="1368">
        <f t="shared" si="0"/>
        <v>0</v>
      </c>
      <c r="J59" s="284"/>
      <c r="K59" s="285"/>
      <c r="L59" s="289"/>
    </row>
    <row r="60" spans="1:12" ht="17.25" hidden="1" customHeight="1" outlineLevel="1" x14ac:dyDescent="0.25">
      <c r="A60" s="891"/>
      <c r="B60" s="1037" t="s">
        <v>2111</v>
      </c>
      <c r="C60" s="335">
        <v>2324</v>
      </c>
      <c r="D60" s="211">
        <v>0</v>
      </c>
      <c r="E60" s="211">
        <v>0</v>
      </c>
      <c r="F60" s="211">
        <v>0</v>
      </c>
      <c r="G60" s="211">
        <v>0</v>
      </c>
      <c r="H60" s="212">
        <f>'Příjmy kapitol celkem'!I66</f>
        <v>0</v>
      </c>
      <c r="I60" s="1368">
        <f t="shared" si="0"/>
        <v>0</v>
      </c>
      <c r="J60" s="284"/>
      <c r="K60" s="285"/>
      <c r="L60" s="289"/>
    </row>
    <row r="61" spans="1:12" ht="17.25" hidden="1" customHeight="1" outlineLevel="1" x14ac:dyDescent="0.25">
      <c r="A61" s="891"/>
      <c r="B61" s="1037" t="s">
        <v>1509</v>
      </c>
      <c r="C61" s="335">
        <v>2321</v>
      </c>
      <c r="D61" s="211">
        <v>0</v>
      </c>
      <c r="E61" s="211">
        <v>0</v>
      </c>
      <c r="F61" s="211">
        <v>0</v>
      </c>
      <c r="G61" s="211">
        <v>0</v>
      </c>
      <c r="H61" s="212">
        <f>'Příjmy kapitol celkem'!I68</f>
        <v>0</v>
      </c>
      <c r="I61" s="1368">
        <f t="shared" si="0"/>
        <v>0</v>
      </c>
      <c r="J61" s="284"/>
      <c r="K61" s="285"/>
      <c r="L61" s="289"/>
    </row>
    <row r="62" spans="1:12" ht="17.25" hidden="1" customHeight="1" outlineLevel="1" x14ac:dyDescent="0.25">
      <c r="A62" s="891"/>
      <c r="B62" s="1037" t="s">
        <v>2155</v>
      </c>
      <c r="C62" s="335">
        <v>2324</v>
      </c>
      <c r="D62" s="211">
        <v>0</v>
      </c>
      <c r="E62" s="211">
        <v>0</v>
      </c>
      <c r="F62" s="211">
        <v>0</v>
      </c>
      <c r="G62" s="211">
        <v>0</v>
      </c>
      <c r="H62" s="212">
        <f>'Příjmy kapitol celkem'!I67</f>
        <v>0</v>
      </c>
      <c r="I62" s="1368">
        <f t="shared" si="0"/>
        <v>0</v>
      </c>
      <c r="J62" s="284"/>
      <c r="K62" s="285"/>
      <c r="L62" s="289"/>
    </row>
    <row r="63" spans="1:12" ht="17.25" customHeight="1" outlineLevel="1" x14ac:dyDescent="0.25">
      <c r="A63" s="891"/>
      <c r="B63" s="1037" t="s">
        <v>743</v>
      </c>
      <c r="C63" s="335">
        <v>2132</v>
      </c>
      <c r="D63" s="211">
        <v>24000</v>
      </c>
      <c r="E63" s="211">
        <v>24000</v>
      </c>
      <c r="F63" s="211">
        <v>24000</v>
      </c>
      <c r="G63" s="211">
        <v>24000</v>
      </c>
      <c r="H63" s="212">
        <f>'Příjmy kapitol celkem'!I69</f>
        <v>24000</v>
      </c>
      <c r="I63" s="1368">
        <f t="shared" si="0"/>
        <v>0</v>
      </c>
      <c r="J63" s="284"/>
      <c r="K63" s="285"/>
      <c r="L63" s="289"/>
    </row>
    <row r="64" spans="1:12" ht="17.25" customHeight="1" outlineLevel="1" x14ac:dyDescent="0.25">
      <c r="A64" s="891"/>
      <c r="B64" s="1037" t="s">
        <v>2877</v>
      </c>
      <c r="C64" s="335">
        <v>2322</v>
      </c>
      <c r="D64" s="211">
        <v>0</v>
      </c>
      <c r="E64" s="211">
        <v>0</v>
      </c>
      <c r="F64" s="211">
        <v>0</v>
      </c>
      <c r="G64" s="211">
        <v>117600</v>
      </c>
      <c r="H64" s="212">
        <f>+'Příjmy kapitol celkem'!I70</f>
        <v>129000</v>
      </c>
      <c r="I64" s="1368">
        <f t="shared" si="0"/>
        <v>11400</v>
      </c>
      <c r="J64" s="284"/>
      <c r="K64" s="285"/>
      <c r="L64" s="289"/>
    </row>
    <row r="65" spans="1:12" ht="17.25" customHeight="1" outlineLevel="1" x14ac:dyDescent="0.25">
      <c r="A65" s="891"/>
      <c r="B65" s="1037" t="s">
        <v>57</v>
      </c>
      <c r="C65" s="335">
        <v>2111</v>
      </c>
      <c r="D65" s="211">
        <v>17000</v>
      </c>
      <c r="E65" s="211">
        <v>17000</v>
      </c>
      <c r="F65" s="211">
        <v>17000</v>
      </c>
      <c r="G65" s="211">
        <v>555000</v>
      </c>
      <c r="H65" s="212">
        <f>'Příjmy kapitol celkem'!I71</f>
        <v>555000</v>
      </c>
      <c r="I65" s="1368">
        <f t="shared" si="0"/>
        <v>0</v>
      </c>
      <c r="J65" s="284"/>
      <c r="K65" s="285"/>
      <c r="L65" s="289"/>
    </row>
    <row r="66" spans="1:12" ht="17.25" customHeight="1" outlineLevel="1" x14ac:dyDescent="0.25">
      <c r="A66" s="891"/>
      <c r="B66" s="1037" t="s">
        <v>2878</v>
      </c>
      <c r="C66" s="335">
        <v>2322</v>
      </c>
      <c r="D66" s="211">
        <v>0</v>
      </c>
      <c r="E66" s="211">
        <v>0</v>
      </c>
      <c r="F66" s="211">
        <v>0</v>
      </c>
      <c r="G66" s="211">
        <v>204900</v>
      </c>
      <c r="H66" s="212">
        <f>+'Příjmy kapitol celkem'!I80</f>
        <v>204900</v>
      </c>
      <c r="I66" s="1368">
        <f t="shared" si="0"/>
        <v>0</v>
      </c>
      <c r="J66" s="284"/>
      <c r="K66" s="285"/>
      <c r="L66" s="289"/>
    </row>
    <row r="67" spans="1:12" ht="17.25" customHeight="1" outlineLevel="1" x14ac:dyDescent="0.25">
      <c r="A67" s="891"/>
      <c r="B67" s="1037" t="s">
        <v>2879</v>
      </c>
      <c r="C67" s="335">
        <v>2212</v>
      </c>
      <c r="D67" s="211">
        <v>0</v>
      </c>
      <c r="E67" s="211">
        <v>0</v>
      </c>
      <c r="F67" s="211">
        <v>0</v>
      </c>
      <c r="G67" s="211">
        <v>137400</v>
      </c>
      <c r="H67" s="212">
        <f>+'Příjmy kapitol celkem'!I81</f>
        <v>191000</v>
      </c>
      <c r="I67" s="1368">
        <f t="shared" si="0"/>
        <v>53600</v>
      </c>
      <c r="J67" s="284"/>
      <c r="K67" s="285"/>
      <c r="L67" s="289"/>
    </row>
    <row r="68" spans="1:12" ht="17.25" customHeight="1" outlineLevel="1" x14ac:dyDescent="0.25">
      <c r="A68" s="891"/>
      <c r="B68" s="1037" t="s">
        <v>744</v>
      </c>
      <c r="C68" s="335">
        <v>2141</v>
      </c>
      <c r="D68" s="211">
        <v>10000</v>
      </c>
      <c r="E68" s="211">
        <v>10000</v>
      </c>
      <c r="F68" s="211">
        <v>10000</v>
      </c>
      <c r="G68" s="211">
        <v>10000</v>
      </c>
      <c r="H68" s="212">
        <f>'Příjmy kapitol celkem'!I82</f>
        <v>10000</v>
      </c>
      <c r="I68" s="1368">
        <f t="shared" si="0"/>
        <v>0</v>
      </c>
      <c r="J68" s="284"/>
      <c r="K68" s="285"/>
      <c r="L68" s="289"/>
    </row>
    <row r="69" spans="1:12" ht="17.25" customHeight="1" outlineLevel="1" x14ac:dyDescent="0.25">
      <c r="A69" s="891"/>
      <c r="B69" s="1037" t="s">
        <v>482</v>
      </c>
      <c r="C69" s="335">
        <v>2132</v>
      </c>
      <c r="D69" s="211">
        <v>4400</v>
      </c>
      <c r="E69" s="211">
        <v>4400</v>
      </c>
      <c r="F69" s="211">
        <v>4400</v>
      </c>
      <c r="G69" s="211">
        <v>4400</v>
      </c>
      <c r="H69" s="212">
        <f>'Příjmy kapitol celkem'!I83</f>
        <v>4400</v>
      </c>
      <c r="I69" s="1368">
        <f t="shared" si="0"/>
        <v>0</v>
      </c>
      <c r="J69" s="284"/>
      <c r="K69" s="285"/>
      <c r="L69" s="289"/>
    </row>
    <row r="70" spans="1:12" ht="17.25" customHeight="1" outlineLevel="1" x14ac:dyDescent="0.25">
      <c r="A70" s="891"/>
      <c r="B70" s="1037" t="s">
        <v>2881</v>
      </c>
      <c r="C70" s="335">
        <v>2321</v>
      </c>
      <c r="D70" s="211">
        <v>0</v>
      </c>
      <c r="E70" s="211">
        <v>0</v>
      </c>
      <c r="F70" s="211">
        <v>0</v>
      </c>
      <c r="G70" s="211">
        <v>1553000</v>
      </c>
      <c r="H70" s="212">
        <f>+'Příjmy kapitol celkem'!I85</f>
        <v>1553000</v>
      </c>
      <c r="I70" s="1368">
        <f t="shared" si="0"/>
        <v>0</v>
      </c>
      <c r="J70" s="284"/>
      <c r="K70" s="285"/>
      <c r="L70" s="289"/>
    </row>
    <row r="71" spans="1:12" outlineLevel="1" x14ac:dyDescent="0.25">
      <c r="A71" s="891"/>
      <c r="B71" s="1037" t="s">
        <v>745</v>
      </c>
      <c r="C71" s="335">
        <v>2119</v>
      </c>
      <c r="D71" s="211">
        <v>300000</v>
      </c>
      <c r="E71" s="211">
        <v>300000</v>
      </c>
      <c r="F71" s="211">
        <v>300000</v>
      </c>
      <c r="G71" s="211">
        <v>300000</v>
      </c>
      <c r="H71" s="212">
        <f>'Příjmy kapitol celkem'!I87</f>
        <v>300000</v>
      </c>
      <c r="I71" s="1368">
        <f t="shared" si="0"/>
        <v>0</v>
      </c>
      <c r="J71" s="284"/>
      <c r="K71" s="285"/>
      <c r="L71" s="289"/>
    </row>
    <row r="72" spans="1:12" outlineLevel="1" x14ac:dyDescent="0.25">
      <c r="A72" s="891"/>
      <c r="B72" s="1046" t="s">
        <v>2470</v>
      </c>
      <c r="C72" s="1035">
        <v>2329</v>
      </c>
      <c r="D72" s="211">
        <v>0</v>
      </c>
      <c r="E72" s="211">
        <v>0</v>
      </c>
      <c r="F72" s="211">
        <v>0</v>
      </c>
      <c r="G72" s="211">
        <v>0</v>
      </c>
      <c r="H72" s="212">
        <f>'Příjmy kapitol celkem'!I89</f>
        <v>0</v>
      </c>
      <c r="I72" s="1368">
        <f t="shared" ref="I72:I136" si="1">+H72-G72</f>
        <v>0</v>
      </c>
      <c r="J72" s="284"/>
      <c r="K72" s="285"/>
      <c r="L72" s="289"/>
    </row>
    <row r="73" spans="1:12" ht="18" customHeight="1" x14ac:dyDescent="0.25">
      <c r="A73" s="891"/>
      <c r="B73" s="1039"/>
      <c r="C73" s="1035"/>
      <c r="D73" s="1171"/>
      <c r="E73" s="1171"/>
      <c r="F73" s="1171"/>
      <c r="G73" s="1171"/>
      <c r="H73" s="1036"/>
      <c r="I73" s="1368">
        <f t="shared" si="1"/>
        <v>0</v>
      </c>
      <c r="J73" s="284"/>
      <c r="K73" s="285"/>
      <c r="L73" s="289"/>
    </row>
    <row r="74" spans="1:12" s="280" customFormat="1" ht="17.25" thickBot="1" x14ac:dyDescent="0.35">
      <c r="A74" s="1693" t="s">
        <v>225</v>
      </c>
      <c r="B74" s="1694" t="s">
        <v>226</v>
      </c>
      <c r="C74" s="1695"/>
      <c r="D74" s="1696">
        <v>65000</v>
      </c>
      <c r="E74" s="1696">
        <v>65000</v>
      </c>
      <c r="F74" s="1696">
        <v>65000</v>
      </c>
      <c r="G74" s="1696">
        <v>76000</v>
      </c>
      <c r="H74" s="1697">
        <f>SUM(H75:H77)</f>
        <v>76000</v>
      </c>
      <c r="I74" s="1698">
        <f t="shared" si="1"/>
        <v>0</v>
      </c>
      <c r="J74" s="1699"/>
      <c r="K74" s="1700"/>
      <c r="L74" s="1701"/>
    </row>
    <row r="75" spans="1:12" ht="16.5" customHeight="1" outlineLevel="1" thickTop="1" x14ac:dyDescent="0.25">
      <c r="A75" s="891"/>
      <c r="B75" s="1044" t="s">
        <v>227</v>
      </c>
      <c r="C75" s="888">
        <v>3111</v>
      </c>
      <c r="D75" s="1172">
        <v>0</v>
      </c>
      <c r="E75" s="1172">
        <v>0</v>
      </c>
      <c r="F75" s="1172">
        <v>0</v>
      </c>
      <c r="G75" s="1172">
        <v>11000</v>
      </c>
      <c r="H75" s="895">
        <f>+'Příjmy kapitol celkem'!I86</f>
        <v>11000</v>
      </c>
      <c r="I75" s="1368">
        <f t="shared" si="1"/>
        <v>0</v>
      </c>
      <c r="J75" s="284"/>
      <c r="K75" s="285"/>
      <c r="L75" s="289"/>
    </row>
    <row r="76" spans="1:12" ht="16.5" customHeight="1" outlineLevel="1" x14ac:dyDescent="0.25">
      <c r="A76" s="891"/>
      <c r="B76" s="1037" t="s">
        <v>59</v>
      </c>
      <c r="C76" s="335" t="s">
        <v>58</v>
      </c>
      <c r="D76" s="211">
        <v>65000</v>
      </c>
      <c r="E76" s="211">
        <v>65000</v>
      </c>
      <c r="F76" s="211">
        <v>65000</v>
      </c>
      <c r="G76" s="211">
        <v>65000</v>
      </c>
      <c r="H76" s="212">
        <f>'Příjmy kapitol celkem'!I84</f>
        <v>65000</v>
      </c>
      <c r="I76" s="1368">
        <f t="shared" si="1"/>
        <v>0</v>
      </c>
      <c r="J76" s="284"/>
      <c r="K76" s="285"/>
      <c r="L76" s="289"/>
    </row>
    <row r="77" spans="1:12" ht="16.5" customHeight="1" outlineLevel="1" x14ac:dyDescent="0.25">
      <c r="A77" s="891"/>
      <c r="B77" s="1037" t="s">
        <v>228</v>
      </c>
      <c r="C77" s="335">
        <v>2132</v>
      </c>
      <c r="D77" s="211"/>
      <c r="E77" s="211"/>
      <c r="F77" s="211"/>
      <c r="G77" s="211"/>
      <c r="H77" s="212"/>
      <c r="I77" s="1368">
        <f t="shared" si="1"/>
        <v>0</v>
      </c>
      <c r="J77" s="284"/>
      <c r="K77" s="285"/>
      <c r="L77" s="289"/>
    </row>
    <row r="78" spans="1:12" ht="13.5" customHeight="1" outlineLevel="1" x14ac:dyDescent="0.25">
      <c r="A78" s="891"/>
      <c r="B78" s="1037"/>
      <c r="C78" s="1035"/>
      <c r="D78" s="1171"/>
      <c r="E78" s="1171"/>
      <c r="F78" s="1171"/>
      <c r="G78" s="1171"/>
      <c r="H78" s="1036"/>
      <c r="I78" s="1368">
        <f t="shared" si="1"/>
        <v>0</v>
      </c>
      <c r="J78" s="284"/>
      <c r="K78" s="285"/>
      <c r="L78" s="289"/>
    </row>
    <row r="79" spans="1:12" s="280" customFormat="1" ht="18.75" customHeight="1" thickBot="1" x14ac:dyDescent="0.35">
      <c r="A79" s="1693" t="s">
        <v>229</v>
      </c>
      <c r="B79" s="1694" t="s">
        <v>230</v>
      </c>
      <c r="C79" s="1695"/>
      <c r="D79" s="1696">
        <v>44297911</v>
      </c>
      <c r="E79" s="1696">
        <v>44284811</v>
      </c>
      <c r="F79" s="1696">
        <v>44310211</v>
      </c>
      <c r="G79" s="1696">
        <v>44641711</v>
      </c>
      <c r="H79" s="1697">
        <f>SUM(H80:H110)</f>
        <v>36181156</v>
      </c>
      <c r="I79" s="1698">
        <f t="shared" si="1"/>
        <v>-8460555</v>
      </c>
      <c r="J79" s="1699"/>
      <c r="K79" s="1700"/>
      <c r="L79" s="1701"/>
    </row>
    <row r="80" spans="1:12" ht="19.5" customHeight="1" outlineLevel="1" thickTop="1" x14ac:dyDescent="0.25">
      <c r="A80" s="891"/>
      <c r="B80" s="1037" t="s">
        <v>2137</v>
      </c>
      <c r="C80" s="335">
        <v>4111</v>
      </c>
      <c r="D80" s="211">
        <v>0</v>
      </c>
      <c r="E80" s="211">
        <v>0</v>
      </c>
      <c r="F80" s="211">
        <v>0</v>
      </c>
      <c r="G80" s="211">
        <v>0</v>
      </c>
      <c r="H80" s="212">
        <f>'Příjmy kapitol celkem'!I33</f>
        <v>327697</v>
      </c>
      <c r="I80" s="1368">
        <f t="shared" si="1"/>
        <v>327697</v>
      </c>
      <c r="J80" s="284"/>
      <c r="K80" s="285"/>
      <c r="L80" s="289"/>
    </row>
    <row r="81" spans="1:12" ht="19.5" customHeight="1" outlineLevel="1" x14ac:dyDescent="0.25">
      <c r="A81" s="891"/>
      <c r="B81" s="1037" t="s">
        <v>672</v>
      </c>
      <c r="C81" s="335">
        <v>4116</v>
      </c>
      <c r="D81" s="211">
        <v>60000</v>
      </c>
      <c r="E81" s="211">
        <v>60000</v>
      </c>
      <c r="F81" s="211">
        <v>60000</v>
      </c>
      <c r="G81" s="211">
        <v>60000</v>
      </c>
      <c r="H81" s="212">
        <f>'Příjmy kapitol celkem'!I34</f>
        <v>60000</v>
      </c>
      <c r="I81" s="1368">
        <f t="shared" si="1"/>
        <v>0</v>
      </c>
      <c r="J81" s="284"/>
      <c r="K81" s="285"/>
      <c r="L81" s="289"/>
    </row>
    <row r="82" spans="1:12" ht="19.5" hidden="1" customHeight="1" outlineLevel="1" x14ac:dyDescent="0.25">
      <c r="A82" s="891"/>
      <c r="B82" s="1037" t="s">
        <v>2471</v>
      </c>
      <c r="C82" s="888">
        <v>4116</v>
      </c>
      <c r="D82" s="1172"/>
      <c r="E82" s="1172"/>
      <c r="F82" s="1172"/>
      <c r="G82" s="1172"/>
      <c r="H82" s="895"/>
      <c r="I82" s="1368">
        <f t="shared" si="1"/>
        <v>0</v>
      </c>
      <c r="J82" s="284"/>
      <c r="K82" s="285"/>
      <c r="L82" s="289"/>
    </row>
    <row r="83" spans="1:12" ht="19.5" hidden="1" customHeight="1" outlineLevel="1" x14ac:dyDescent="0.25">
      <c r="A83" s="891"/>
      <c r="B83" s="1037" t="s">
        <v>2153</v>
      </c>
      <c r="C83" s="888">
        <v>4121</v>
      </c>
      <c r="D83" s="1172">
        <v>0</v>
      </c>
      <c r="E83" s="1172">
        <v>0</v>
      </c>
      <c r="F83" s="1172">
        <v>0</v>
      </c>
      <c r="G83" s="1172">
        <v>0</v>
      </c>
      <c r="H83" s="895">
        <f>'Příjmy kapitol celkem'!I35</f>
        <v>0</v>
      </c>
      <c r="I83" s="1368">
        <f t="shared" si="1"/>
        <v>0</v>
      </c>
      <c r="J83" s="284"/>
      <c r="K83" s="285"/>
      <c r="L83" s="289"/>
    </row>
    <row r="84" spans="1:12" ht="19.5" hidden="1" customHeight="1" outlineLevel="1" x14ac:dyDescent="0.25">
      <c r="A84" s="891"/>
      <c r="B84" s="887" t="s">
        <v>2112</v>
      </c>
      <c r="C84" s="888" t="s">
        <v>34</v>
      </c>
      <c r="D84" s="1172"/>
      <c r="E84" s="1172"/>
      <c r="F84" s="1172"/>
      <c r="G84" s="1172"/>
      <c r="H84" s="895"/>
      <c r="I84" s="1368">
        <f t="shared" si="1"/>
        <v>0</v>
      </c>
      <c r="J84" s="284"/>
      <c r="K84" s="285"/>
      <c r="L84" s="289"/>
    </row>
    <row r="85" spans="1:12" ht="19.5" hidden="1" customHeight="1" outlineLevel="1" x14ac:dyDescent="0.25">
      <c r="A85" s="891"/>
      <c r="B85" s="1037" t="s">
        <v>2113</v>
      </c>
      <c r="C85" s="335">
        <v>4121</v>
      </c>
      <c r="D85" s="211"/>
      <c r="E85" s="211"/>
      <c r="F85" s="211"/>
      <c r="G85" s="211"/>
      <c r="H85" s="212"/>
      <c r="I85" s="1368">
        <f t="shared" si="1"/>
        <v>0</v>
      </c>
      <c r="J85" s="284"/>
      <c r="K85" s="285"/>
      <c r="L85" s="289"/>
    </row>
    <row r="86" spans="1:12" ht="19.5" hidden="1" customHeight="1" outlineLevel="1" x14ac:dyDescent="0.25">
      <c r="A86" s="891"/>
      <c r="B86" s="887" t="s">
        <v>2114</v>
      </c>
      <c r="C86" s="888">
        <v>4121</v>
      </c>
      <c r="D86" s="1172"/>
      <c r="E86" s="1172"/>
      <c r="F86" s="1172"/>
      <c r="G86" s="1172"/>
      <c r="H86" s="895"/>
      <c r="I86" s="1368">
        <f t="shared" si="1"/>
        <v>0</v>
      </c>
      <c r="J86" s="284"/>
      <c r="K86" s="285"/>
      <c r="L86" s="289"/>
    </row>
    <row r="87" spans="1:12" ht="19.5" hidden="1" customHeight="1" outlineLevel="1" x14ac:dyDescent="0.25">
      <c r="A87" s="891"/>
      <c r="B87" s="887" t="s">
        <v>2115</v>
      </c>
      <c r="C87" s="888">
        <v>4122</v>
      </c>
      <c r="D87" s="1172"/>
      <c r="E87" s="1172"/>
      <c r="F87" s="1172"/>
      <c r="G87" s="1172"/>
      <c r="H87" s="895"/>
      <c r="I87" s="1368">
        <f t="shared" si="1"/>
        <v>0</v>
      </c>
      <c r="J87" s="284"/>
      <c r="K87" s="285"/>
      <c r="L87" s="289"/>
    </row>
    <row r="88" spans="1:12" ht="19.5" customHeight="1" outlineLevel="1" x14ac:dyDescent="0.25">
      <c r="A88" s="891"/>
      <c r="B88" s="887" t="s">
        <v>35</v>
      </c>
      <c r="C88" s="888">
        <v>4112</v>
      </c>
      <c r="D88" s="1172">
        <v>10108300</v>
      </c>
      <c r="E88" s="1172">
        <v>10095200</v>
      </c>
      <c r="F88" s="1172">
        <v>10095200</v>
      </c>
      <c r="G88" s="1172">
        <v>10095200</v>
      </c>
      <c r="H88" s="895">
        <f>'Příjmy kapitol celkem'!I90</f>
        <v>10095200</v>
      </c>
      <c r="I88" s="1368">
        <f t="shared" si="1"/>
        <v>0</v>
      </c>
      <c r="J88" s="284"/>
      <c r="K88" s="285"/>
      <c r="L88" s="289"/>
    </row>
    <row r="89" spans="1:12" ht="19.5" hidden="1" customHeight="1" outlineLevel="1" x14ac:dyDescent="0.25">
      <c r="A89" s="891"/>
      <c r="B89" s="887" t="s">
        <v>2119</v>
      </c>
      <c r="C89" s="888">
        <v>4222</v>
      </c>
      <c r="D89" s="1172"/>
      <c r="E89" s="1172"/>
      <c r="F89" s="1172"/>
      <c r="G89" s="1172"/>
      <c r="H89" s="895"/>
      <c r="I89" s="1368">
        <f t="shared" si="1"/>
        <v>0</v>
      </c>
      <c r="J89" s="284"/>
      <c r="K89" s="285"/>
      <c r="L89" s="289"/>
    </row>
    <row r="90" spans="1:12" ht="19.5" customHeight="1" outlineLevel="1" x14ac:dyDescent="0.25">
      <c r="A90" s="891"/>
      <c r="B90" s="887" t="s">
        <v>2169</v>
      </c>
      <c r="C90" s="888">
        <v>4216</v>
      </c>
      <c r="D90" s="1172">
        <v>30398511</v>
      </c>
      <c r="E90" s="1172">
        <v>30398511</v>
      </c>
      <c r="F90" s="1172">
        <v>30398511</v>
      </c>
      <c r="G90" s="1172">
        <v>30398511</v>
      </c>
      <c r="H90" s="895">
        <f>+'Příjmy kapitol celkem'!I32</f>
        <v>0</v>
      </c>
      <c r="I90" s="1368">
        <f t="shared" si="1"/>
        <v>-30398511</v>
      </c>
      <c r="J90" s="284"/>
      <c r="K90" s="285"/>
      <c r="L90" s="289" t="s">
        <v>2943</v>
      </c>
    </row>
    <row r="91" spans="1:12" ht="19.5" hidden="1" customHeight="1" outlineLevel="1" x14ac:dyDescent="0.25">
      <c r="A91" s="891"/>
      <c r="B91" s="887" t="s">
        <v>2116</v>
      </c>
      <c r="C91" s="888" t="s">
        <v>36</v>
      </c>
      <c r="D91" s="211"/>
      <c r="E91" s="211"/>
      <c r="F91" s="211"/>
      <c r="G91" s="211"/>
      <c r="H91" s="212"/>
      <c r="I91" s="1368">
        <f t="shared" si="1"/>
        <v>0</v>
      </c>
      <c r="J91" s="284"/>
      <c r="K91" s="285"/>
      <c r="L91" s="289"/>
    </row>
    <row r="92" spans="1:12" ht="19.5" hidden="1" customHeight="1" outlineLevel="1" x14ac:dyDescent="0.25">
      <c r="A92" s="891"/>
      <c r="B92" s="887" t="s">
        <v>2117</v>
      </c>
      <c r="C92" s="888">
        <v>4216</v>
      </c>
      <c r="D92" s="211"/>
      <c r="E92" s="211"/>
      <c r="F92" s="211"/>
      <c r="G92" s="211"/>
      <c r="H92" s="212"/>
      <c r="I92" s="1368">
        <f t="shared" si="1"/>
        <v>0</v>
      </c>
      <c r="J92" s="284"/>
      <c r="K92" s="285"/>
      <c r="L92" s="289"/>
    </row>
    <row r="93" spans="1:12" ht="19.5" hidden="1" customHeight="1" outlineLevel="1" x14ac:dyDescent="0.25">
      <c r="A93" s="891"/>
      <c r="B93" s="1037" t="s">
        <v>1965</v>
      </c>
      <c r="C93" s="335">
        <v>4117</v>
      </c>
      <c r="D93" s="211"/>
      <c r="E93" s="211"/>
      <c r="F93" s="211"/>
      <c r="G93" s="211"/>
      <c r="H93" s="212"/>
      <c r="I93" s="1368">
        <f t="shared" si="1"/>
        <v>0</v>
      </c>
      <c r="J93" s="284"/>
      <c r="K93" s="285"/>
      <c r="L93" s="289"/>
    </row>
    <row r="94" spans="1:12" ht="19.5" customHeight="1" outlineLevel="1" x14ac:dyDescent="0.25">
      <c r="A94" s="891"/>
      <c r="B94" s="1037" t="s">
        <v>348</v>
      </c>
      <c r="C94" s="335">
        <v>4121</v>
      </c>
      <c r="D94" s="211">
        <v>100000</v>
      </c>
      <c r="E94" s="211">
        <v>100000</v>
      </c>
      <c r="F94" s="211">
        <v>100000</v>
      </c>
      <c r="G94" s="211">
        <v>100000</v>
      </c>
      <c r="H94" s="212">
        <f>'Příjmy kapitol celkem'!I92</f>
        <v>100000</v>
      </c>
      <c r="I94" s="1368">
        <f t="shared" si="1"/>
        <v>0</v>
      </c>
      <c r="J94" s="284"/>
      <c r="K94" s="285"/>
      <c r="L94" s="289"/>
    </row>
    <row r="95" spans="1:12" ht="19.5" customHeight="1" outlineLevel="1" x14ac:dyDescent="0.25">
      <c r="A95" s="891"/>
      <c r="B95" s="1037" t="s">
        <v>349</v>
      </c>
      <c r="C95" s="335">
        <v>4121</v>
      </c>
      <c r="D95" s="211">
        <v>1700000</v>
      </c>
      <c r="E95" s="211">
        <v>1700000</v>
      </c>
      <c r="F95" s="211">
        <v>2229000</v>
      </c>
      <c r="G95" s="211">
        <v>2229000</v>
      </c>
      <c r="H95" s="212">
        <f>'Příjmy kapitol celkem'!I93</f>
        <v>2229000</v>
      </c>
      <c r="I95" s="1368">
        <f t="shared" si="1"/>
        <v>0</v>
      </c>
      <c r="J95" s="284"/>
      <c r="K95" s="285"/>
      <c r="L95" s="289"/>
    </row>
    <row r="96" spans="1:12" ht="19.5" hidden="1" customHeight="1" outlineLevel="1" x14ac:dyDescent="0.25">
      <c r="A96" s="891"/>
      <c r="B96" s="1037" t="s">
        <v>961</v>
      </c>
      <c r="C96" s="335">
        <v>4216</v>
      </c>
      <c r="D96" s="211">
        <v>0</v>
      </c>
      <c r="E96" s="211">
        <v>0</v>
      </c>
      <c r="F96" s="211">
        <v>0</v>
      </c>
      <c r="G96" s="211">
        <v>0</v>
      </c>
      <c r="H96" s="212">
        <f>'Příjmy kapitol celkem'!I94</f>
        <v>0</v>
      </c>
      <c r="I96" s="1368">
        <f t="shared" si="1"/>
        <v>0</v>
      </c>
      <c r="J96" s="284"/>
      <c r="K96" s="285"/>
      <c r="L96" s="289"/>
    </row>
    <row r="97" spans="1:12" ht="19.5" hidden="1" customHeight="1" outlineLevel="1" x14ac:dyDescent="0.25">
      <c r="A97" s="891"/>
      <c r="B97" s="887" t="s">
        <v>2118</v>
      </c>
      <c r="C97" s="888">
        <v>4216</v>
      </c>
      <c r="D97" s="211">
        <v>0</v>
      </c>
      <c r="E97" s="211">
        <v>0</v>
      </c>
      <c r="F97" s="211">
        <v>0</v>
      </c>
      <c r="G97" s="211">
        <v>0</v>
      </c>
      <c r="H97" s="212">
        <f>'Příjmy kapitol celkem'!I95</f>
        <v>0</v>
      </c>
      <c r="I97" s="1368">
        <f t="shared" si="1"/>
        <v>0</v>
      </c>
      <c r="J97" s="284"/>
      <c r="K97" s="285"/>
      <c r="L97" s="289"/>
    </row>
    <row r="98" spans="1:12" ht="19.5" hidden="1" customHeight="1" outlineLevel="1" x14ac:dyDescent="0.25">
      <c r="A98" s="891"/>
      <c r="B98" s="1037" t="s">
        <v>1241</v>
      </c>
      <c r="C98" s="335">
        <v>4222</v>
      </c>
      <c r="D98" s="211">
        <v>0</v>
      </c>
      <c r="E98" s="211">
        <v>0</v>
      </c>
      <c r="F98" s="211">
        <v>0</v>
      </c>
      <c r="G98" s="211">
        <v>0</v>
      </c>
      <c r="H98" s="212">
        <f>'Příjmy kapitol celkem'!I97</f>
        <v>0</v>
      </c>
      <c r="I98" s="1368">
        <f t="shared" si="1"/>
        <v>0</v>
      </c>
      <c r="J98" s="284"/>
      <c r="K98" s="285"/>
      <c r="L98" s="289"/>
    </row>
    <row r="99" spans="1:12" ht="19.5" customHeight="1" outlineLevel="1" x14ac:dyDescent="0.25">
      <c r="A99" s="891"/>
      <c r="B99" s="1037" t="s">
        <v>2384</v>
      </c>
      <c r="C99" s="335">
        <v>4216</v>
      </c>
      <c r="D99" s="211">
        <v>15000</v>
      </c>
      <c r="E99" s="211">
        <v>15000</v>
      </c>
      <c r="F99" s="211">
        <v>15000</v>
      </c>
      <c r="G99" s="211">
        <v>15000</v>
      </c>
      <c r="H99" s="212">
        <f>+'Příjmy kapitol celkem'!I96</f>
        <v>0</v>
      </c>
      <c r="I99" s="1368">
        <f t="shared" si="1"/>
        <v>-15000</v>
      </c>
      <c r="J99" s="284"/>
      <c r="K99" s="285"/>
      <c r="L99" s="289" t="s">
        <v>2943</v>
      </c>
    </row>
    <row r="100" spans="1:12" ht="19.5" customHeight="1" outlineLevel="1" x14ac:dyDescent="0.25">
      <c r="A100" s="891"/>
      <c r="B100" s="1037" t="s">
        <v>2941</v>
      </c>
      <c r="C100" s="335">
        <v>4216</v>
      </c>
      <c r="D100" s="211"/>
      <c r="E100" s="211"/>
      <c r="F100" s="211"/>
      <c r="G100" s="211"/>
      <c r="H100" s="212">
        <f>+'Příjmy kapitol celkem'!I31</f>
        <v>327831</v>
      </c>
      <c r="I100" s="1368">
        <f t="shared" si="1"/>
        <v>327831</v>
      </c>
      <c r="J100" s="284"/>
      <c r="K100" s="285"/>
      <c r="L100" s="289"/>
    </row>
    <row r="101" spans="1:12" ht="19.5" hidden="1" customHeight="1" outlineLevel="1" x14ac:dyDescent="0.25">
      <c r="A101" s="891"/>
      <c r="B101" s="1037" t="s">
        <v>1974</v>
      </c>
      <c r="C101" s="335">
        <v>4216</v>
      </c>
      <c r="D101" s="211">
        <v>0</v>
      </c>
      <c r="E101" s="211">
        <v>0</v>
      </c>
      <c r="F101" s="211">
        <v>0</v>
      </c>
      <c r="G101" s="211">
        <v>0</v>
      </c>
      <c r="H101" s="212">
        <f>'Příjmy kapitol celkem'!I98</f>
        <v>0</v>
      </c>
      <c r="I101" s="1368">
        <f t="shared" si="1"/>
        <v>0</v>
      </c>
      <c r="J101" s="284"/>
      <c r="K101" s="285"/>
      <c r="L101" s="289"/>
    </row>
    <row r="102" spans="1:12" ht="19.5" hidden="1" customHeight="1" outlineLevel="1" x14ac:dyDescent="0.25">
      <c r="A102" s="891"/>
      <c r="B102" s="1037" t="s">
        <v>2472</v>
      </c>
      <c r="C102" s="335">
        <v>4216</v>
      </c>
      <c r="D102" s="211"/>
      <c r="E102" s="211"/>
      <c r="F102" s="211"/>
      <c r="G102" s="211"/>
      <c r="H102" s="212"/>
      <c r="I102" s="1368">
        <f t="shared" si="1"/>
        <v>0</v>
      </c>
      <c r="J102" s="284"/>
      <c r="K102" s="285"/>
      <c r="L102" s="289"/>
    </row>
    <row r="103" spans="1:12" ht="19.5" hidden="1" customHeight="1" outlineLevel="1" x14ac:dyDescent="0.25">
      <c r="A103" s="891"/>
      <c r="B103" s="1037" t="s">
        <v>1153</v>
      </c>
      <c r="C103" s="335" t="s">
        <v>36</v>
      </c>
      <c r="D103" s="211">
        <v>0</v>
      </c>
      <c r="E103" s="211">
        <v>0</v>
      </c>
      <c r="F103" s="211">
        <v>0</v>
      </c>
      <c r="G103" s="211">
        <v>0</v>
      </c>
      <c r="H103" s="212">
        <f>'Příjmy kapitol celkem'!I99</f>
        <v>0</v>
      </c>
      <c r="I103" s="1368">
        <f t="shared" si="1"/>
        <v>0</v>
      </c>
      <c r="J103" s="284"/>
      <c r="K103" s="285"/>
      <c r="L103" s="289"/>
    </row>
    <row r="104" spans="1:12" ht="19.5" hidden="1" customHeight="1" outlineLevel="1" x14ac:dyDescent="0.25">
      <c r="A104" s="891"/>
      <c r="B104" s="1037" t="s">
        <v>2473</v>
      </c>
      <c r="C104" s="335">
        <v>4122</v>
      </c>
      <c r="D104" s="211"/>
      <c r="E104" s="211"/>
      <c r="F104" s="211"/>
      <c r="G104" s="211"/>
      <c r="H104" s="212"/>
      <c r="I104" s="1368">
        <f t="shared" si="1"/>
        <v>0</v>
      </c>
      <c r="J104" s="284"/>
      <c r="K104" s="285"/>
      <c r="L104" s="289"/>
    </row>
    <row r="105" spans="1:12" ht="19.5" hidden="1" customHeight="1" outlineLevel="1" x14ac:dyDescent="0.25">
      <c r="A105" s="891"/>
      <c r="B105" s="1037" t="s">
        <v>962</v>
      </c>
      <c r="C105" s="335">
        <v>4216</v>
      </c>
      <c r="D105" s="211">
        <v>0</v>
      </c>
      <c r="E105" s="211">
        <v>0</v>
      </c>
      <c r="F105" s="211">
        <v>0</v>
      </c>
      <c r="G105" s="211">
        <v>0</v>
      </c>
      <c r="H105" s="212">
        <f>'Příjmy kapitol celkem'!I100</f>
        <v>0</v>
      </c>
      <c r="I105" s="1368">
        <f t="shared" si="1"/>
        <v>0</v>
      </c>
      <c r="J105" s="284"/>
      <c r="K105" s="285"/>
      <c r="L105" s="289"/>
    </row>
    <row r="106" spans="1:12" ht="19.5" hidden="1" customHeight="1" outlineLevel="1" x14ac:dyDescent="0.25">
      <c r="A106" s="891"/>
      <c r="B106" s="1037" t="s">
        <v>1240</v>
      </c>
      <c r="C106" s="335">
        <v>4216</v>
      </c>
      <c r="D106" s="211">
        <v>0</v>
      </c>
      <c r="E106" s="211">
        <v>0</v>
      </c>
      <c r="F106" s="211">
        <v>0</v>
      </c>
      <c r="G106" s="211">
        <v>0</v>
      </c>
      <c r="H106" s="212">
        <f>'Příjmy kapitol celkem'!I101</f>
        <v>0</v>
      </c>
      <c r="I106" s="1368">
        <f t="shared" si="1"/>
        <v>0</v>
      </c>
      <c r="J106" s="284"/>
      <c r="K106" s="285"/>
      <c r="L106" s="289"/>
    </row>
    <row r="107" spans="1:12" ht="29.65" hidden="1" customHeight="1" outlineLevel="1" x14ac:dyDescent="0.25">
      <c r="A107" s="891"/>
      <c r="B107" s="1324" t="s">
        <v>1154</v>
      </c>
      <c r="C107" s="335" t="s">
        <v>36</v>
      </c>
      <c r="D107" s="211">
        <v>0</v>
      </c>
      <c r="E107" s="211">
        <v>0</v>
      </c>
      <c r="F107" s="211">
        <v>0</v>
      </c>
      <c r="G107" s="211">
        <v>0</v>
      </c>
      <c r="H107" s="212">
        <f>'Příjmy kapitol celkem'!I102</f>
        <v>0</v>
      </c>
      <c r="I107" s="1368">
        <f t="shared" si="1"/>
        <v>0</v>
      </c>
      <c r="J107" s="284"/>
      <c r="K107" s="285"/>
      <c r="L107" s="289"/>
    </row>
    <row r="108" spans="1:12" ht="19.5" hidden="1" customHeight="1" outlineLevel="1" x14ac:dyDescent="0.25">
      <c r="A108" s="891"/>
      <c r="B108" s="1037" t="s">
        <v>1155</v>
      </c>
      <c r="C108" s="335" t="s">
        <v>36</v>
      </c>
      <c r="D108" s="211">
        <v>0</v>
      </c>
      <c r="E108" s="211">
        <v>0</v>
      </c>
      <c r="F108" s="211">
        <v>0</v>
      </c>
      <c r="G108" s="211">
        <v>0</v>
      </c>
      <c r="H108" s="212">
        <f>'Příjmy kapitol celkem'!I103</f>
        <v>0</v>
      </c>
      <c r="I108" s="1368">
        <f t="shared" si="1"/>
        <v>0</v>
      </c>
      <c r="J108" s="284"/>
      <c r="K108" s="285"/>
      <c r="L108" s="289"/>
    </row>
    <row r="109" spans="1:12" ht="19.5" customHeight="1" outlineLevel="1" x14ac:dyDescent="0.25">
      <c r="A109" s="891"/>
      <c r="B109" s="1037" t="s">
        <v>2154</v>
      </c>
      <c r="C109" s="335">
        <v>4122</v>
      </c>
      <c r="D109" s="211">
        <v>1916100</v>
      </c>
      <c r="E109" s="211">
        <v>1916100</v>
      </c>
      <c r="F109" s="211">
        <v>1412500</v>
      </c>
      <c r="G109" s="211">
        <v>1744000</v>
      </c>
      <c r="H109" s="212">
        <f>'Příjmy kapitol celkem'!I104</f>
        <v>1744000</v>
      </c>
      <c r="I109" s="1368">
        <f t="shared" si="1"/>
        <v>0</v>
      </c>
      <c r="J109" s="284"/>
      <c r="K109" s="285"/>
      <c r="L109" s="289"/>
    </row>
    <row r="110" spans="1:12" ht="21.75" customHeight="1" outlineLevel="1" x14ac:dyDescent="0.25">
      <c r="A110" s="891"/>
      <c r="B110" s="1037" t="s">
        <v>2939</v>
      </c>
      <c r="C110" s="1035">
        <v>4229</v>
      </c>
      <c r="D110" s="1171"/>
      <c r="E110" s="1171"/>
      <c r="F110" s="1171"/>
      <c r="G110" s="1171"/>
      <c r="H110" s="1036">
        <f>+'Příjmy kapitol celkem'!I30</f>
        <v>21297428</v>
      </c>
      <c r="I110" s="1368">
        <f t="shared" si="1"/>
        <v>21297428</v>
      </c>
      <c r="J110" s="284"/>
      <c r="K110" s="285"/>
      <c r="L110" s="289"/>
    </row>
    <row r="111" spans="1:12" s="280" customFormat="1" ht="17.25" thickBot="1" x14ac:dyDescent="0.35">
      <c r="A111" s="1340" t="s">
        <v>231</v>
      </c>
      <c r="B111" s="1341" t="s">
        <v>232</v>
      </c>
      <c r="C111" s="1342"/>
      <c r="D111" s="1343">
        <v>87024229</v>
      </c>
      <c r="E111" s="1343">
        <v>54877883</v>
      </c>
      <c r="F111" s="1343">
        <f>SUM(F112:F116)</f>
        <v>54877883</v>
      </c>
      <c r="G111" s="1343">
        <v>54877507</v>
      </c>
      <c r="H111" s="1344">
        <f>SUM(H112:H116)</f>
        <v>63877507</v>
      </c>
      <c r="I111" s="1368">
        <f t="shared" si="1"/>
        <v>9000000</v>
      </c>
      <c r="J111" s="284"/>
      <c r="K111" s="285"/>
      <c r="L111" s="289"/>
    </row>
    <row r="112" spans="1:12" ht="17.25" customHeight="1" thickTop="1" x14ac:dyDescent="0.25">
      <c r="A112" s="109"/>
      <c r="B112" s="887" t="s">
        <v>233</v>
      </c>
      <c r="C112" s="888" t="s">
        <v>38</v>
      </c>
      <c r="D112" s="363">
        <v>20000000</v>
      </c>
      <c r="E112" s="363">
        <v>13900000</v>
      </c>
      <c r="F112" s="363">
        <v>13900000</v>
      </c>
      <c r="G112" s="363">
        <v>13900000</v>
      </c>
      <c r="H112" s="363">
        <f>'Příjmy kapitol celkem'!I108</f>
        <v>13900000</v>
      </c>
      <c r="I112" s="1368">
        <f t="shared" si="1"/>
        <v>0</v>
      </c>
      <c r="J112" s="284"/>
      <c r="K112" s="285"/>
      <c r="L112" s="289"/>
    </row>
    <row r="113" spans="1:13" ht="17.25" customHeight="1" x14ac:dyDescent="0.25">
      <c r="A113" s="109"/>
      <c r="B113" s="1037" t="s">
        <v>776</v>
      </c>
      <c r="C113" s="335" t="s">
        <v>38</v>
      </c>
      <c r="D113" s="155">
        <v>0</v>
      </c>
      <c r="E113" s="155">
        <v>0</v>
      </c>
      <c r="F113" s="155">
        <v>0</v>
      </c>
      <c r="G113" s="155">
        <v>0</v>
      </c>
      <c r="H113" s="155">
        <f>'Příjmy kapitol celkem'!I109</f>
        <v>0</v>
      </c>
      <c r="I113" s="1368">
        <f t="shared" si="1"/>
        <v>0</v>
      </c>
      <c r="J113" s="284"/>
      <c r="K113" s="285"/>
      <c r="L113" s="289"/>
    </row>
    <row r="114" spans="1:13" ht="17.25" customHeight="1" x14ac:dyDescent="0.25">
      <c r="A114" s="109"/>
      <c r="B114" s="1037" t="s">
        <v>2474</v>
      </c>
      <c r="C114" s="335" t="s">
        <v>60</v>
      </c>
      <c r="D114" s="155">
        <v>67024229</v>
      </c>
      <c r="E114" s="155">
        <v>40977883</v>
      </c>
      <c r="F114" s="155">
        <v>40977883</v>
      </c>
      <c r="G114" s="155">
        <v>33417507</v>
      </c>
      <c r="H114" s="155">
        <f>+'Příjmy kapitol celkem'!I110</f>
        <v>33417507</v>
      </c>
      <c r="I114" s="1368">
        <f t="shared" si="1"/>
        <v>0</v>
      </c>
      <c r="J114" s="284"/>
      <c r="K114" s="285"/>
      <c r="L114" s="289"/>
    </row>
    <row r="115" spans="1:13" ht="17.25" customHeight="1" x14ac:dyDescent="0.25">
      <c r="A115" s="109"/>
      <c r="B115" s="1037" t="s">
        <v>2871</v>
      </c>
      <c r="C115" s="335" t="s">
        <v>60</v>
      </c>
      <c r="D115" s="155">
        <v>0</v>
      </c>
      <c r="E115" s="155">
        <v>0</v>
      </c>
      <c r="F115" s="155">
        <v>0</v>
      </c>
      <c r="G115" s="155">
        <v>7560000</v>
      </c>
      <c r="H115" s="155">
        <f>+'Příjmy kapitol celkem'!I111</f>
        <v>7560000</v>
      </c>
      <c r="I115" s="1368">
        <f t="shared" si="1"/>
        <v>0</v>
      </c>
      <c r="J115" s="284"/>
      <c r="K115" s="285"/>
      <c r="L115" s="289"/>
    </row>
    <row r="116" spans="1:13" x14ac:dyDescent="0.25">
      <c r="A116" s="109"/>
      <c r="B116" s="1037" t="s">
        <v>2577</v>
      </c>
      <c r="C116" s="335" t="s">
        <v>60</v>
      </c>
      <c r="D116" s="155"/>
      <c r="E116" s="155"/>
      <c r="F116" s="155"/>
      <c r="G116" s="155">
        <v>0</v>
      </c>
      <c r="H116" s="155">
        <f>+'Příjmy kapitol celkem'!I112</f>
        <v>9000000</v>
      </c>
      <c r="I116" s="1368">
        <f t="shared" si="1"/>
        <v>9000000</v>
      </c>
      <c r="J116" s="284"/>
      <c r="K116" s="285"/>
      <c r="L116" s="289"/>
    </row>
    <row r="117" spans="1:13" s="280" customFormat="1" ht="17.25" thickBot="1" x14ac:dyDescent="0.35">
      <c r="A117" s="1340" t="s">
        <v>234</v>
      </c>
      <c r="B117" s="1341"/>
      <c r="C117" s="1342"/>
      <c r="D117" s="1343">
        <v>336225459</v>
      </c>
      <c r="E117" s="1343">
        <v>317635564</v>
      </c>
      <c r="F117" s="1343">
        <v>326660964</v>
      </c>
      <c r="G117" s="1343">
        <v>338293815</v>
      </c>
      <c r="H117" s="1344">
        <f>+H111+H79+H74+H30+H6</f>
        <v>335199248</v>
      </c>
      <c r="I117" s="1368">
        <f t="shared" si="1"/>
        <v>-3094567</v>
      </c>
      <c r="J117" s="284"/>
      <c r="K117" s="285"/>
      <c r="L117" s="289"/>
    </row>
    <row r="118" spans="1:13" s="286" customFormat="1" ht="12.75" customHeight="1" thickTop="1" x14ac:dyDescent="0.25">
      <c r="A118" s="180"/>
      <c r="B118" s="281" t="s">
        <v>235</v>
      </c>
      <c r="C118" s="282"/>
      <c r="D118" s="283">
        <v>0</v>
      </c>
      <c r="E118" s="283">
        <v>0</v>
      </c>
      <c r="F118" s="283">
        <v>0</v>
      </c>
      <c r="G118" s="283">
        <v>0</v>
      </c>
      <c r="H118" s="283">
        <f>+H117-'Příjmy kapitol celkem'!I113</f>
        <v>0</v>
      </c>
      <c r="I118" s="1368"/>
      <c r="J118" s="284"/>
      <c r="K118" s="285"/>
      <c r="L118" s="289"/>
    </row>
    <row r="119" spans="1:13" ht="16.5" thickBot="1" x14ac:dyDescent="0.3">
      <c r="A119" s="109"/>
      <c r="B119" s="109"/>
      <c r="C119" s="114"/>
      <c r="D119" s="592"/>
      <c r="E119" s="592"/>
      <c r="F119" s="592"/>
      <c r="G119" s="592"/>
      <c r="H119" s="1465"/>
      <c r="I119" s="1368"/>
      <c r="J119" s="284"/>
      <c r="K119" s="285"/>
      <c r="L119" s="289"/>
    </row>
    <row r="120" spans="1:13" ht="37.9" customHeight="1" thickBot="1" x14ac:dyDescent="0.3">
      <c r="A120" s="1345" t="s">
        <v>236</v>
      </c>
      <c r="B120" s="1346"/>
      <c r="C120" s="1347" t="s">
        <v>63</v>
      </c>
      <c r="D120" s="1348" t="s">
        <v>2159</v>
      </c>
      <c r="E120" s="1348" t="s">
        <v>1985</v>
      </c>
      <c r="F120" s="1348" t="s">
        <v>2495</v>
      </c>
      <c r="G120" s="1348" t="s">
        <v>2566</v>
      </c>
      <c r="H120" s="1349" t="str">
        <f>H4</f>
        <v>RO č.4</v>
      </c>
      <c r="I120" s="1368"/>
      <c r="J120" s="284"/>
      <c r="K120" s="285"/>
      <c r="L120" s="289"/>
    </row>
    <row r="121" spans="1:13" ht="16.5" thickBot="1" x14ac:dyDescent="0.3">
      <c r="A121" s="109"/>
      <c r="B121" s="109"/>
      <c r="C121" s="114"/>
      <c r="D121" s="190"/>
      <c r="E121" s="190"/>
      <c r="F121" s="190"/>
      <c r="G121" s="190"/>
      <c r="H121" s="190"/>
      <c r="I121" s="1368"/>
      <c r="J121" s="284"/>
      <c r="K121" s="285"/>
      <c r="L121" s="289"/>
    </row>
    <row r="122" spans="1:13" s="280" customFormat="1" ht="17.25" thickBot="1" x14ac:dyDescent="0.35">
      <c r="A122" s="1350" t="s">
        <v>237</v>
      </c>
      <c r="B122" s="1351" t="s">
        <v>238</v>
      </c>
      <c r="C122" s="1352"/>
      <c r="D122" s="1353">
        <v>182488219.01394999</v>
      </c>
      <c r="E122" s="1353">
        <v>186963372.50376999</v>
      </c>
      <c r="F122" s="1353">
        <v>190732714.50376999</v>
      </c>
      <c r="G122" s="1353">
        <v>198145312.50376999</v>
      </c>
      <c r="H122" s="1354">
        <f>+H123+H133</f>
        <v>202094656.44124001</v>
      </c>
      <c r="I122" s="1368">
        <f t="shared" si="1"/>
        <v>3949343.9374700189</v>
      </c>
      <c r="J122" s="284"/>
      <c r="K122" s="285"/>
      <c r="L122" s="289"/>
      <c r="M122" s="292"/>
    </row>
    <row r="123" spans="1:13" s="280" customFormat="1" ht="17.25" thickBot="1" x14ac:dyDescent="0.35">
      <c r="A123" s="896"/>
      <c r="B123" s="1355" t="s">
        <v>734</v>
      </c>
      <c r="C123" s="1356"/>
      <c r="D123" s="1357">
        <v>44405140.600000001</v>
      </c>
      <c r="E123" s="1357">
        <v>44959820.600000001</v>
      </c>
      <c r="F123" s="1357">
        <f>SUM(F124:F131)</f>
        <v>45268986.600000001</v>
      </c>
      <c r="G123" s="1357">
        <v>45362986.600000001</v>
      </c>
      <c r="H123" s="1358">
        <f>SUM(H124:H131)</f>
        <v>45691301.600000001</v>
      </c>
      <c r="I123" s="1368">
        <f t="shared" si="1"/>
        <v>328315</v>
      </c>
      <c r="J123" s="284"/>
      <c r="K123" s="285"/>
      <c r="L123" s="289"/>
    </row>
    <row r="124" spans="1:13" s="293" customFormat="1" ht="16.5" outlineLevel="1" thickTop="1" x14ac:dyDescent="0.25">
      <c r="A124" s="897"/>
      <c r="B124" s="1040" t="s">
        <v>64</v>
      </c>
      <c r="C124" s="889">
        <v>5011</v>
      </c>
      <c r="D124" s="1173">
        <v>28253000</v>
      </c>
      <c r="E124" s="1173">
        <v>28253000</v>
      </c>
      <c r="F124" s="1173">
        <v>28483000</v>
      </c>
      <c r="G124" s="1173">
        <v>28483000</v>
      </c>
      <c r="H124" s="898">
        <f>'Výdaje kapitol celkem'!G8</f>
        <v>28483000</v>
      </c>
      <c r="I124" s="1368">
        <f t="shared" si="1"/>
        <v>0</v>
      </c>
      <c r="J124" s="284"/>
      <c r="K124" s="285"/>
      <c r="L124" s="1327"/>
    </row>
    <row r="125" spans="1:13" s="293" customFormat="1" outlineLevel="1" x14ac:dyDescent="0.25">
      <c r="A125" s="897"/>
      <c r="B125" s="1041" t="s">
        <v>65</v>
      </c>
      <c r="C125" s="442">
        <v>5021</v>
      </c>
      <c r="D125" s="1174">
        <v>1822000</v>
      </c>
      <c r="E125" s="1174">
        <v>1959000</v>
      </c>
      <c r="F125" s="1174">
        <v>1959000</v>
      </c>
      <c r="G125" s="1174">
        <v>1959000</v>
      </c>
      <c r="H125" s="899">
        <f>'Výdaje kapitol celkem'!G9</f>
        <v>2257237</v>
      </c>
      <c r="I125" s="1368">
        <f t="shared" si="1"/>
        <v>298237</v>
      </c>
      <c r="J125" s="284"/>
      <c r="K125" s="285"/>
      <c r="L125" s="1327" t="s">
        <v>2947</v>
      </c>
    </row>
    <row r="126" spans="1:13" ht="18" customHeight="1" outlineLevel="1" x14ac:dyDescent="0.25">
      <c r="A126" s="891"/>
      <c r="B126" s="1037" t="s">
        <v>477</v>
      </c>
      <c r="C126" s="335">
        <v>5023</v>
      </c>
      <c r="D126" s="211">
        <v>3030000</v>
      </c>
      <c r="E126" s="211">
        <v>3310000</v>
      </c>
      <c r="F126" s="211">
        <v>3310000</v>
      </c>
      <c r="G126" s="211">
        <v>3310000</v>
      </c>
      <c r="H126" s="212">
        <f>'Výdaje kapitol celkem'!G10</f>
        <v>3310000</v>
      </c>
      <c r="I126" s="1368">
        <f t="shared" si="1"/>
        <v>0</v>
      </c>
      <c r="J126" s="284"/>
      <c r="K126" s="285"/>
      <c r="L126" s="1327"/>
    </row>
    <row r="127" spans="1:13" ht="18" customHeight="1" outlineLevel="1" x14ac:dyDescent="0.25">
      <c r="A127" s="891"/>
      <c r="B127" s="1042" t="s">
        <v>733</v>
      </c>
      <c r="C127" s="443">
        <v>5024</v>
      </c>
      <c r="D127" s="371">
        <v>0</v>
      </c>
      <c r="E127" s="371">
        <v>0</v>
      </c>
      <c r="F127" s="371">
        <v>0</v>
      </c>
      <c r="G127" s="371">
        <v>94000</v>
      </c>
      <c r="H127" s="439">
        <f>'Výdaje kapitol celkem'!G11</f>
        <v>94000</v>
      </c>
      <c r="I127" s="1368">
        <f t="shared" si="1"/>
        <v>0</v>
      </c>
      <c r="J127" s="284"/>
      <c r="K127" s="285"/>
      <c r="L127" s="289"/>
    </row>
    <row r="128" spans="1:13" ht="18" customHeight="1" outlineLevel="1" x14ac:dyDescent="0.25">
      <c r="A128" s="891"/>
      <c r="B128" s="1037" t="s">
        <v>66</v>
      </c>
      <c r="C128" s="335">
        <v>5029</v>
      </c>
      <c r="D128" s="211">
        <v>30000</v>
      </c>
      <c r="E128" s="211">
        <v>30000</v>
      </c>
      <c r="F128" s="211">
        <v>30000</v>
      </c>
      <c r="G128" s="211">
        <v>30000</v>
      </c>
      <c r="H128" s="212">
        <f>'Výdaje kapitol celkem'!G12</f>
        <v>30000</v>
      </c>
      <c r="I128" s="1368">
        <f t="shared" si="1"/>
        <v>0</v>
      </c>
      <c r="J128" s="284"/>
      <c r="K128" s="285"/>
      <c r="L128" s="289"/>
    </row>
    <row r="129" spans="1:14" ht="18" customHeight="1" outlineLevel="1" x14ac:dyDescent="0.25">
      <c r="A129" s="891"/>
      <c r="B129" s="1037" t="s">
        <v>67</v>
      </c>
      <c r="C129" s="335">
        <v>5031</v>
      </c>
      <c r="D129" s="211">
        <v>8185750</v>
      </c>
      <c r="E129" s="211">
        <v>8285750</v>
      </c>
      <c r="F129" s="211">
        <v>8343250</v>
      </c>
      <c r="G129" s="211">
        <v>8343250</v>
      </c>
      <c r="H129" s="212">
        <f>'Výdaje kapitol celkem'!G13</f>
        <v>8365320</v>
      </c>
      <c r="I129" s="1368">
        <f t="shared" si="1"/>
        <v>22070</v>
      </c>
      <c r="J129" s="284"/>
      <c r="K129" s="285"/>
      <c r="L129" s="289"/>
    </row>
    <row r="130" spans="1:14" ht="18" customHeight="1" outlineLevel="1" x14ac:dyDescent="0.25">
      <c r="A130" s="891"/>
      <c r="B130" s="1037" t="s">
        <v>68</v>
      </c>
      <c r="C130" s="335">
        <v>5032</v>
      </c>
      <c r="D130" s="211">
        <v>2946870</v>
      </c>
      <c r="E130" s="211">
        <v>2982870</v>
      </c>
      <c r="F130" s="211">
        <v>3003570</v>
      </c>
      <c r="G130" s="211">
        <v>3003570</v>
      </c>
      <c r="H130" s="212">
        <f>'Výdaje kapitol celkem'!G14</f>
        <v>3011578</v>
      </c>
      <c r="I130" s="1368">
        <f t="shared" si="1"/>
        <v>8008</v>
      </c>
      <c r="J130" s="284"/>
      <c r="K130" s="285"/>
      <c r="L130" s="289"/>
    </row>
    <row r="131" spans="1:14" ht="18" customHeight="1" outlineLevel="1" x14ac:dyDescent="0.25">
      <c r="A131" s="891"/>
      <c r="B131" s="1037" t="s">
        <v>69</v>
      </c>
      <c r="C131" s="335">
        <v>5038</v>
      </c>
      <c r="D131" s="211">
        <v>137520.6</v>
      </c>
      <c r="E131" s="211">
        <v>139200.59999999998</v>
      </c>
      <c r="F131" s="211">
        <v>140166.6</v>
      </c>
      <c r="G131" s="211">
        <v>140166.6</v>
      </c>
      <c r="H131" s="212">
        <f>'Výdaje kapitol celkem'!G15</f>
        <v>140166.6</v>
      </c>
      <c r="I131" s="1368">
        <f t="shared" si="1"/>
        <v>0</v>
      </c>
      <c r="J131" s="284"/>
      <c r="K131" s="285"/>
      <c r="L131" s="289"/>
    </row>
    <row r="132" spans="1:14" outlineLevel="1" x14ac:dyDescent="0.25">
      <c r="A132" s="891"/>
      <c r="B132" s="1043"/>
      <c r="C132" s="114"/>
      <c r="D132" s="190"/>
      <c r="E132" s="190"/>
      <c r="F132" s="190"/>
      <c r="G132" s="190"/>
      <c r="H132" s="900"/>
      <c r="I132" s="1368">
        <f t="shared" si="1"/>
        <v>0</v>
      </c>
      <c r="J132" s="284"/>
      <c r="K132" s="285"/>
      <c r="L132" s="289"/>
    </row>
    <row r="133" spans="1:14" s="280" customFormat="1" ht="17.25" thickBot="1" x14ac:dyDescent="0.35">
      <c r="A133" s="896"/>
      <c r="B133" s="1359" t="s">
        <v>239</v>
      </c>
      <c r="C133" s="1342"/>
      <c r="D133" s="1343">
        <v>138083078.41395</v>
      </c>
      <c r="E133" s="1343">
        <v>142003551.90377</v>
      </c>
      <c r="F133" s="1343">
        <v>145463727.90377</v>
      </c>
      <c r="G133" s="1343">
        <v>152782325.90377</v>
      </c>
      <c r="H133" s="1344">
        <f>SUM(H134:H170)</f>
        <v>156403354.84124002</v>
      </c>
      <c r="I133" s="1368">
        <f t="shared" si="1"/>
        <v>3621028.9374700189</v>
      </c>
      <c r="J133" s="284"/>
      <c r="K133" s="285"/>
      <c r="L133" s="289"/>
      <c r="M133" s="292"/>
      <c r="N133" s="292"/>
    </row>
    <row r="134" spans="1:14" ht="18" hidden="1" customHeight="1" outlineLevel="1" thickTop="1" x14ac:dyDescent="0.25">
      <c r="A134" s="891"/>
      <c r="B134" s="887" t="s">
        <v>71</v>
      </c>
      <c r="C134" s="888">
        <v>5178</v>
      </c>
      <c r="D134" s="1172">
        <v>0</v>
      </c>
      <c r="E134" s="1172">
        <v>0</v>
      </c>
      <c r="F134" s="1172">
        <v>0</v>
      </c>
      <c r="G134" s="1172">
        <v>0</v>
      </c>
      <c r="H134" s="895">
        <f>'Výdaje kapitol celkem'!N17</f>
        <v>0</v>
      </c>
      <c r="I134" s="1368">
        <f t="shared" si="1"/>
        <v>0</v>
      </c>
      <c r="J134" s="284"/>
      <c r="K134" s="285"/>
      <c r="L134" s="289"/>
    </row>
    <row r="135" spans="1:14" ht="18" hidden="1" customHeight="1" outlineLevel="1" x14ac:dyDescent="0.25">
      <c r="A135" s="891"/>
      <c r="B135" s="1037" t="s">
        <v>72</v>
      </c>
      <c r="C135" s="335">
        <v>5132</v>
      </c>
      <c r="D135" s="211">
        <v>0</v>
      </c>
      <c r="E135" s="211">
        <v>0</v>
      </c>
      <c r="F135" s="211">
        <v>0</v>
      </c>
      <c r="G135" s="211">
        <v>0</v>
      </c>
      <c r="H135" s="212">
        <f>'Výdaje kapitol celkem'!N18</f>
        <v>0</v>
      </c>
      <c r="I135" s="1368">
        <f t="shared" si="1"/>
        <v>0</v>
      </c>
      <c r="J135" s="284"/>
      <c r="K135" s="285"/>
      <c r="L135" s="289"/>
    </row>
    <row r="136" spans="1:14" ht="18" customHeight="1" outlineLevel="1" thickTop="1" x14ac:dyDescent="0.25">
      <c r="A136" s="891"/>
      <c r="B136" s="1037" t="s">
        <v>73</v>
      </c>
      <c r="C136" s="335">
        <v>5134</v>
      </c>
      <c r="D136" s="211">
        <v>195000</v>
      </c>
      <c r="E136" s="211">
        <v>195000</v>
      </c>
      <c r="F136" s="211">
        <v>195000</v>
      </c>
      <c r="G136" s="211">
        <v>195000</v>
      </c>
      <c r="H136" s="212">
        <f>'Výdaje kapitol celkem'!G19</f>
        <v>210000</v>
      </c>
      <c r="I136" s="1368">
        <f t="shared" si="1"/>
        <v>15000</v>
      </c>
      <c r="J136" s="284"/>
      <c r="K136" s="285"/>
      <c r="L136" s="289"/>
    </row>
    <row r="137" spans="1:14" ht="18" customHeight="1" outlineLevel="1" x14ac:dyDescent="0.25">
      <c r="A137" s="891"/>
      <c r="B137" s="1037" t="s">
        <v>74</v>
      </c>
      <c r="C137" s="335">
        <v>5136</v>
      </c>
      <c r="D137" s="211">
        <v>313000</v>
      </c>
      <c r="E137" s="211">
        <v>313000</v>
      </c>
      <c r="F137" s="211">
        <v>313000</v>
      </c>
      <c r="G137" s="211">
        <v>313000</v>
      </c>
      <c r="H137" s="212">
        <f>'Výdaje kapitol celkem'!G20</f>
        <v>343000</v>
      </c>
      <c r="I137" s="1368">
        <f t="shared" ref="I137:I191" si="2">+H137-G137</f>
        <v>30000</v>
      </c>
      <c r="J137" s="284"/>
      <c r="K137" s="285"/>
      <c r="L137" s="289"/>
    </row>
    <row r="138" spans="1:14" outlineLevel="1" x14ac:dyDescent="0.25">
      <c r="A138" s="897"/>
      <c r="B138" s="1041" t="s">
        <v>75</v>
      </c>
      <c r="C138" s="442">
        <v>5137</v>
      </c>
      <c r="D138" s="1174">
        <v>2044000</v>
      </c>
      <c r="E138" s="1174">
        <v>2044000</v>
      </c>
      <c r="F138" s="1174">
        <v>2044000</v>
      </c>
      <c r="G138" s="1174">
        <v>2044000</v>
      </c>
      <c r="H138" s="899">
        <f>'Výdaje kapitol celkem'!G21</f>
        <v>1999000</v>
      </c>
      <c r="I138" s="1368">
        <f t="shared" si="2"/>
        <v>-45000</v>
      </c>
      <c r="J138" s="284"/>
      <c r="K138" s="285"/>
      <c r="L138" s="289"/>
    </row>
    <row r="139" spans="1:14" ht="18" customHeight="1" outlineLevel="1" x14ac:dyDescent="0.25">
      <c r="A139" s="891"/>
      <c r="B139" s="1037" t="s">
        <v>76</v>
      </c>
      <c r="C139" s="335">
        <v>5139</v>
      </c>
      <c r="D139" s="211">
        <v>2984000</v>
      </c>
      <c r="E139" s="211">
        <v>3034000</v>
      </c>
      <c r="F139" s="211">
        <v>3034000</v>
      </c>
      <c r="G139" s="211">
        <v>3034000</v>
      </c>
      <c r="H139" s="212">
        <f>'Výdaje kapitol celkem'!G22</f>
        <v>3041687.17</v>
      </c>
      <c r="I139" s="1368">
        <f t="shared" si="2"/>
        <v>7687.1699999999255</v>
      </c>
      <c r="J139" s="284"/>
      <c r="K139" s="285"/>
      <c r="L139" s="289"/>
    </row>
    <row r="140" spans="1:14" ht="18" customHeight="1" outlineLevel="1" x14ac:dyDescent="0.25">
      <c r="A140" s="891"/>
      <c r="B140" s="1037" t="s">
        <v>77</v>
      </c>
      <c r="C140" s="335">
        <v>5151</v>
      </c>
      <c r="D140" s="211">
        <v>720000</v>
      </c>
      <c r="E140" s="211">
        <v>720000</v>
      </c>
      <c r="F140" s="211">
        <v>720000</v>
      </c>
      <c r="G140" s="211">
        <v>720000</v>
      </c>
      <c r="H140" s="212">
        <f>'Výdaje kapitol celkem'!G23</f>
        <v>720000</v>
      </c>
      <c r="I140" s="1368">
        <f t="shared" si="2"/>
        <v>0</v>
      </c>
      <c r="J140" s="284"/>
      <c r="K140" s="285"/>
      <c r="L140" s="289"/>
    </row>
    <row r="141" spans="1:14" ht="18" customHeight="1" outlineLevel="1" x14ac:dyDescent="0.25">
      <c r="A141" s="891"/>
      <c r="B141" s="1037" t="s">
        <v>78</v>
      </c>
      <c r="C141" s="335">
        <v>5153</v>
      </c>
      <c r="D141" s="211">
        <v>4377950</v>
      </c>
      <c r="E141" s="211">
        <v>4377950</v>
      </c>
      <c r="F141" s="211">
        <v>4377950</v>
      </c>
      <c r="G141" s="211">
        <v>4377950</v>
      </c>
      <c r="H141" s="212">
        <f>'Výdaje kapitol celkem'!G24</f>
        <v>4377950</v>
      </c>
      <c r="I141" s="1368">
        <f t="shared" si="2"/>
        <v>0</v>
      </c>
      <c r="J141" s="284"/>
      <c r="K141" s="285"/>
      <c r="L141" s="289"/>
    </row>
    <row r="142" spans="1:14" ht="18" customHeight="1" outlineLevel="1" x14ac:dyDescent="0.25">
      <c r="A142" s="891"/>
      <c r="B142" s="1037" t="s">
        <v>79</v>
      </c>
      <c r="C142" s="335">
        <v>5154</v>
      </c>
      <c r="D142" s="211">
        <v>5916300</v>
      </c>
      <c r="E142" s="211">
        <v>5916300</v>
      </c>
      <c r="F142" s="211">
        <v>5916300</v>
      </c>
      <c r="G142" s="211">
        <v>5916300</v>
      </c>
      <c r="H142" s="212">
        <f>'Výdaje kapitol celkem'!G25</f>
        <v>5916300</v>
      </c>
      <c r="I142" s="1368">
        <f t="shared" si="2"/>
        <v>0</v>
      </c>
      <c r="J142" s="284"/>
      <c r="K142" s="285"/>
      <c r="L142" s="289"/>
    </row>
    <row r="143" spans="1:14" ht="18" customHeight="1" outlineLevel="1" x14ac:dyDescent="0.25">
      <c r="A143" s="891"/>
      <c r="B143" s="1037" t="s">
        <v>80</v>
      </c>
      <c r="C143" s="335">
        <v>5156</v>
      </c>
      <c r="D143" s="211">
        <v>610000</v>
      </c>
      <c r="E143" s="211">
        <v>610000</v>
      </c>
      <c r="F143" s="211">
        <v>610000</v>
      </c>
      <c r="G143" s="211">
        <v>610000</v>
      </c>
      <c r="H143" s="212">
        <f>'Výdaje kapitol celkem'!G26</f>
        <v>610000</v>
      </c>
      <c r="I143" s="1368">
        <f t="shared" si="2"/>
        <v>0</v>
      </c>
      <c r="J143" s="284"/>
      <c r="K143" s="285"/>
      <c r="L143" s="289"/>
    </row>
    <row r="144" spans="1:14" ht="18" customHeight="1" outlineLevel="1" x14ac:dyDescent="0.25">
      <c r="A144" s="891"/>
      <c r="B144" s="1037" t="s">
        <v>81</v>
      </c>
      <c r="C144" s="335">
        <v>5161</v>
      </c>
      <c r="D144" s="211">
        <v>695000</v>
      </c>
      <c r="E144" s="211">
        <v>695000</v>
      </c>
      <c r="F144" s="211">
        <v>695000</v>
      </c>
      <c r="G144" s="211">
        <v>695000</v>
      </c>
      <c r="H144" s="212">
        <f>'Výdaje kapitol celkem'!G27</f>
        <v>695000</v>
      </c>
      <c r="I144" s="1368">
        <f t="shared" si="2"/>
        <v>0</v>
      </c>
      <c r="J144" s="284"/>
      <c r="K144" s="285"/>
      <c r="L144" s="289"/>
    </row>
    <row r="145" spans="1:13" ht="18" customHeight="1" outlineLevel="1" x14ac:dyDescent="0.25">
      <c r="A145" s="891"/>
      <c r="B145" s="1037" t="s">
        <v>82</v>
      </c>
      <c r="C145" s="335">
        <v>5162</v>
      </c>
      <c r="D145" s="211">
        <v>614000</v>
      </c>
      <c r="E145" s="211">
        <v>614000</v>
      </c>
      <c r="F145" s="211">
        <v>614000</v>
      </c>
      <c r="G145" s="211">
        <v>614000</v>
      </c>
      <c r="H145" s="212">
        <f>'Výdaje kapitol celkem'!G28</f>
        <v>614000</v>
      </c>
      <c r="I145" s="1368">
        <f t="shared" si="2"/>
        <v>0</v>
      </c>
      <c r="J145" s="284"/>
      <c r="K145" s="285"/>
      <c r="L145" s="289"/>
    </row>
    <row r="146" spans="1:13" ht="18" customHeight="1" outlineLevel="1" x14ac:dyDescent="0.25">
      <c r="A146" s="891"/>
      <c r="B146" s="1037" t="s">
        <v>83</v>
      </c>
      <c r="C146" s="335">
        <v>5163</v>
      </c>
      <c r="D146" s="211">
        <v>1210000</v>
      </c>
      <c r="E146" s="211">
        <v>1210000</v>
      </c>
      <c r="F146" s="211">
        <v>1210000</v>
      </c>
      <c r="G146" s="211">
        <v>1210000</v>
      </c>
      <c r="H146" s="212">
        <f>'Výdaje kapitol celkem'!G29</f>
        <v>1210000</v>
      </c>
      <c r="I146" s="1368">
        <f t="shared" si="2"/>
        <v>0</v>
      </c>
      <c r="J146" s="284"/>
      <c r="K146" s="285"/>
      <c r="L146" s="289"/>
    </row>
    <row r="147" spans="1:13" ht="18" customHeight="1" outlineLevel="1" x14ac:dyDescent="0.25">
      <c r="A147" s="891"/>
      <c r="B147" s="1037" t="s">
        <v>84</v>
      </c>
      <c r="C147" s="335">
        <v>5164</v>
      </c>
      <c r="D147" s="211">
        <v>1579437</v>
      </c>
      <c r="E147" s="211">
        <v>1579437</v>
      </c>
      <c r="F147" s="211">
        <v>1589613</v>
      </c>
      <c r="G147" s="211">
        <v>1599613</v>
      </c>
      <c r="H147" s="212">
        <f>'Výdaje kapitol celkem'!G30</f>
        <v>1599613</v>
      </c>
      <c r="I147" s="1368">
        <f t="shared" si="2"/>
        <v>0</v>
      </c>
      <c r="J147" s="284"/>
      <c r="K147" s="285"/>
      <c r="L147" s="289"/>
      <c r="M147" s="294"/>
    </row>
    <row r="148" spans="1:13" ht="18" customHeight="1" outlineLevel="1" x14ac:dyDescent="0.25">
      <c r="A148" s="891"/>
      <c r="B148" s="1037" t="s">
        <v>85</v>
      </c>
      <c r="C148" s="335">
        <v>5166</v>
      </c>
      <c r="D148" s="211">
        <v>750000</v>
      </c>
      <c r="E148" s="211">
        <v>750000</v>
      </c>
      <c r="F148" s="211">
        <v>750000</v>
      </c>
      <c r="G148" s="211">
        <v>750000</v>
      </c>
      <c r="H148" s="212">
        <f>'Výdaje kapitol celkem'!G31</f>
        <v>750000</v>
      </c>
      <c r="I148" s="1368">
        <f t="shared" si="2"/>
        <v>0</v>
      </c>
      <c r="J148" s="284"/>
      <c r="K148" s="285"/>
      <c r="L148" s="289"/>
    </row>
    <row r="149" spans="1:13" ht="18" customHeight="1" outlineLevel="1" x14ac:dyDescent="0.25">
      <c r="A149" s="891"/>
      <c r="B149" s="1037" t="s">
        <v>86</v>
      </c>
      <c r="C149" s="335">
        <v>5167</v>
      </c>
      <c r="D149" s="211">
        <v>415000</v>
      </c>
      <c r="E149" s="211">
        <v>415000</v>
      </c>
      <c r="F149" s="211">
        <v>415000</v>
      </c>
      <c r="G149" s="211">
        <v>415000</v>
      </c>
      <c r="H149" s="212">
        <f>'Výdaje kapitol celkem'!G32</f>
        <v>415000</v>
      </c>
      <c r="I149" s="1368">
        <f t="shared" si="2"/>
        <v>0</v>
      </c>
      <c r="J149" s="284"/>
      <c r="K149" s="285"/>
      <c r="L149" s="289"/>
    </row>
    <row r="150" spans="1:13" ht="18" customHeight="1" outlineLevel="1" x14ac:dyDescent="0.25">
      <c r="A150" s="891"/>
      <c r="B150" s="1037" t="s">
        <v>87</v>
      </c>
      <c r="C150" s="335">
        <v>5168</v>
      </c>
      <c r="D150" s="211">
        <v>915000</v>
      </c>
      <c r="E150" s="211">
        <v>915000</v>
      </c>
      <c r="F150" s="211">
        <v>915000</v>
      </c>
      <c r="G150" s="211">
        <v>915000</v>
      </c>
      <c r="H150" s="212">
        <f>'Výdaje kapitol celkem'!G33</f>
        <v>915000</v>
      </c>
      <c r="I150" s="1368">
        <f t="shared" si="2"/>
        <v>0</v>
      </c>
      <c r="J150" s="284"/>
      <c r="K150" s="285"/>
      <c r="L150" s="289"/>
    </row>
    <row r="151" spans="1:13" outlineLevel="1" x14ac:dyDescent="0.25">
      <c r="A151" s="897"/>
      <c r="B151" s="1041" t="s">
        <v>88</v>
      </c>
      <c r="C151" s="442">
        <v>5169</v>
      </c>
      <c r="D151" s="1174">
        <v>18463600</v>
      </c>
      <c r="E151" s="1174">
        <v>18463600</v>
      </c>
      <c r="F151" s="1174">
        <v>18463600</v>
      </c>
      <c r="G151" s="1174">
        <v>19513600</v>
      </c>
      <c r="H151" s="899">
        <f>'Výdaje kapitol celkem'!G34</f>
        <v>19651807</v>
      </c>
      <c r="I151" s="1368">
        <f t="shared" si="2"/>
        <v>138207</v>
      </c>
      <c r="J151" s="284"/>
      <c r="K151" s="285"/>
      <c r="L151" s="1326" t="s">
        <v>2893</v>
      </c>
      <c r="M151" s="294"/>
    </row>
    <row r="152" spans="1:13" s="293" customFormat="1" outlineLevel="1" x14ac:dyDescent="0.2">
      <c r="A152" s="897"/>
      <c r="B152" s="1041" t="s">
        <v>89</v>
      </c>
      <c r="C152" s="442">
        <v>5171</v>
      </c>
      <c r="D152" s="1174">
        <v>27516480</v>
      </c>
      <c r="E152" s="1174">
        <v>31321480</v>
      </c>
      <c r="F152" s="1174">
        <v>34771480</v>
      </c>
      <c r="G152" s="1174">
        <v>39749108</v>
      </c>
      <c r="H152" s="899">
        <f>'Výdaje kapitol celkem'!G35</f>
        <v>40199108</v>
      </c>
      <c r="I152" s="2752">
        <f t="shared" si="2"/>
        <v>450000</v>
      </c>
      <c r="J152" s="2753"/>
      <c r="K152" s="2754"/>
      <c r="L152" s="1326" t="s">
        <v>2945</v>
      </c>
    </row>
    <row r="153" spans="1:13" ht="18" customHeight="1" outlineLevel="1" x14ac:dyDescent="0.25">
      <c r="A153" s="891"/>
      <c r="B153" s="1037" t="s">
        <v>90</v>
      </c>
      <c r="C153" s="335">
        <v>5172</v>
      </c>
      <c r="D153" s="211">
        <v>3378000</v>
      </c>
      <c r="E153" s="211">
        <v>3378000</v>
      </c>
      <c r="F153" s="211">
        <v>3378000</v>
      </c>
      <c r="G153" s="211">
        <v>3378000</v>
      </c>
      <c r="H153" s="212">
        <f>'Výdaje kapitol celkem'!G36</f>
        <v>3378000</v>
      </c>
      <c r="I153" s="1368">
        <f t="shared" si="2"/>
        <v>0</v>
      </c>
      <c r="J153" s="284"/>
      <c r="K153" s="285"/>
      <c r="L153" s="289"/>
    </row>
    <row r="154" spans="1:13" ht="16.149999999999999" customHeight="1" outlineLevel="1" x14ac:dyDescent="0.25">
      <c r="A154" s="891"/>
      <c r="B154" s="1037" t="s">
        <v>91</v>
      </c>
      <c r="C154" s="335">
        <v>5173</v>
      </c>
      <c r="D154" s="211">
        <v>62000</v>
      </c>
      <c r="E154" s="211">
        <v>62000</v>
      </c>
      <c r="F154" s="211">
        <v>62000</v>
      </c>
      <c r="G154" s="211">
        <v>62000</v>
      </c>
      <c r="H154" s="212">
        <f>'Výdaje kapitol celkem'!G37</f>
        <v>62000</v>
      </c>
      <c r="I154" s="1368">
        <f t="shared" si="2"/>
        <v>0</v>
      </c>
      <c r="J154" s="284"/>
      <c r="K154" s="285"/>
      <c r="L154" s="289"/>
    </row>
    <row r="155" spans="1:13" ht="18" customHeight="1" outlineLevel="1" x14ac:dyDescent="0.25">
      <c r="A155" s="891"/>
      <c r="B155" s="1037" t="s">
        <v>92</v>
      </c>
      <c r="C155" s="335">
        <v>5175</v>
      </c>
      <c r="D155" s="211">
        <v>440000</v>
      </c>
      <c r="E155" s="211">
        <v>440000</v>
      </c>
      <c r="F155" s="211">
        <v>440000</v>
      </c>
      <c r="G155" s="211">
        <v>440000</v>
      </c>
      <c r="H155" s="212">
        <f>'Výdaje kapitol celkem'!G38</f>
        <v>458822</v>
      </c>
      <c r="I155" s="1368">
        <f t="shared" si="2"/>
        <v>18822</v>
      </c>
      <c r="J155" s="284"/>
      <c r="K155" s="285"/>
      <c r="L155" s="289" t="s">
        <v>871</v>
      </c>
    </row>
    <row r="156" spans="1:13" ht="18" hidden="1" customHeight="1" outlineLevel="1" x14ac:dyDescent="0.25">
      <c r="A156" s="891"/>
      <c r="B156" s="1037" t="s">
        <v>93</v>
      </c>
      <c r="C156" s="335">
        <v>5179</v>
      </c>
      <c r="D156" s="211">
        <v>0</v>
      </c>
      <c r="E156" s="211">
        <v>0</v>
      </c>
      <c r="F156" s="211">
        <v>0</v>
      </c>
      <c r="G156" s="211">
        <v>0</v>
      </c>
      <c r="H156" s="212">
        <f>'Výdaje kapitol celkem'!G39</f>
        <v>0</v>
      </c>
      <c r="I156" s="1368">
        <f t="shared" si="2"/>
        <v>0</v>
      </c>
      <c r="J156" s="284"/>
      <c r="K156" s="285"/>
      <c r="L156" s="289"/>
    </row>
    <row r="157" spans="1:13" ht="18" hidden="1" customHeight="1" outlineLevel="1" x14ac:dyDescent="0.25">
      <c r="A157" s="891"/>
      <c r="B157" s="1037" t="s">
        <v>357</v>
      </c>
      <c r="C157" s="335">
        <v>5192</v>
      </c>
      <c r="D157" s="211">
        <v>0</v>
      </c>
      <c r="E157" s="211">
        <v>0</v>
      </c>
      <c r="F157" s="211">
        <v>0</v>
      </c>
      <c r="G157" s="211">
        <v>0</v>
      </c>
      <c r="H157" s="212">
        <f>'Výdaje kapitol celkem'!G40</f>
        <v>0</v>
      </c>
      <c r="I157" s="1368">
        <f t="shared" si="2"/>
        <v>0</v>
      </c>
      <c r="J157" s="284"/>
      <c r="K157" s="285"/>
      <c r="L157" s="289"/>
    </row>
    <row r="158" spans="1:13" ht="18" customHeight="1" outlineLevel="1" x14ac:dyDescent="0.25">
      <c r="A158" s="891"/>
      <c r="B158" s="1037" t="s">
        <v>94</v>
      </c>
      <c r="C158" s="335">
        <v>5193</v>
      </c>
      <c r="D158" s="211">
        <v>3178575</v>
      </c>
      <c r="E158" s="211">
        <v>3178575</v>
      </c>
      <c r="F158" s="211">
        <v>3178575</v>
      </c>
      <c r="G158" s="211">
        <v>3178575</v>
      </c>
      <c r="H158" s="212">
        <f>'Výdaje kapitol celkem'!G41</f>
        <v>3178575</v>
      </c>
      <c r="I158" s="1368">
        <f t="shared" si="2"/>
        <v>0</v>
      </c>
      <c r="J158" s="284"/>
      <c r="K158" s="285"/>
      <c r="L158" s="289"/>
    </row>
    <row r="159" spans="1:13" ht="18" customHeight="1" outlineLevel="1" x14ac:dyDescent="0.25">
      <c r="A159" s="891"/>
      <c r="B159" s="1037" t="s">
        <v>95</v>
      </c>
      <c r="C159" s="335">
        <v>5194</v>
      </c>
      <c r="D159" s="211">
        <v>325000</v>
      </c>
      <c r="E159" s="211">
        <v>325000</v>
      </c>
      <c r="F159" s="211">
        <v>325000</v>
      </c>
      <c r="G159" s="211">
        <v>325000</v>
      </c>
      <c r="H159" s="212">
        <f>'Výdaje kapitol celkem'!G42</f>
        <v>333000</v>
      </c>
      <c r="I159" s="1368">
        <f t="shared" si="2"/>
        <v>8000</v>
      </c>
      <c r="J159" s="284"/>
      <c r="K159" s="285"/>
      <c r="L159" s="289"/>
    </row>
    <row r="160" spans="1:13" ht="18" customHeight="1" outlineLevel="1" x14ac:dyDescent="0.25">
      <c r="A160" s="891"/>
      <c r="B160" s="1037" t="s">
        <v>96</v>
      </c>
      <c r="C160" s="335">
        <v>5329</v>
      </c>
      <c r="D160" s="211">
        <v>3912960</v>
      </c>
      <c r="E160" s="211">
        <v>3912960</v>
      </c>
      <c r="F160" s="211">
        <v>3912960</v>
      </c>
      <c r="G160" s="211">
        <v>3912960</v>
      </c>
      <c r="H160" s="212">
        <f>'Výdaje kapitol celkem'!G43</f>
        <v>7836808.3799999999</v>
      </c>
      <c r="I160" s="1368">
        <f t="shared" si="2"/>
        <v>3923848.38</v>
      </c>
      <c r="J160" s="284"/>
      <c r="K160" s="285"/>
      <c r="L160" s="289" t="s">
        <v>2946</v>
      </c>
    </row>
    <row r="161" spans="1:12" s="293" customFormat="1" outlineLevel="1" x14ac:dyDescent="0.25">
      <c r="A161" s="897"/>
      <c r="B161" s="1041" t="s">
        <v>97</v>
      </c>
      <c r="C161" s="442">
        <v>5331</v>
      </c>
      <c r="D161" s="1174">
        <v>46821803</v>
      </c>
      <c r="E161" s="1174">
        <v>46821803</v>
      </c>
      <c r="F161" s="1174">
        <v>46821803</v>
      </c>
      <c r="G161" s="1174">
        <v>46821803</v>
      </c>
      <c r="H161" s="899">
        <f>'Výdaje kapitol celkem'!G44</f>
        <v>46821803</v>
      </c>
      <c r="I161" s="1368">
        <f t="shared" si="2"/>
        <v>0</v>
      </c>
      <c r="J161" s="284"/>
      <c r="K161" s="285"/>
      <c r="L161" s="1326"/>
    </row>
    <row r="162" spans="1:12" ht="18" customHeight="1" outlineLevel="1" x14ac:dyDescent="0.25">
      <c r="A162" s="891"/>
      <c r="B162" s="1037" t="s">
        <v>98</v>
      </c>
      <c r="C162" s="335">
        <v>5361</v>
      </c>
      <c r="D162" s="211">
        <v>40000</v>
      </c>
      <c r="E162" s="211">
        <v>40000</v>
      </c>
      <c r="F162" s="211">
        <v>40000</v>
      </c>
      <c r="G162" s="211">
        <v>40000</v>
      </c>
      <c r="H162" s="212">
        <f>'Výdaje kapitol celkem'!G45</f>
        <v>40000</v>
      </c>
      <c r="I162" s="1368">
        <f t="shared" si="2"/>
        <v>0</v>
      </c>
      <c r="J162" s="284"/>
      <c r="K162" s="285"/>
      <c r="L162" s="289"/>
    </row>
    <row r="163" spans="1:12" ht="18" customHeight="1" outlineLevel="1" x14ac:dyDescent="0.25">
      <c r="A163" s="891"/>
      <c r="B163" s="1037" t="s">
        <v>99</v>
      </c>
      <c r="C163" s="335">
        <v>5362</v>
      </c>
      <c r="D163" s="211">
        <v>3710000</v>
      </c>
      <c r="E163" s="211">
        <v>3710000</v>
      </c>
      <c r="F163" s="211">
        <v>3710000</v>
      </c>
      <c r="G163" s="211">
        <v>4990970</v>
      </c>
      <c r="H163" s="212">
        <f>'Výdaje kapitol celkem'!G46</f>
        <v>4990970</v>
      </c>
      <c r="I163" s="1368">
        <f t="shared" si="2"/>
        <v>0</v>
      </c>
      <c r="J163" s="284"/>
      <c r="K163" s="285"/>
      <c r="L163" s="289"/>
    </row>
    <row r="164" spans="1:12" ht="18" hidden="1" customHeight="1" outlineLevel="1" x14ac:dyDescent="0.25">
      <c r="A164" s="891"/>
      <c r="B164" s="1037" t="s">
        <v>775</v>
      </c>
      <c r="C164" s="335">
        <v>5363</v>
      </c>
      <c r="D164" s="211">
        <v>0</v>
      </c>
      <c r="E164" s="211">
        <v>0</v>
      </c>
      <c r="F164" s="211">
        <v>0</v>
      </c>
      <c r="G164" s="211">
        <v>0</v>
      </c>
      <c r="H164" s="212">
        <f>'Výdaje kapitol celkem'!G47</f>
        <v>0</v>
      </c>
      <c r="I164" s="1368">
        <f t="shared" si="2"/>
        <v>0</v>
      </c>
      <c r="J164" s="284"/>
      <c r="K164" s="285"/>
      <c r="L164" s="289"/>
    </row>
    <row r="165" spans="1:12" outlineLevel="1" x14ac:dyDescent="0.25">
      <c r="A165" s="891"/>
      <c r="B165" s="1037" t="s">
        <v>100</v>
      </c>
      <c r="C165" s="335">
        <v>5492</v>
      </c>
      <c r="D165" s="211">
        <v>470000</v>
      </c>
      <c r="E165" s="211">
        <v>470000</v>
      </c>
      <c r="F165" s="211">
        <v>470000</v>
      </c>
      <c r="G165" s="211">
        <v>470000</v>
      </c>
      <c r="H165" s="212">
        <f>'Výdaje kapitol celkem'!G48</f>
        <v>470000</v>
      </c>
      <c r="I165" s="1368">
        <f t="shared" si="2"/>
        <v>0</v>
      </c>
      <c r="J165" s="284"/>
      <c r="K165" s="285"/>
      <c r="L165" s="1330"/>
    </row>
    <row r="166" spans="1:12" ht="18" customHeight="1" outlineLevel="1" x14ac:dyDescent="0.25">
      <c r="A166" s="891"/>
      <c r="B166" s="1037" t="s">
        <v>735</v>
      </c>
      <c r="C166" s="335">
        <v>5499</v>
      </c>
      <c r="D166" s="211">
        <v>1980000</v>
      </c>
      <c r="E166" s="211">
        <v>1980000</v>
      </c>
      <c r="F166" s="211">
        <v>1980000</v>
      </c>
      <c r="G166" s="211">
        <v>1980000</v>
      </c>
      <c r="H166" s="212">
        <f>'Výdaje kapitol celkem'!G49</f>
        <v>1980000</v>
      </c>
      <c r="I166" s="1368">
        <f t="shared" si="2"/>
        <v>0</v>
      </c>
      <c r="J166" s="284"/>
      <c r="K166" s="285"/>
      <c r="L166" s="289"/>
    </row>
    <row r="167" spans="1:12" ht="18" customHeight="1" outlineLevel="1" x14ac:dyDescent="0.25">
      <c r="A167" s="891"/>
      <c r="B167" s="1037" t="s">
        <v>101</v>
      </c>
      <c r="C167" s="335">
        <v>5222</v>
      </c>
      <c r="D167" s="211">
        <v>1200000</v>
      </c>
      <c r="E167" s="211">
        <v>1200000</v>
      </c>
      <c r="F167" s="211">
        <v>1200000</v>
      </c>
      <c r="G167" s="211">
        <v>1200000</v>
      </c>
      <c r="H167" s="212">
        <f>'Výdaje kapitol celkem'!G50</f>
        <v>1200000</v>
      </c>
      <c r="I167" s="1368">
        <f t="shared" si="2"/>
        <v>0</v>
      </c>
      <c r="J167" s="284"/>
      <c r="K167" s="285"/>
      <c r="L167" s="289"/>
    </row>
    <row r="168" spans="1:12" ht="18" customHeight="1" outlineLevel="1" x14ac:dyDescent="0.25">
      <c r="A168" s="891"/>
      <c r="B168" s="1037" t="s">
        <v>761</v>
      </c>
      <c r="C168" s="335">
        <v>5903</v>
      </c>
      <c r="D168" s="211">
        <v>77958.766499999998</v>
      </c>
      <c r="E168" s="211">
        <v>77958.766499999998</v>
      </c>
      <c r="F168" s="211">
        <v>77958.766499999998</v>
      </c>
      <c r="G168" s="211">
        <v>77958.766499999998</v>
      </c>
      <c r="H168" s="212">
        <f>'Výdaje kapitol celkem'!G51</f>
        <v>77958.766499999998</v>
      </c>
      <c r="I168" s="1368">
        <f t="shared" si="2"/>
        <v>0</v>
      </c>
      <c r="J168" s="284"/>
      <c r="K168" s="285"/>
      <c r="L168" s="289"/>
    </row>
    <row r="169" spans="1:12" s="286" customFormat="1" ht="18" customHeight="1" outlineLevel="1" x14ac:dyDescent="0.25">
      <c r="A169" s="890"/>
      <c r="B169" s="1042" t="s">
        <v>128</v>
      </c>
      <c r="C169" s="443">
        <v>5141</v>
      </c>
      <c r="D169" s="371">
        <v>3168014.6474499996</v>
      </c>
      <c r="E169" s="371">
        <v>3233488.1372699994</v>
      </c>
      <c r="F169" s="371">
        <v>3233488.1372699994</v>
      </c>
      <c r="G169" s="371">
        <v>3233488.1372699994</v>
      </c>
      <c r="H169" s="439">
        <f>'Výdaje kapitol celkem'!G53</f>
        <v>2307952.5247400003</v>
      </c>
      <c r="I169" s="1368">
        <f t="shared" si="2"/>
        <v>-925535.61252999911</v>
      </c>
      <c r="J169" s="291"/>
      <c r="K169" s="291"/>
      <c r="L169" s="289"/>
    </row>
    <row r="170" spans="1:12" outlineLevel="1" x14ac:dyDescent="0.25">
      <c r="A170" s="891"/>
      <c r="B170" s="1037" t="s">
        <v>736</v>
      </c>
      <c r="C170" s="1035">
        <v>5144</v>
      </c>
      <c r="D170" s="1171">
        <v>0</v>
      </c>
      <c r="E170" s="1171">
        <v>0</v>
      </c>
      <c r="F170" s="1171">
        <v>0</v>
      </c>
      <c r="G170" s="1171">
        <v>0</v>
      </c>
      <c r="H170" s="1036">
        <f>'Výdaje kapitol celkem'!G54</f>
        <v>0</v>
      </c>
      <c r="I170" s="1368">
        <f t="shared" si="2"/>
        <v>0</v>
      </c>
      <c r="J170" s="284"/>
      <c r="K170" s="285"/>
      <c r="L170" s="289"/>
    </row>
    <row r="171" spans="1:12" s="280" customFormat="1" ht="17.25" thickBot="1" x14ac:dyDescent="0.35">
      <c r="A171" s="1340" t="s">
        <v>240</v>
      </c>
      <c r="B171" s="1360" t="s">
        <v>241</v>
      </c>
      <c r="C171" s="1342"/>
      <c r="D171" s="1343">
        <v>147225954</v>
      </c>
      <c r="E171" s="1343">
        <v>121829608</v>
      </c>
      <c r="F171" s="1343">
        <v>128229608</v>
      </c>
      <c r="G171" s="1343">
        <v>126838915.56999999</v>
      </c>
      <c r="H171" s="1344">
        <f>SUM(H172:H182)</f>
        <v>96832091</v>
      </c>
      <c r="I171" s="1368">
        <f t="shared" si="2"/>
        <v>-30006824.569999993</v>
      </c>
      <c r="J171" s="1729"/>
      <c r="K171" s="285"/>
      <c r="L171" s="289"/>
    </row>
    <row r="172" spans="1:12" ht="21" customHeight="1" outlineLevel="1" thickTop="1" x14ac:dyDescent="0.25">
      <c r="A172" s="891"/>
      <c r="B172" s="1044" t="s">
        <v>90</v>
      </c>
      <c r="C172" s="888">
        <v>6111</v>
      </c>
      <c r="D172" s="1172">
        <v>0</v>
      </c>
      <c r="E172" s="1172">
        <v>0</v>
      </c>
      <c r="F172" s="1172">
        <v>0</v>
      </c>
      <c r="G172" s="1172">
        <v>0</v>
      </c>
      <c r="H172" s="895">
        <f>'Výdaje kapitol celkem'!G57</f>
        <v>0</v>
      </c>
      <c r="I172" s="1368">
        <f t="shared" si="2"/>
        <v>0</v>
      </c>
      <c r="J172" s="284"/>
      <c r="K172" s="285"/>
      <c r="L172" s="289"/>
    </row>
    <row r="173" spans="1:12" s="293" customFormat="1" outlineLevel="1" x14ac:dyDescent="0.25">
      <c r="A173" s="897"/>
      <c r="B173" s="1041" t="s">
        <v>105</v>
      </c>
      <c r="C173" s="442">
        <v>6121</v>
      </c>
      <c r="D173" s="1174">
        <v>59585267</v>
      </c>
      <c r="E173" s="1174">
        <v>56426000</v>
      </c>
      <c r="F173" s="1174">
        <v>60526000</v>
      </c>
      <c r="G173" s="1174">
        <v>62948999.57</v>
      </c>
      <c r="H173" s="899">
        <f>'Výdaje kapitol celkem'!G58</f>
        <v>34312940</v>
      </c>
      <c r="I173" s="1368">
        <f t="shared" si="2"/>
        <v>-28636059.57</v>
      </c>
      <c r="J173" s="284"/>
      <c r="K173" s="285"/>
      <c r="L173" s="1326" t="s">
        <v>2883</v>
      </c>
    </row>
    <row r="174" spans="1:12" s="293" customFormat="1" outlineLevel="1" x14ac:dyDescent="0.25">
      <c r="A174" s="897"/>
      <c r="B174" s="1041" t="s">
        <v>106</v>
      </c>
      <c r="C174" s="442">
        <v>6121</v>
      </c>
      <c r="D174" s="211">
        <v>8203550</v>
      </c>
      <c r="E174" s="211">
        <v>8203550</v>
      </c>
      <c r="F174" s="211">
        <v>8503550</v>
      </c>
      <c r="G174" s="211">
        <v>8503550</v>
      </c>
      <c r="H174" s="212">
        <f>'Výdaje kapitol celkem'!G59</f>
        <v>8535343</v>
      </c>
      <c r="I174" s="1368">
        <f t="shared" si="2"/>
        <v>31793</v>
      </c>
      <c r="J174" s="284"/>
      <c r="K174" s="285"/>
      <c r="L174" s="1326" t="s">
        <v>2883</v>
      </c>
    </row>
    <row r="175" spans="1:12" hidden="1" outlineLevel="1" x14ac:dyDescent="0.25">
      <c r="A175" s="897"/>
      <c r="B175" s="1041" t="s">
        <v>107</v>
      </c>
      <c r="C175" s="442">
        <v>6122</v>
      </c>
      <c r="D175" s="1174">
        <v>0</v>
      </c>
      <c r="E175" s="1174">
        <v>0</v>
      </c>
      <c r="F175" s="1174">
        <v>0</v>
      </c>
      <c r="G175" s="1174">
        <v>0</v>
      </c>
      <c r="H175" s="899">
        <f>'Výdaje kapitol celkem'!G60</f>
        <v>0</v>
      </c>
      <c r="I175" s="1368">
        <f t="shared" si="2"/>
        <v>0</v>
      </c>
      <c r="J175" s="284"/>
      <c r="K175" s="285"/>
      <c r="L175" s="1334"/>
    </row>
    <row r="176" spans="1:12" ht="18.75" customHeight="1" outlineLevel="1" x14ac:dyDescent="0.25">
      <c r="A176" s="891"/>
      <c r="B176" s="1037" t="s">
        <v>108</v>
      </c>
      <c r="C176" s="335">
        <v>6123</v>
      </c>
      <c r="D176" s="211">
        <v>800000</v>
      </c>
      <c r="E176" s="211">
        <v>1600000</v>
      </c>
      <c r="F176" s="211">
        <v>1600000</v>
      </c>
      <c r="G176" s="211">
        <v>1600000</v>
      </c>
      <c r="H176" s="212">
        <f>'Výdaje kapitol celkem'!G61</f>
        <v>1600000</v>
      </c>
      <c r="I176" s="1368">
        <f t="shared" si="2"/>
        <v>0</v>
      </c>
      <c r="J176" s="284"/>
      <c r="K176" s="285"/>
      <c r="L176" s="1326"/>
    </row>
    <row r="177" spans="1:12" ht="18.75" customHeight="1" outlineLevel="1" x14ac:dyDescent="0.25">
      <c r="A177" s="891"/>
      <c r="B177" s="1037" t="s">
        <v>109</v>
      </c>
      <c r="C177" s="335">
        <v>6125</v>
      </c>
      <c r="D177" s="211">
        <v>240000</v>
      </c>
      <c r="E177" s="211">
        <v>240000</v>
      </c>
      <c r="F177" s="211">
        <v>240000</v>
      </c>
      <c r="G177" s="211">
        <v>3986684</v>
      </c>
      <c r="H177" s="212">
        <f>'Výdaje kapitol celkem'!G62</f>
        <v>0</v>
      </c>
      <c r="I177" s="1368">
        <f t="shared" si="2"/>
        <v>-3986684</v>
      </c>
      <c r="J177" s="284"/>
      <c r="K177" s="285"/>
      <c r="L177" s="1326" t="s">
        <v>2883</v>
      </c>
    </row>
    <row r="178" spans="1:12" ht="18.75" hidden="1" customHeight="1" outlineLevel="1" x14ac:dyDescent="0.25">
      <c r="A178" s="891"/>
      <c r="B178" s="1037" t="s">
        <v>110</v>
      </c>
      <c r="C178" s="335">
        <v>6129</v>
      </c>
      <c r="D178" s="211">
        <v>0</v>
      </c>
      <c r="E178" s="211">
        <v>0</v>
      </c>
      <c r="F178" s="211">
        <v>0</v>
      </c>
      <c r="G178" s="211">
        <v>0</v>
      </c>
      <c r="H178" s="212">
        <f>'Výdaje kapitol celkem'!G63</f>
        <v>0</v>
      </c>
      <c r="I178" s="1368">
        <f t="shared" si="2"/>
        <v>0</v>
      </c>
      <c r="J178" s="284"/>
      <c r="K178" s="285"/>
      <c r="L178" s="1334"/>
    </row>
    <row r="179" spans="1:12" outlineLevel="1" x14ac:dyDescent="0.25">
      <c r="A179" s="891"/>
      <c r="B179" s="1037" t="s">
        <v>111</v>
      </c>
      <c r="C179" s="335">
        <v>6130</v>
      </c>
      <c r="D179" s="211">
        <v>5740255</v>
      </c>
      <c r="E179" s="211">
        <v>5740255</v>
      </c>
      <c r="F179" s="211">
        <v>7740255</v>
      </c>
      <c r="G179" s="211">
        <v>7740255</v>
      </c>
      <c r="H179" s="212">
        <f>'Výdaje kapitol celkem'!G64</f>
        <v>8424381</v>
      </c>
      <c r="I179" s="1368">
        <f t="shared" si="2"/>
        <v>684126</v>
      </c>
      <c r="J179" s="284"/>
      <c r="K179" s="285"/>
      <c r="L179" s="1326" t="s">
        <v>2883</v>
      </c>
    </row>
    <row r="180" spans="1:12" ht="18.75" customHeight="1" outlineLevel="1" x14ac:dyDescent="0.25">
      <c r="A180" s="891"/>
      <c r="B180" s="1037" t="s">
        <v>2469</v>
      </c>
      <c r="C180" s="335">
        <v>6349</v>
      </c>
      <c r="D180" s="211">
        <v>0</v>
      </c>
      <c r="E180" s="211">
        <v>40977883</v>
      </c>
      <c r="F180" s="211">
        <v>40977883</v>
      </c>
      <c r="G180" s="211">
        <v>33417507</v>
      </c>
      <c r="H180" s="212">
        <f>'Výdaje kapitol celkem'!G65</f>
        <v>33417507</v>
      </c>
      <c r="I180" s="1368">
        <f t="shared" si="2"/>
        <v>0</v>
      </c>
      <c r="J180" s="284"/>
      <c r="K180" s="285"/>
      <c r="L180" s="1334"/>
    </row>
    <row r="181" spans="1:12" ht="27" outlineLevel="1" x14ac:dyDescent="0.25">
      <c r="A181" s="891"/>
      <c r="B181" s="1037" t="s">
        <v>294</v>
      </c>
      <c r="C181" s="335">
        <v>6351</v>
      </c>
      <c r="D181" s="211">
        <v>72656882</v>
      </c>
      <c r="E181" s="211">
        <v>8641920</v>
      </c>
      <c r="F181" s="211">
        <v>8641920</v>
      </c>
      <c r="G181" s="211">
        <v>8641920</v>
      </c>
      <c r="H181" s="212">
        <f>'Výdaje kapitol celkem'!G66</f>
        <v>10541920</v>
      </c>
      <c r="I181" s="1368">
        <f t="shared" si="2"/>
        <v>1900000</v>
      </c>
      <c r="J181" s="284"/>
      <c r="K181" s="285"/>
      <c r="L181" s="1326" t="s">
        <v>2944</v>
      </c>
    </row>
    <row r="182" spans="1:12" outlineLevel="1" x14ac:dyDescent="0.25">
      <c r="A182" s="891" t="s">
        <v>581</v>
      </c>
      <c r="B182" s="1037" t="s">
        <v>294</v>
      </c>
      <c r="C182" s="335">
        <v>6349</v>
      </c>
      <c r="D182" s="211">
        <v>0</v>
      </c>
      <c r="E182" s="211">
        <v>0</v>
      </c>
      <c r="F182" s="211">
        <v>0</v>
      </c>
      <c r="G182" s="211">
        <v>0</v>
      </c>
      <c r="H182" s="212">
        <f>'Výdaje kapitol celkem'!G68</f>
        <v>0</v>
      </c>
      <c r="I182" s="1368">
        <f t="shared" si="2"/>
        <v>0</v>
      </c>
      <c r="J182" s="284"/>
      <c r="K182" s="285"/>
      <c r="L182" s="289"/>
    </row>
    <row r="183" spans="1:12" outlineLevel="1" x14ac:dyDescent="0.25">
      <c r="A183" s="891"/>
      <c r="B183" s="1039"/>
      <c r="C183" s="1035"/>
      <c r="D183" s="1171"/>
      <c r="E183" s="1171"/>
      <c r="F183" s="1171"/>
      <c r="G183" s="1171"/>
      <c r="H183" s="1036"/>
      <c r="I183" s="1368">
        <f t="shared" si="2"/>
        <v>0</v>
      </c>
      <c r="J183" s="284"/>
      <c r="K183" s="285"/>
      <c r="L183" s="289"/>
    </row>
    <row r="184" spans="1:12" s="280" customFormat="1" ht="17.25" thickBot="1" x14ac:dyDescent="0.35">
      <c r="A184" s="1340" t="s">
        <v>231</v>
      </c>
      <c r="B184" s="1360" t="s">
        <v>232</v>
      </c>
      <c r="C184" s="1342"/>
      <c r="D184" s="1343">
        <v>6511285.9860500097</v>
      </c>
      <c r="E184" s="1343">
        <v>8842583.4962300062</v>
      </c>
      <c r="F184" s="1343">
        <v>7698641.4962300062</v>
      </c>
      <c r="G184" s="1343">
        <v>13309586.926230013</v>
      </c>
      <c r="H184" s="1344">
        <f>SUM(H185:H187)</f>
        <v>36272500.558759987</v>
      </c>
      <c r="I184" s="1368">
        <f t="shared" si="2"/>
        <v>22962913.632529974</v>
      </c>
      <c r="J184" s="284"/>
      <c r="K184" s="285"/>
      <c r="L184" s="289"/>
    </row>
    <row r="185" spans="1:12" ht="20.25" customHeight="1" outlineLevel="1" thickTop="1" x14ac:dyDescent="0.25">
      <c r="A185" s="891"/>
      <c r="B185" s="1044" t="s">
        <v>2544</v>
      </c>
      <c r="C185" s="888">
        <v>8115</v>
      </c>
      <c r="D185" s="1172">
        <v>57372.986050009727</v>
      </c>
      <c r="E185" s="1172">
        <v>1479579.4962300062</v>
      </c>
      <c r="F185" s="1172">
        <v>335637.49623000622</v>
      </c>
      <c r="G185" s="1172">
        <v>5946582.9262300134</v>
      </c>
      <c r="H185" s="895">
        <f>'Výdaje kapitol celkem'!G67</f>
        <v>7129529.5587599874</v>
      </c>
      <c r="I185" s="1368">
        <f t="shared" si="2"/>
        <v>1182946.632529974</v>
      </c>
      <c r="J185" s="284"/>
      <c r="K185" s="285"/>
      <c r="L185" s="289"/>
    </row>
    <row r="186" spans="1:12" ht="20.25" hidden="1" customHeight="1" outlineLevel="1" x14ac:dyDescent="0.25">
      <c r="A186" s="891"/>
      <c r="B186" s="1037" t="s">
        <v>118</v>
      </c>
      <c r="C186" s="335">
        <v>8115</v>
      </c>
      <c r="D186" s="211"/>
      <c r="E186" s="211"/>
      <c r="F186" s="211"/>
      <c r="G186" s="211"/>
      <c r="H186" s="212"/>
      <c r="I186" s="1368">
        <f t="shared" si="2"/>
        <v>0</v>
      </c>
      <c r="J186" s="284"/>
      <c r="K186" s="285"/>
      <c r="L186" s="289"/>
    </row>
    <row r="187" spans="1:12" s="290" customFormat="1" ht="20.25" customHeight="1" outlineLevel="1" x14ac:dyDescent="0.25">
      <c r="A187" s="892"/>
      <c r="B187" s="1042" t="s">
        <v>738</v>
      </c>
      <c r="C187" s="443" t="s">
        <v>115</v>
      </c>
      <c r="D187" s="371">
        <v>6453913</v>
      </c>
      <c r="E187" s="371">
        <v>7363004</v>
      </c>
      <c r="F187" s="371">
        <v>7363004</v>
      </c>
      <c r="G187" s="371">
        <v>7363004</v>
      </c>
      <c r="H187" s="439">
        <f>'Výdaje kapitol celkem'!G71</f>
        <v>29142971</v>
      </c>
      <c r="I187" s="1368">
        <f t="shared" si="2"/>
        <v>21779967</v>
      </c>
      <c r="J187" s="284"/>
      <c r="K187" s="284"/>
      <c r="L187" s="289" t="s">
        <v>2951</v>
      </c>
    </row>
    <row r="188" spans="1:12" ht="16.5" outlineLevel="1" thickBot="1" x14ac:dyDescent="0.3">
      <c r="A188" s="891"/>
      <c r="B188" s="1045"/>
      <c r="C188" s="893"/>
      <c r="D188" s="1175"/>
      <c r="E188" s="1175"/>
      <c r="F188" s="1175"/>
      <c r="G188" s="1175"/>
      <c r="H188" s="894"/>
      <c r="I188" s="1368">
        <f t="shared" si="2"/>
        <v>0</v>
      </c>
      <c r="J188" s="284"/>
      <c r="K188" s="285"/>
      <c r="L188" s="289"/>
    </row>
    <row r="189" spans="1:12" s="280" customFormat="1" ht="17.25" thickBot="1" x14ac:dyDescent="0.35">
      <c r="A189" s="1350" t="s">
        <v>242</v>
      </c>
      <c r="B189" s="1351"/>
      <c r="C189" s="1352"/>
      <c r="D189" s="1353">
        <v>336225459</v>
      </c>
      <c r="E189" s="1353">
        <v>317635564</v>
      </c>
      <c r="F189" s="1353">
        <v>326660964</v>
      </c>
      <c r="G189" s="1353">
        <v>338293815</v>
      </c>
      <c r="H189" s="1354">
        <f>+H184+H171+H122</f>
        <v>335199248</v>
      </c>
      <c r="I189" s="1368">
        <f t="shared" si="2"/>
        <v>-3094567</v>
      </c>
      <c r="J189" s="284"/>
      <c r="K189" s="285"/>
      <c r="L189" s="289"/>
    </row>
    <row r="190" spans="1:12" s="286" customFormat="1" x14ac:dyDescent="0.25">
      <c r="A190" s="180"/>
      <c r="B190" s="180" t="s">
        <v>243</v>
      </c>
      <c r="C190" s="282"/>
      <c r="D190" s="283">
        <v>0</v>
      </c>
      <c r="E190" s="283">
        <v>0</v>
      </c>
      <c r="F190" s="283">
        <v>0</v>
      </c>
      <c r="G190" s="283">
        <v>0</v>
      </c>
      <c r="H190" s="283">
        <f>+H189-'Výdaje kapitol celkem'!G74</f>
        <v>0</v>
      </c>
      <c r="I190" s="1368">
        <f t="shared" si="2"/>
        <v>0</v>
      </c>
      <c r="J190" s="284"/>
      <c r="K190" s="285"/>
      <c r="L190" s="289"/>
    </row>
    <row r="191" spans="1:12" s="280" customFormat="1" ht="17.25" thickBot="1" x14ac:dyDescent="0.35">
      <c r="A191" s="1361" t="s">
        <v>1588</v>
      </c>
      <c r="B191" s="1362"/>
      <c r="C191" s="1363"/>
      <c r="D191" s="1364">
        <v>0</v>
      </c>
      <c r="E191" s="1364">
        <v>0</v>
      </c>
      <c r="F191" s="1364">
        <v>0</v>
      </c>
      <c r="G191" s="1364">
        <v>0</v>
      </c>
      <c r="H191" s="1365">
        <f>+H117-H189</f>
        <v>0</v>
      </c>
      <c r="I191" s="1368">
        <f t="shared" si="2"/>
        <v>0</v>
      </c>
      <c r="J191" s="284"/>
      <c r="K191" s="285"/>
      <c r="L191" s="289"/>
    </row>
    <row r="192" spans="1:12" s="286" customFormat="1" ht="16.5" thickTop="1" x14ac:dyDescent="0.25">
      <c r="A192" s="180"/>
      <c r="B192" s="180"/>
      <c r="C192" s="282"/>
      <c r="D192" s="283"/>
      <c r="E192" s="283"/>
      <c r="F192" s="283"/>
      <c r="G192" s="283"/>
      <c r="H192" s="1368"/>
      <c r="I192" s="283"/>
      <c r="J192" s="284"/>
      <c r="K192" s="285"/>
      <c r="L192" s="289"/>
    </row>
    <row r="193" spans="1:12" ht="15.75" customHeight="1" x14ac:dyDescent="0.25">
      <c r="A193" s="109"/>
      <c r="B193" s="109"/>
      <c r="C193" s="114"/>
      <c r="D193" s="190"/>
      <c r="E193" s="190"/>
      <c r="F193" s="190"/>
      <c r="G193" s="190"/>
      <c r="H193" s="190"/>
      <c r="I193" s="283"/>
      <c r="J193" s="284"/>
      <c r="K193" s="285"/>
      <c r="L193" s="289"/>
    </row>
    <row r="194" spans="1:12" ht="15.75" customHeight="1" x14ac:dyDescent="0.25">
      <c r="A194" s="109"/>
      <c r="B194" s="109" t="s">
        <v>785</v>
      </c>
      <c r="C194" s="114"/>
      <c r="D194" s="1367">
        <v>238722719</v>
      </c>
      <c r="E194" s="1367">
        <v>246179170</v>
      </c>
      <c r="F194" s="1367">
        <v>255204570</v>
      </c>
      <c r="G194" s="1367">
        <v>266826797</v>
      </c>
      <c r="H194" s="1367">
        <f>+H6+H30+H88+H94+H96+H109+H95+H81+H91++H84+H85+H86+H87+H112</f>
        <v>263192785</v>
      </c>
      <c r="I194" s="283"/>
      <c r="J194" s="284"/>
      <c r="K194" s="285"/>
      <c r="L194" s="289"/>
    </row>
    <row r="195" spans="1:12" ht="15.75" customHeight="1" x14ac:dyDescent="0.25">
      <c r="A195" s="109"/>
      <c r="B195" s="109" t="s">
        <v>786</v>
      </c>
      <c r="C195" s="114"/>
      <c r="D195" s="1367">
        <v>188942132.01394999</v>
      </c>
      <c r="E195" s="1367">
        <v>194326376.50376999</v>
      </c>
      <c r="F195" s="1367">
        <v>198095718.50376999</v>
      </c>
      <c r="G195" s="1367">
        <v>205508316.50376999</v>
      </c>
      <c r="H195" s="1367">
        <f>+H123+H133+H187</f>
        <v>231237627.44124001</v>
      </c>
      <c r="I195" s="283"/>
      <c r="J195" s="284"/>
      <c r="K195" s="285"/>
      <c r="L195" s="289"/>
    </row>
    <row r="196" spans="1:12" s="300" customFormat="1" ht="15.75" customHeight="1" thickBot="1" x14ac:dyDescent="0.35">
      <c r="A196" s="296"/>
      <c r="B196" s="901" t="s">
        <v>787</v>
      </c>
      <c r="C196" s="902"/>
      <c r="D196" s="1470">
        <v>49780586.98605001</v>
      </c>
      <c r="E196" s="1470">
        <v>51852793.496230006</v>
      </c>
      <c r="F196" s="1470">
        <v>57108851.496230006</v>
      </c>
      <c r="G196" s="1470">
        <v>61318480.496230006</v>
      </c>
      <c r="H196" s="1470">
        <f t="shared" ref="H196" si="3">+H194-H195</f>
        <v>31955157.558759987</v>
      </c>
      <c r="I196" s="298"/>
      <c r="J196" s="278"/>
      <c r="K196" s="278"/>
      <c r="L196" s="299"/>
    </row>
    <row r="197" spans="1:12" s="286" customFormat="1" ht="15.75" customHeight="1" thickTop="1" x14ac:dyDescent="0.25">
      <c r="A197" s="180"/>
      <c r="B197" s="180" t="s">
        <v>1977</v>
      </c>
      <c r="C197" s="282"/>
      <c r="D197" s="1472">
        <v>0.79147109586142905</v>
      </c>
      <c r="E197" s="1472">
        <v>0.78936969567234305</v>
      </c>
      <c r="F197" s="1472">
        <v>0.77622324123651076</v>
      </c>
      <c r="G197" s="1472">
        <v>0.77019369424042516</v>
      </c>
      <c r="H197" s="1472">
        <f>+H195/H194</f>
        <v>0.87858649864296245</v>
      </c>
      <c r="I197" s="283"/>
      <c r="J197" s="291"/>
      <c r="K197" s="291"/>
      <c r="L197" s="1469"/>
    </row>
    <row r="198" spans="1:12" ht="15.75" customHeight="1" x14ac:dyDescent="0.25">
      <c r="A198" s="109"/>
      <c r="B198" s="109"/>
      <c r="C198" s="114"/>
      <c r="D198" s="190"/>
      <c r="E198" s="190"/>
      <c r="F198" s="190"/>
      <c r="G198" s="190"/>
      <c r="H198" s="592"/>
      <c r="I198" s="283"/>
      <c r="J198" s="284"/>
      <c r="K198" s="285"/>
      <c r="L198" s="289"/>
    </row>
    <row r="199" spans="1:12" ht="15.75" customHeight="1" x14ac:dyDescent="0.25">
      <c r="A199" s="109"/>
      <c r="B199" s="109" t="s">
        <v>788</v>
      </c>
      <c r="C199" s="114"/>
      <c r="D199" s="1367">
        <v>6453913</v>
      </c>
      <c r="E199" s="1367">
        <v>7363004</v>
      </c>
      <c r="F199" s="1367">
        <v>7363004</v>
      </c>
      <c r="G199" s="1367">
        <v>7363004</v>
      </c>
      <c r="H199" s="1367">
        <f t="shared" ref="H199" si="4">+H187</f>
        <v>29142971</v>
      </c>
      <c r="I199" s="283"/>
      <c r="J199" s="284"/>
      <c r="K199" s="285"/>
      <c r="L199" s="289"/>
    </row>
    <row r="200" spans="1:12" s="300" customFormat="1" ht="15.75" customHeight="1" thickBot="1" x14ac:dyDescent="0.35">
      <c r="A200" s="296"/>
      <c r="B200" s="901" t="s">
        <v>789</v>
      </c>
      <c r="C200" s="902"/>
      <c r="D200" s="1470">
        <v>43326673.98605001</v>
      </c>
      <c r="E200" s="1470">
        <v>44489789.496230006</v>
      </c>
      <c r="F200" s="1470">
        <v>49745847.496230006</v>
      </c>
      <c r="G200" s="1470">
        <v>53955476.496230006</v>
      </c>
      <c r="H200" s="1470">
        <f>+H196-H199</f>
        <v>2812186.5587599874</v>
      </c>
      <c r="I200" s="298"/>
      <c r="J200" s="278"/>
      <c r="K200" s="278"/>
      <c r="L200" s="299"/>
    </row>
    <row r="201" spans="1:12" ht="15.75" customHeight="1" thickTop="1" x14ac:dyDescent="0.25">
      <c r="A201" s="109"/>
      <c r="B201" s="109"/>
      <c r="C201" s="114"/>
      <c r="D201" s="1471"/>
      <c r="E201" s="1471"/>
      <c r="F201" s="1471"/>
      <c r="G201" s="1471"/>
      <c r="H201" s="1471"/>
      <c r="I201" s="283"/>
      <c r="J201" s="284"/>
      <c r="K201" s="285"/>
      <c r="L201" s="289"/>
    </row>
    <row r="202" spans="1:12" ht="15.75" customHeight="1" x14ac:dyDescent="0.25">
      <c r="A202" s="109"/>
      <c r="B202" s="109" t="s">
        <v>2409</v>
      </c>
      <c r="C202" s="114"/>
      <c r="D202" s="1367">
        <v>34089611</v>
      </c>
      <c r="E202" s="1367">
        <v>34089611</v>
      </c>
      <c r="F202" s="1367">
        <v>34115011</v>
      </c>
      <c r="G202" s="1367">
        <v>34446511</v>
      </c>
      <c r="H202" s="1367">
        <f>+H79-H88-H94-H96</f>
        <v>25985956</v>
      </c>
      <c r="I202" s="283"/>
      <c r="J202" s="284"/>
      <c r="K202" s="285"/>
      <c r="L202" s="289"/>
    </row>
    <row r="203" spans="1:12" ht="15.75" customHeight="1" x14ac:dyDescent="0.25">
      <c r="A203" s="109"/>
      <c r="B203" s="109" t="s">
        <v>2408</v>
      </c>
      <c r="C203" s="114"/>
      <c r="D203" s="1367">
        <f>+D171-D192-D180</f>
        <v>147225954</v>
      </c>
      <c r="E203" s="1367">
        <v>80851725</v>
      </c>
      <c r="F203" s="1367">
        <v>87251725</v>
      </c>
      <c r="G203" s="1367">
        <v>93421408.569999993</v>
      </c>
      <c r="H203" s="1367">
        <f>+H171-H180</f>
        <v>63414584</v>
      </c>
      <c r="I203" s="283"/>
      <c r="J203" s="284"/>
      <c r="K203" s="285"/>
      <c r="L203" s="289"/>
    </row>
    <row r="204" spans="1:12" s="300" customFormat="1" ht="15.75" customHeight="1" thickBot="1" x14ac:dyDescent="0.35">
      <c r="A204" s="296"/>
      <c r="B204" s="901" t="s">
        <v>791</v>
      </c>
      <c r="C204" s="902"/>
      <c r="D204" s="1470">
        <v>-69809669.01394999</v>
      </c>
      <c r="E204" s="1470">
        <v>-2272324.5037699938</v>
      </c>
      <c r="F204" s="1470">
        <v>-3390866.5037699938</v>
      </c>
      <c r="G204" s="1470">
        <v>-5019421.0737699866</v>
      </c>
      <c r="H204" s="1470">
        <f>+H200+H202-H203</f>
        <v>-34616441.441240013</v>
      </c>
      <c r="I204" s="298"/>
      <c r="J204" s="278"/>
      <c r="K204" s="278"/>
      <c r="L204" s="299"/>
    </row>
    <row r="205" spans="1:12" s="286" customFormat="1" ht="15.75" customHeight="1" thickTop="1" x14ac:dyDescent="0.25">
      <c r="A205" s="180"/>
      <c r="B205" s="180" t="s">
        <v>1978</v>
      </c>
      <c r="C205" s="282"/>
      <c r="D205" s="1472">
        <f>+D203/(D194)</f>
        <v>0.61672368099996377</v>
      </c>
      <c r="E205" s="1472">
        <v>0.32842634492593342</v>
      </c>
      <c r="F205" s="1472">
        <v>0.34188935174632651</v>
      </c>
      <c r="G205" s="1472">
        <v>0.35012003899293515</v>
      </c>
      <c r="H205" s="1472">
        <f>+H203/(H194)</f>
        <v>0.24094347419136128</v>
      </c>
      <c r="I205" s="283"/>
      <c r="J205" s="291"/>
      <c r="K205" s="291"/>
      <c r="L205" s="1469"/>
    </row>
    <row r="206" spans="1:12" ht="15.75" customHeight="1" x14ac:dyDescent="0.25">
      <c r="A206" s="109"/>
      <c r="B206" s="109"/>
      <c r="C206" s="114"/>
      <c r="D206" s="1471"/>
      <c r="E206" s="1471"/>
      <c r="F206" s="1471"/>
      <c r="G206" s="1471"/>
      <c r="H206" s="1473"/>
      <c r="I206" s="283"/>
      <c r="J206" s="284"/>
      <c r="K206" s="285"/>
      <c r="L206" s="289"/>
    </row>
    <row r="207" spans="1:12" s="300" customFormat="1" ht="15.75" customHeight="1" thickBot="1" x14ac:dyDescent="0.35">
      <c r="A207" s="296"/>
      <c r="B207" s="901" t="s">
        <v>792</v>
      </c>
      <c r="C207" s="902"/>
      <c r="D207" s="1470">
        <f t="shared" ref="D207:F207" si="5">+D208+D209</f>
        <v>87024229</v>
      </c>
      <c r="E207" s="1470">
        <f t="shared" si="5"/>
        <v>54877883</v>
      </c>
      <c r="F207" s="1470">
        <f t="shared" si="5"/>
        <v>54877883</v>
      </c>
      <c r="G207" s="1470">
        <v>47317507</v>
      </c>
      <c r="H207" s="1470">
        <f>+H208+H209</f>
        <v>47317507</v>
      </c>
      <c r="I207" s="298"/>
      <c r="J207" s="278"/>
      <c r="K207" s="278"/>
      <c r="L207" s="299"/>
    </row>
    <row r="208" spans="1:12" ht="15.75" customHeight="1" thickTop="1" x14ac:dyDescent="0.25">
      <c r="A208" s="109"/>
      <c r="B208" s="109" t="s">
        <v>793</v>
      </c>
      <c r="C208" s="114"/>
      <c r="D208" s="1367">
        <v>20000000</v>
      </c>
      <c r="E208" s="1367">
        <v>13900000</v>
      </c>
      <c r="F208" s="1367">
        <v>13900000</v>
      </c>
      <c r="G208" s="1367">
        <v>13900000</v>
      </c>
      <c r="H208" s="1367">
        <f>+H112</f>
        <v>13900000</v>
      </c>
      <c r="I208" s="283"/>
      <c r="J208" s="284"/>
      <c r="K208" s="285"/>
      <c r="L208" s="289"/>
    </row>
    <row r="209" spans="1:13" ht="15.75" customHeight="1" x14ac:dyDescent="0.25">
      <c r="A209" s="109"/>
      <c r="B209" s="109" t="s">
        <v>794</v>
      </c>
      <c r="C209" s="114"/>
      <c r="D209" s="1367">
        <f t="shared" ref="D209:F209" si="6">+D114</f>
        <v>67024229</v>
      </c>
      <c r="E209" s="1367">
        <f t="shared" si="6"/>
        <v>40977883</v>
      </c>
      <c r="F209" s="1367">
        <f t="shared" si="6"/>
        <v>40977883</v>
      </c>
      <c r="G209" s="1367">
        <v>33417507</v>
      </c>
      <c r="H209" s="1367">
        <f>+H114</f>
        <v>33417507</v>
      </c>
      <c r="I209" s="283"/>
      <c r="J209" s="284"/>
      <c r="K209" s="285"/>
      <c r="L209" s="289"/>
    </row>
    <row r="210" spans="1:13" ht="15.75" customHeight="1" x14ac:dyDescent="0.25">
      <c r="A210" s="109"/>
      <c r="B210" s="109"/>
      <c r="C210" s="114"/>
      <c r="D210" s="190"/>
      <c r="E210" s="190"/>
      <c r="F210" s="190"/>
      <c r="G210" s="190"/>
      <c r="H210" s="190"/>
      <c r="I210" s="283"/>
      <c r="J210" s="284"/>
      <c r="K210" s="285"/>
      <c r="L210" s="289"/>
    </row>
    <row r="211" spans="1:13" s="300" customFormat="1" ht="16.5" x14ac:dyDescent="0.3">
      <c r="A211" s="881" t="s">
        <v>656</v>
      </c>
      <c r="B211" s="881"/>
      <c r="C211" s="882"/>
      <c r="D211" s="883">
        <v>4.0135140930380606E-2</v>
      </c>
      <c r="E211" s="883">
        <v>4.4107083216839253E-2</v>
      </c>
      <c r="F211" s="883">
        <v>4.2510084221740192E-2</v>
      </c>
      <c r="G211" s="883">
        <f>+G218/G213</f>
        <v>4.1895490169315666E-2</v>
      </c>
      <c r="H211" s="883">
        <f>+H218/H213</f>
        <v>0.11594992573446526</v>
      </c>
      <c r="I211" s="884"/>
      <c r="J211" s="885"/>
      <c r="K211" s="885"/>
      <c r="L211" s="886"/>
    </row>
    <row r="212" spans="1:13" x14ac:dyDescent="0.25">
      <c r="A212" s="109"/>
      <c r="B212" s="109"/>
      <c r="C212" s="114"/>
      <c r="D212" s="190"/>
      <c r="E212" s="190"/>
      <c r="F212" s="190"/>
      <c r="G212" s="190"/>
      <c r="H212" s="190"/>
      <c r="I212" s="283"/>
      <c r="J212" s="284"/>
      <c r="K212" s="285"/>
      <c r="L212" s="289"/>
    </row>
    <row r="213" spans="1:13" s="305" customFormat="1" ht="17.25" thickBot="1" x14ac:dyDescent="0.35">
      <c r="A213" s="301"/>
      <c r="B213" s="903" t="s">
        <v>651</v>
      </c>
      <c r="C213" s="904"/>
      <c r="D213" s="905">
        <v>239738230</v>
      </c>
      <c r="E213" s="905">
        <v>240244681</v>
      </c>
      <c r="F213" s="905">
        <v>249270081</v>
      </c>
      <c r="G213" s="905">
        <f>SUM(G214:G216)</f>
        <v>252926797</v>
      </c>
      <c r="H213" s="905">
        <f>SUM(H214:H216)</f>
        <v>271245741</v>
      </c>
      <c r="I213" s="295"/>
      <c r="J213" s="303"/>
      <c r="K213" s="303"/>
      <c r="L213" s="299"/>
      <c r="M213" s="304"/>
    </row>
    <row r="214" spans="1:13" ht="16.5" thickTop="1" x14ac:dyDescent="0.25">
      <c r="A214" s="109"/>
      <c r="B214" s="287" t="s">
        <v>653</v>
      </c>
      <c r="C214" s="114"/>
      <c r="D214" s="190">
        <v>167140157</v>
      </c>
      <c r="E214" s="190">
        <v>167256537</v>
      </c>
      <c r="F214" s="190">
        <v>176256537</v>
      </c>
      <c r="G214" s="190">
        <f>+G6</f>
        <v>206828496</v>
      </c>
      <c r="H214" s="190">
        <f>+H6</f>
        <v>202828784</v>
      </c>
      <c r="I214" s="283"/>
      <c r="J214" s="284"/>
      <c r="K214" s="285"/>
      <c r="L214" s="289"/>
    </row>
    <row r="215" spans="1:13" x14ac:dyDescent="0.25">
      <c r="A215" s="109"/>
      <c r="B215" s="287" t="s">
        <v>654</v>
      </c>
      <c r="C215" s="114"/>
      <c r="D215" s="190">
        <v>28300162</v>
      </c>
      <c r="E215" s="190">
        <v>28703333</v>
      </c>
      <c r="F215" s="190">
        <v>28703333</v>
      </c>
      <c r="G215" s="190">
        <f>+G30</f>
        <v>31870101</v>
      </c>
      <c r="H215" s="190">
        <f>+H30</f>
        <v>32235801</v>
      </c>
      <c r="I215" s="283"/>
      <c r="J215" s="284"/>
      <c r="K215" s="285"/>
      <c r="L215" s="289"/>
    </row>
    <row r="216" spans="1:13" x14ac:dyDescent="0.25">
      <c r="A216" s="109"/>
      <c r="B216" s="287" t="s">
        <v>655</v>
      </c>
      <c r="C216" s="114"/>
      <c r="D216" s="190">
        <v>44297911</v>
      </c>
      <c r="E216" s="190">
        <v>44284811</v>
      </c>
      <c r="F216" s="190">
        <v>44310211</v>
      </c>
      <c r="G216" s="190">
        <f>+G79-G90-G99</f>
        <v>14228200</v>
      </c>
      <c r="H216" s="190">
        <f>+H79-H90-H99</f>
        <v>36181156</v>
      </c>
      <c r="I216" s="283"/>
      <c r="J216" s="284"/>
      <c r="K216" s="285"/>
      <c r="L216" s="289"/>
    </row>
    <row r="217" spans="1:13" x14ac:dyDescent="0.25">
      <c r="A217" s="109"/>
      <c r="B217" s="109"/>
      <c r="C217" s="283"/>
      <c r="D217" s="109"/>
      <c r="E217" s="109"/>
      <c r="F217" s="109"/>
      <c r="G217" s="109"/>
      <c r="H217" s="109"/>
      <c r="I217" s="180"/>
      <c r="J217" s="284"/>
      <c r="K217" s="285"/>
      <c r="L217" s="289"/>
    </row>
    <row r="218" spans="1:13" s="305" customFormat="1" ht="17.25" thickBot="1" x14ac:dyDescent="0.35">
      <c r="A218" s="301"/>
      <c r="B218" s="903" t="s">
        <v>652</v>
      </c>
      <c r="C218" s="904"/>
      <c r="D218" s="905">
        <v>9621927.64745</v>
      </c>
      <c r="E218" s="905">
        <v>10596492.13727</v>
      </c>
      <c r="F218" s="905">
        <v>10596492.13727</v>
      </c>
      <c r="G218" s="905">
        <v>10596492.13727</v>
      </c>
      <c r="H218" s="905">
        <f>SUM(H219:H220)</f>
        <v>31450923.524739999</v>
      </c>
      <c r="I218" s="295"/>
      <c r="J218" s="303"/>
      <c r="K218" s="303"/>
      <c r="L218" s="299"/>
      <c r="M218" s="304"/>
    </row>
    <row r="219" spans="1:13" ht="16.5" thickTop="1" x14ac:dyDescent="0.25">
      <c r="A219" s="109"/>
      <c r="B219" s="287" t="s">
        <v>128</v>
      </c>
      <c r="C219" s="114"/>
      <c r="D219" s="190">
        <v>3168014.6474499996</v>
      </c>
      <c r="E219" s="190">
        <v>3233488.1372699994</v>
      </c>
      <c r="F219" s="190">
        <v>3233488.1372699994</v>
      </c>
      <c r="G219" s="190">
        <v>3233488.1372699994</v>
      </c>
      <c r="H219" s="190">
        <f>+H169+H170</f>
        <v>2307952.5247400003</v>
      </c>
      <c r="I219" s="283"/>
      <c r="J219" s="284"/>
      <c r="K219" s="285"/>
      <c r="L219" s="289"/>
    </row>
    <row r="220" spans="1:13" x14ac:dyDescent="0.25">
      <c r="A220" s="109"/>
      <c r="B220" s="287" t="s">
        <v>738</v>
      </c>
      <c r="C220" s="114"/>
      <c r="D220" s="190">
        <v>6453913</v>
      </c>
      <c r="E220" s="190">
        <v>7363004</v>
      </c>
      <c r="F220" s="190">
        <v>7363004</v>
      </c>
      <c r="G220" s="190">
        <v>7363004</v>
      </c>
      <c r="H220" s="190">
        <f>+H187</f>
        <v>29142971</v>
      </c>
      <c r="I220" s="283"/>
      <c r="J220" s="284"/>
      <c r="K220" s="285"/>
      <c r="L220" s="289"/>
    </row>
    <row r="221" spans="1:13" x14ac:dyDescent="0.25">
      <c r="A221" s="109"/>
      <c r="B221" s="109"/>
      <c r="C221" s="114"/>
      <c r="D221" s="190"/>
      <c r="E221" s="190"/>
      <c r="F221" s="190"/>
      <c r="G221" s="190"/>
      <c r="H221" s="592"/>
      <c r="I221" s="283"/>
      <c r="J221" s="284"/>
      <c r="K221" s="285"/>
      <c r="L221" s="289"/>
    </row>
    <row r="222" spans="1:13" ht="16.5" x14ac:dyDescent="0.3">
      <c r="A222" s="112" t="s">
        <v>244</v>
      </c>
      <c r="B222" s="109"/>
      <c r="C222" s="114"/>
      <c r="D222" s="190"/>
      <c r="E222" s="190"/>
      <c r="F222" s="190"/>
      <c r="G222" s="190"/>
      <c r="H222" s="190"/>
      <c r="I222" s="283"/>
      <c r="J222" s="284"/>
      <c r="K222" s="285"/>
      <c r="L222" s="289"/>
    </row>
    <row r="223" spans="1:13" s="280" customFormat="1" ht="16.5" x14ac:dyDescent="0.3">
      <c r="A223" s="189"/>
      <c r="B223" s="189" t="s">
        <v>245</v>
      </c>
      <c r="C223" s="114"/>
      <c r="D223" s="306">
        <v>24760399.98605001</v>
      </c>
      <c r="E223" s="306">
        <v>20791697.496230006</v>
      </c>
      <c r="F223" s="306">
        <v>26551355.496230006</v>
      </c>
      <c r="G223" s="306">
        <v>30429484.496230006</v>
      </c>
      <c r="H223" s="306">
        <f>+H6+H30+H88+H95-H122-H24</f>
        <v>22846128.558759987</v>
      </c>
      <c r="I223" s="295"/>
      <c r="J223" s="278"/>
      <c r="K223" s="279"/>
      <c r="L223" s="289"/>
    </row>
    <row r="224" spans="1:13" s="305" customFormat="1" ht="17.25" thickBot="1" x14ac:dyDescent="0.35">
      <c r="A224" s="189"/>
      <c r="B224" s="903" t="s">
        <v>246</v>
      </c>
      <c r="C224" s="904"/>
      <c r="D224" s="906">
        <v>0.11510489345556926</v>
      </c>
      <c r="E224" s="906">
        <v>9.0925232789300259E-2</v>
      </c>
      <c r="F224" s="906">
        <v>0.11171612365190665</v>
      </c>
      <c r="G224" s="906">
        <v>0.12222159018039448</v>
      </c>
      <c r="H224" s="906">
        <f>H223/(H6+H30+H88+H94+H74)</f>
        <v>9.3121876039241436E-2</v>
      </c>
      <c r="I224" s="307"/>
      <c r="J224" s="308"/>
      <c r="K224" s="309"/>
      <c r="L224" s="289"/>
    </row>
    <row r="225" spans="1:13" ht="16.5" thickTop="1" x14ac:dyDescent="0.25">
      <c r="A225" s="189"/>
      <c r="B225" s="109"/>
      <c r="C225" s="114"/>
      <c r="D225" s="190"/>
      <c r="E225" s="190"/>
      <c r="F225" s="190"/>
      <c r="G225" s="190"/>
      <c r="H225" s="190"/>
      <c r="I225" s="283"/>
      <c r="J225" s="284"/>
      <c r="K225" s="285"/>
      <c r="L225" s="289"/>
    </row>
    <row r="226" spans="1:13" s="280" customFormat="1" ht="16.5" x14ac:dyDescent="0.3">
      <c r="A226" s="189"/>
      <c r="B226" s="112" t="s">
        <v>676</v>
      </c>
      <c r="C226" s="295"/>
      <c r="D226" s="310">
        <v>1.8487838635038436E-8</v>
      </c>
      <c r="E226" s="310">
        <v>2.0837843424069428E-8</v>
      </c>
      <c r="F226" s="310">
        <v>2.0826820179214371E-8</v>
      </c>
      <c r="G226" s="310">
        <v>2.0684015853801736E-8</v>
      </c>
      <c r="H226" s="310">
        <f>+H227/H228</f>
        <v>7.2242098770952346E-8</v>
      </c>
      <c r="I226" s="295"/>
      <c r="J226" s="278"/>
      <c r="K226" s="279"/>
      <c r="L226" s="299"/>
    </row>
    <row r="227" spans="1:13" ht="40.5" x14ac:dyDescent="0.25">
      <c r="A227" s="189"/>
      <c r="B227" s="1474" t="s">
        <v>2926</v>
      </c>
      <c r="C227" s="3019">
        <v>1.4</v>
      </c>
      <c r="D227" s="1475">
        <v>0.17788864570407059</v>
      </c>
      <c r="E227" s="1475">
        <v>0.22080804400081508</v>
      </c>
      <c r="F227" s="1475">
        <v>0.22069123627338125</v>
      </c>
      <c r="G227" s="1475">
        <f>+((G6+G30+G79-G90-G99)-(G122-G169))/(G169+G187)</f>
        <v>5.4749224443294446</v>
      </c>
      <c r="H227" s="1475">
        <f>+((H6+H30+H79)-(H122-H169))/(H169+H187)</f>
        <v>2.2720807237119356</v>
      </c>
      <c r="I227" s="283"/>
      <c r="J227" s="284"/>
      <c r="K227" s="285"/>
      <c r="L227" s="289"/>
    </row>
    <row r="228" spans="1:13" x14ac:dyDescent="0.25">
      <c r="A228" s="189"/>
      <c r="B228" s="287"/>
      <c r="C228" s="114"/>
      <c r="D228" s="188">
        <v>9621927.64745</v>
      </c>
      <c r="E228" s="188">
        <v>10596492.13727</v>
      </c>
      <c r="F228" s="188">
        <v>10596492.13727</v>
      </c>
      <c r="G228" s="188">
        <v>10596492.13727</v>
      </c>
      <c r="H228" s="188">
        <f>+H218</f>
        <v>31450923.524739999</v>
      </c>
      <c r="I228" s="283"/>
      <c r="J228" s="284"/>
      <c r="K228" s="285"/>
      <c r="L228" s="289"/>
    </row>
    <row r="229" spans="1:13" ht="27" x14ac:dyDescent="0.25">
      <c r="A229" s="109"/>
      <c r="B229" s="287"/>
      <c r="C229" s="114"/>
      <c r="D229" s="1474" t="s">
        <v>1849</v>
      </c>
      <c r="E229" s="1474" t="s">
        <v>1849</v>
      </c>
      <c r="F229" s="1474" t="s">
        <v>1849</v>
      </c>
      <c r="G229" s="1474" t="s">
        <v>1849</v>
      </c>
      <c r="H229" s="1474" t="s">
        <v>1849</v>
      </c>
      <c r="I229" s="283"/>
      <c r="J229" s="284"/>
      <c r="K229" s="285"/>
      <c r="L229" s="289"/>
    </row>
    <row r="230" spans="1:13" s="280" customFormat="1" ht="17.25" thickBot="1" x14ac:dyDescent="0.35">
      <c r="A230" s="189"/>
      <c r="B230" s="907" t="s">
        <v>726</v>
      </c>
      <c r="C230" s="908"/>
      <c r="D230" s="1370">
        <f>+D231+D232+D233+D234+D235</f>
        <v>155339215</v>
      </c>
      <c r="E230" s="1370">
        <v>148931527</v>
      </c>
      <c r="F230" s="1370">
        <v>155339215</v>
      </c>
      <c r="G230" s="1370">
        <v>155339215</v>
      </c>
      <c r="H230" s="1370">
        <f>+H231+H232+H233+H234+H235</f>
        <v>155339215</v>
      </c>
      <c r="I230" s="295"/>
      <c r="J230" s="278"/>
      <c r="K230" s="279"/>
      <c r="L230" s="299"/>
      <c r="M230" s="311"/>
    </row>
    <row r="231" spans="1:13" s="280" customFormat="1" ht="17.25" thickTop="1" x14ac:dyDescent="0.3">
      <c r="A231" s="189"/>
      <c r="B231" s="312" t="s">
        <v>728</v>
      </c>
      <c r="C231" s="114"/>
      <c r="D231" s="1367">
        <f>+'čerpání-úvěr a úroky'!$F$219</f>
        <v>1818171</v>
      </c>
      <c r="E231" s="1367">
        <v>1818171</v>
      </c>
      <c r="F231" s="1367">
        <v>1818171</v>
      </c>
      <c r="G231" s="1367">
        <v>1818171</v>
      </c>
      <c r="H231" s="1367">
        <f>+'čerpání-úvěr a úroky'!$F$219</f>
        <v>1818171</v>
      </c>
      <c r="I231" s="295"/>
      <c r="J231" s="278"/>
      <c r="K231" s="279"/>
      <c r="L231" s="299"/>
      <c r="M231" s="311"/>
    </row>
    <row r="232" spans="1:13" s="280" customFormat="1" ht="16.5" x14ac:dyDescent="0.3">
      <c r="A232" s="189"/>
      <c r="B232" s="312" t="s">
        <v>729</v>
      </c>
      <c r="C232" s="114"/>
      <c r="D232" s="1367">
        <f>+'čerpání-úvěr a úroky'!$F$220</f>
        <v>67819868</v>
      </c>
      <c r="E232" s="1367">
        <v>67819868</v>
      </c>
      <c r="F232" s="1367">
        <v>67819868</v>
      </c>
      <c r="G232" s="1367">
        <v>67819868</v>
      </c>
      <c r="H232" s="1367">
        <f>+'čerpání-úvěr a úroky'!$F$220</f>
        <v>67819868</v>
      </c>
      <c r="I232" s="295"/>
      <c r="J232" s="278"/>
      <c r="K232" s="279"/>
      <c r="L232" s="299"/>
      <c r="M232" s="311"/>
    </row>
    <row r="233" spans="1:13" s="280" customFormat="1" ht="16.5" x14ac:dyDescent="0.3">
      <c r="A233" s="189"/>
      <c r="B233" s="312" t="s">
        <v>765</v>
      </c>
      <c r="C233" s="114"/>
      <c r="D233" s="1367">
        <f>+'čerpání-úvěr a úroky'!$F$221</f>
        <v>23773560</v>
      </c>
      <c r="E233" s="1367">
        <v>23773560</v>
      </c>
      <c r="F233" s="1367">
        <v>23773560</v>
      </c>
      <c r="G233" s="1367">
        <v>23773560</v>
      </c>
      <c r="H233" s="1367">
        <f>+'čerpání-úvěr a úroky'!$F$221</f>
        <v>23773560</v>
      </c>
      <c r="I233" s="295"/>
      <c r="J233" s="278"/>
      <c r="K233" s="279"/>
      <c r="L233" s="299"/>
      <c r="M233" s="311"/>
    </row>
    <row r="234" spans="1:13" s="300" customFormat="1" ht="16.5" x14ac:dyDescent="0.3">
      <c r="A234" s="296"/>
      <c r="B234" s="1726" t="s">
        <v>2405</v>
      </c>
      <c r="C234" s="295"/>
      <c r="D234" s="1727">
        <f>+'čerpání-úvěr a úroky'!$F$223</f>
        <v>14542045</v>
      </c>
      <c r="E234" s="1727">
        <v>14542045</v>
      </c>
      <c r="F234" s="1727">
        <v>14542045</v>
      </c>
      <c r="G234" s="1727">
        <v>14542045</v>
      </c>
      <c r="H234" s="1727">
        <f>+'čerpání-úvěr a úroky'!$F$223</f>
        <v>14542045</v>
      </c>
      <c r="I234" s="295"/>
      <c r="J234" s="278"/>
      <c r="K234" s="278"/>
      <c r="L234" s="299"/>
    </row>
    <row r="235" spans="1:13" s="300" customFormat="1" ht="16.5" x14ac:dyDescent="0.3">
      <c r="A235" s="297"/>
      <c r="B235" s="1366" t="s">
        <v>1587</v>
      </c>
      <c r="C235" s="313"/>
      <c r="D235" s="1369">
        <f>+'čerpání-úvěr a úroky'!$F$222</f>
        <v>47385571</v>
      </c>
      <c r="E235" s="1369">
        <v>40977883</v>
      </c>
      <c r="F235" s="1369">
        <v>47385571</v>
      </c>
      <c r="G235" s="1369">
        <v>47385571</v>
      </c>
      <c r="H235" s="1369">
        <f>+'čerpání-úvěr a úroky'!$F$222</f>
        <v>47385571</v>
      </c>
      <c r="I235" s="302"/>
      <c r="J235" s="314"/>
      <c r="K235" s="314"/>
      <c r="L235" s="1331"/>
    </row>
    <row r="236" spans="1:13" s="300" customFormat="1" ht="16.5" x14ac:dyDescent="0.3">
      <c r="A236" s="315" t="s">
        <v>544</v>
      </c>
      <c r="B236" s="316"/>
      <c r="C236" s="317"/>
      <c r="D236" s="317"/>
      <c r="E236" s="317"/>
      <c r="F236" s="317"/>
      <c r="G236" s="317"/>
      <c r="H236" s="317"/>
      <c r="I236" s="318"/>
      <c r="J236" s="319"/>
      <c r="K236" s="319"/>
      <c r="L236" s="1332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2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118" customWidth="1"/>
    <col min="2" max="2" width="23.28515625" style="1118" customWidth="1"/>
    <col min="3" max="3" width="6.28515625" style="1118" customWidth="1"/>
    <col min="4" max="4" width="6" style="1118" customWidth="1"/>
    <col min="5" max="5" width="5.85546875" style="1118" customWidth="1"/>
    <col min="6" max="6" width="6.28515625" style="1118" customWidth="1"/>
    <col min="7" max="9" width="6.85546875" style="1118" customWidth="1"/>
    <col min="10" max="10" width="7" style="1118" customWidth="1"/>
    <col min="11" max="11" width="7.28515625" style="1118" customWidth="1"/>
    <col min="12" max="12" width="6.28515625" style="1118" customWidth="1"/>
    <col min="13" max="13" width="7.28515625" style="1118" customWidth="1"/>
    <col min="14" max="14" width="6.85546875" style="1118" customWidth="1"/>
    <col min="15" max="15" width="7" style="1118" customWidth="1"/>
    <col min="16" max="16" width="6.28515625" style="1118" customWidth="1"/>
    <col min="17" max="17" width="4.85546875" style="1118" customWidth="1"/>
    <col min="18" max="18" width="5.85546875" style="1118" customWidth="1"/>
    <col min="19" max="20" width="8.85546875" style="1118" customWidth="1"/>
    <col min="21" max="16384" width="0" style="1118" hidden="1"/>
  </cols>
  <sheetData>
    <row r="1" spans="2:20" ht="15.75" thickBot="1" x14ac:dyDescent="0.3"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</row>
    <row r="2" spans="2:20" ht="15.75" thickBot="1" x14ac:dyDescent="0.3">
      <c r="B2" s="1117"/>
      <c r="C2" s="3044" t="s">
        <v>690</v>
      </c>
      <c r="D2" s="3045"/>
      <c r="E2" s="3045"/>
      <c r="F2" s="3045"/>
      <c r="G2" s="3045"/>
      <c r="H2" s="3045"/>
      <c r="I2" s="3045"/>
      <c r="J2" s="3045"/>
      <c r="K2" s="3045"/>
      <c r="L2" s="3045"/>
      <c r="M2" s="3045"/>
      <c r="N2" s="3045"/>
      <c r="O2" s="3045"/>
      <c r="P2" s="3045"/>
      <c r="Q2" s="3045"/>
      <c r="R2" s="3045"/>
      <c r="S2" s="3046"/>
      <c r="T2" s="1158"/>
    </row>
    <row r="3" spans="2:20" ht="30.75" thickBot="1" x14ac:dyDescent="0.3">
      <c r="B3" s="1117"/>
      <c r="C3" s="1159">
        <v>2006</v>
      </c>
      <c r="D3" s="1160">
        <v>2007</v>
      </c>
      <c r="E3" s="1160">
        <v>2008</v>
      </c>
      <c r="F3" s="1160">
        <v>2009</v>
      </c>
      <c r="G3" s="1160">
        <v>2010</v>
      </c>
      <c r="H3" s="1160">
        <v>2011</v>
      </c>
      <c r="I3" s="1160">
        <v>2012</v>
      </c>
      <c r="J3" s="1160">
        <v>2013</v>
      </c>
      <c r="K3" s="1160">
        <v>2014</v>
      </c>
      <c r="L3" s="1160">
        <v>2015</v>
      </c>
      <c r="M3" s="1161">
        <v>2016</v>
      </c>
      <c r="N3" s="1160">
        <v>2017</v>
      </c>
      <c r="O3" s="1162">
        <v>2018</v>
      </c>
      <c r="P3" s="1163">
        <v>2019</v>
      </c>
      <c r="Q3" s="1164">
        <v>2020</v>
      </c>
      <c r="R3" s="1164">
        <v>2021</v>
      </c>
      <c r="S3" s="1165" t="s">
        <v>1443</v>
      </c>
      <c r="T3" s="1157"/>
    </row>
    <row r="4" spans="2:20" ht="4.5" customHeight="1" thickBot="1" x14ac:dyDescent="0.3">
      <c r="B4" s="1117"/>
      <c r="C4" s="1119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1"/>
      <c r="O4" s="1122"/>
      <c r="P4" s="1123"/>
      <c r="Q4" s="1124"/>
      <c r="R4" s="1124"/>
      <c r="S4" s="1125"/>
      <c r="T4" s="1117"/>
    </row>
    <row r="5" spans="2:20" ht="15" x14ac:dyDescent="0.25">
      <c r="B5" s="1126" t="s">
        <v>691</v>
      </c>
      <c r="C5" s="1127">
        <v>1</v>
      </c>
      <c r="D5" s="1128">
        <v>1</v>
      </c>
      <c r="E5" s="1128">
        <v>1</v>
      </c>
      <c r="F5" s="1128">
        <v>1</v>
      </c>
      <c r="G5" s="1128">
        <v>1</v>
      </c>
      <c r="H5" s="1128">
        <v>1</v>
      </c>
      <c r="I5" s="1128">
        <v>1</v>
      </c>
      <c r="J5" s="1128">
        <v>1</v>
      </c>
      <c r="K5" s="1128">
        <v>1</v>
      </c>
      <c r="L5" s="1128">
        <v>1</v>
      </c>
      <c r="M5" s="1129">
        <v>1</v>
      </c>
      <c r="N5" s="1128">
        <v>1</v>
      </c>
      <c r="O5" s="1130">
        <v>1</v>
      </c>
      <c r="P5" s="1131">
        <v>1</v>
      </c>
      <c r="Q5" s="1132">
        <v>1</v>
      </c>
      <c r="R5" s="1132">
        <v>1</v>
      </c>
      <c r="S5" s="1133">
        <v>1</v>
      </c>
      <c r="T5" s="1117"/>
    </row>
    <row r="6" spans="2:20" ht="15" x14ac:dyDescent="0.25">
      <c r="B6" s="1134" t="s">
        <v>562</v>
      </c>
      <c r="C6" s="1135">
        <v>0</v>
      </c>
      <c r="D6" s="1136">
        <v>0</v>
      </c>
      <c r="E6" s="1136">
        <v>0</v>
      </c>
      <c r="F6" s="1136">
        <v>0</v>
      </c>
      <c r="G6" s="1136">
        <v>0</v>
      </c>
      <c r="H6" s="1136">
        <v>0</v>
      </c>
      <c r="I6" s="1136">
        <v>0</v>
      </c>
      <c r="J6" s="1136">
        <v>0</v>
      </c>
      <c r="K6" s="1136">
        <v>0</v>
      </c>
      <c r="L6" s="1136">
        <v>1</v>
      </c>
      <c r="M6" s="1137">
        <v>1</v>
      </c>
      <c r="N6" s="1138">
        <v>1</v>
      </c>
      <c r="O6" s="1130">
        <v>1</v>
      </c>
      <c r="P6" s="1139">
        <v>1</v>
      </c>
      <c r="Q6" s="1140">
        <v>1</v>
      </c>
      <c r="R6" s="1140">
        <v>1</v>
      </c>
      <c r="S6" s="1141">
        <v>1</v>
      </c>
      <c r="T6" s="1117"/>
    </row>
    <row r="7" spans="2:20" ht="15" x14ac:dyDescent="0.25">
      <c r="B7" s="1142" t="s">
        <v>563</v>
      </c>
      <c r="C7" s="1135">
        <v>0</v>
      </c>
      <c r="D7" s="1136">
        <v>0</v>
      </c>
      <c r="E7" s="1136">
        <v>0</v>
      </c>
      <c r="F7" s="1136">
        <v>0</v>
      </c>
      <c r="G7" s="1136">
        <v>0</v>
      </c>
      <c r="H7" s="1136">
        <v>0</v>
      </c>
      <c r="I7" s="1136">
        <v>0</v>
      </c>
      <c r="J7" s="1136">
        <v>0</v>
      </c>
      <c r="K7" s="1136">
        <v>0</v>
      </c>
      <c r="L7" s="1136">
        <v>0</v>
      </c>
      <c r="M7" s="1137">
        <v>1</v>
      </c>
      <c r="N7" s="1138">
        <v>1</v>
      </c>
      <c r="O7" s="1130">
        <v>1</v>
      </c>
      <c r="P7" s="1139">
        <v>1</v>
      </c>
      <c r="Q7" s="1140">
        <v>1</v>
      </c>
      <c r="R7" s="1140">
        <v>1</v>
      </c>
      <c r="S7" s="1141">
        <v>1</v>
      </c>
      <c r="T7" s="1117"/>
    </row>
    <row r="8" spans="2:20" ht="15" x14ac:dyDescent="0.25">
      <c r="B8" s="1134" t="s">
        <v>692</v>
      </c>
      <c r="C8" s="1135">
        <v>0</v>
      </c>
      <c r="D8" s="1136">
        <v>0</v>
      </c>
      <c r="E8" s="1136">
        <v>0</v>
      </c>
      <c r="F8" s="1136">
        <v>0</v>
      </c>
      <c r="G8" s="1136">
        <v>0</v>
      </c>
      <c r="H8" s="1136">
        <v>0</v>
      </c>
      <c r="I8" s="1136">
        <v>0</v>
      </c>
      <c r="J8" s="1136">
        <v>0</v>
      </c>
      <c r="K8" s="1136">
        <v>0</v>
      </c>
      <c r="L8" s="1136">
        <v>0</v>
      </c>
      <c r="M8" s="1137">
        <v>0</v>
      </c>
      <c r="N8" s="1136">
        <v>0</v>
      </c>
      <c r="O8" s="1130">
        <v>0</v>
      </c>
      <c r="P8" s="1139">
        <v>0</v>
      </c>
      <c r="Q8" s="1140">
        <v>0</v>
      </c>
      <c r="R8" s="1140">
        <v>0</v>
      </c>
      <c r="S8" s="1141">
        <v>0</v>
      </c>
      <c r="T8" s="1117"/>
    </row>
    <row r="9" spans="2:20" ht="15" x14ac:dyDescent="0.25">
      <c r="B9" s="1142" t="s">
        <v>558</v>
      </c>
      <c r="C9" s="1143">
        <v>1</v>
      </c>
      <c r="D9" s="1138">
        <v>1</v>
      </c>
      <c r="E9" s="1138">
        <v>1</v>
      </c>
      <c r="F9" s="1138">
        <v>1</v>
      </c>
      <c r="G9" s="1138">
        <v>1</v>
      </c>
      <c r="H9" s="1138">
        <v>1</v>
      </c>
      <c r="I9" s="1138">
        <v>1</v>
      </c>
      <c r="J9" s="1138">
        <v>1</v>
      </c>
      <c r="K9" s="1138">
        <v>1</v>
      </c>
      <c r="L9" s="1138">
        <v>2</v>
      </c>
      <c r="M9" s="1138">
        <v>2</v>
      </c>
      <c r="N9" s="1138">
        <v>2</v>
      </c>
      <c r="O9" s="1144">
        <v>2</v>
      </c>
      <c r="P9" s="1139">
        <v>2</v>
      </c>
      <c r="Q9" s="1140">
        <v>2</v>
      </c>
      <c r="R9" s="1140">
        <v>2</v>
      </c>
      <c r="S9" s="1141">
        <v>2</v>
      </c>
      <c r="T9" s="1117"/>
    </row>
    <row r="10" spans="2:20" ht="15" x14ac:dyDescent="0.25">
      <c r="B10" s="1142" t="s">
        <v>693</v>
      </c>
      <c r="C10" s="1145">
        <v>7</v>
      </c>
      <c r="D10" s="1144">
        <v>7</v>
      </c>
      <c r="E10" s="1144">
        <v>8</v>
      </c>
      <c r="F10" s="1144">
        <v>8</v>
      </c>
      <c r="G10" s="1144">
        <v>8</v>
      </c>
      <c r="H10" s="1144">
        <v>8</v>
      </c>
      <c r="I10" s="1144">
        <v>8</v>
      </c>
      <c r="J10" s="1144">
        <v>8</v>
      </c>
      <c r="K10" s="1144">
        <v>8</v>
      </c>
      <c r="L10" s="1144">
        <v>8</v>
      </c>
      <c r="M10" s="1144">
        <v>8</v>
      </c>
      <c r="N10" s="1144">
        <v>8</v>
      </c>
      <c r="O10" s="1144">
        <v>8</v>
      </c>
      <c r="P10" s="1139">
        <v>8</v>
      </c>
      <c r="Q10" s="1140">
        <v>8</v>
      </c>
      <c r="R10" s="1140">
        <v>8</v>
      </c>
      <c r="S10" s="1141">
        <v>8</v>
      </c>
      <c r="T10" s="1117"/>
    </row>
    <row r="11" spans="2:20" ht="15" x14ac:dyDescent="0.25">
      <c r="B11" s="1134" t="s">
        <v>561</v>
      </c>
      <c r="C11" s="1146">
        <v>4</v>
      </c>
      <c r="D11" s="1137">
        <v>4</v>
      </c>
      <c r="E11" s="1137">
        <v>4</v>
      </c>
      <c r="F11" s="1137">
        <v>4</v>
      </c>
      <c r="G11" s="1137">
        <v>4</v>
      </c>
      <c r="H11" s="1137">
        <v>4</v>
      </c>
      <c r="I11" s="1137">
        <v>4</v>
      </c>
      <c r="J11" s="1137">
        <v>4</v>
      </c>
      <c r="K11" s="1137">
        <v>4</v>
      </c>
      <c r="L11" s="1147">
        <v>4</v>
      </c>
      <c r="M11" s="1137">
        <v>4</v>
      </c>
      <c r="N11" s="1137">
        <v>4</v>
      </c>
      <c r="O11" s="1137">
        <v>4</v>
      </c>
      <c r="P11" s="1131">
        <v>4</v>
      </c>
      <c r="Q11" s="1132">
        <v>4</v>
      </c>
      <c r="R11" s="1132">
        <v>4</v>
      </c>
      <c r="S11" s="1133">
        <v>4.5</v>
      </c>
      <c r="T11" s="1117"/>
    </row>
    <row r="12" spans="2:20" ht="15" x14ac:dyDescent="0.25">
      <c r="B12" s="1142" t="s">
        <v>559</v>
      </c>
      <c r="C12" s="1143">
        <v>5</v>
      </c>
      <c r="D12" s="1138">
        <v>5</v>
      </c>
      <c r="E12" s="1138">
        <v>5</v>
      </c>
      <c r="F12" s="1138">
        <v>6</v>
      </c>
      <c r="G12" s="1138">
        <v>8</v>
      </c>
      <c r="H12" s="1138">
        <v>7</v>
      </c>
      <c r="I12" s="1138">
        <v>7.5</v>
      </c>
      <c r="J12" s="1138">
        <v>7.5</v>
      </c>
      <c r="K12" s="1138">
        <v>8.5</v>
      </c>
      <c r="L12" s="1138">
        <v>8.5</v>
      </c>
      <c r="M12" s="1144">
        <v>8.5</v>
      </c>
      <c r="N12" s="1138">
        <v>8.5</v>
      </c>
      <c r="O12" s="1148">
        <v>8.5</v>
      </c>
      <c r="P12" s="1139">
        <v>8.5</v>
      </c>
      <c r="Q12" s="1140">
        <v>8.5</v>
      </c>
      <c r="R12" s="1140">
        <v>8.5</v>
      </c>
      <c r="S12" s="1141">
        <v>8.5</v>
      </c>
      <c r="T12" s="1117"/>
    </row>
    <row r="13" spans="2:20" ht="15" x14ac:dyDescent="0.25">
      <c r="B13" s="1142" t="s">
        <v>506</v>
      </c>
      <c r="C13" s="1143">
        <v>1</v>
      </c>
      <c r="D13" s="1138">
        <v>2</v>
      </c>
      <c r="E13" s="1138">
        <v>3</v>
      </c>
      <c r="F13" s="1138">
        <v>3</v>
      </c>
      <c r="G13" s="1138">
        <v>3</v>
      </c>
      <c r="H13" s="1138">
        <v>3</v>
      </c>
      <c r="I13" s="1138">
        <v>3</v>
      </c>
      <c r="J13" s="1138">
        <v>3</v>
      </c>
      <c r="K13" s="1138">
        <v>3</v>
      </c>
      <c r="L13" s="1138">
        <v>3</v>
      </c>
      <c r="M13" s="1144">
        <v>3</v>
      </c>
      <c r="N13" s="1138">
        <v>3</v>
      </c>
      <c r="O13" s="1148">
        <v>3</v>
      </c>
      <c r="P13" s="1139">
        <v>3</v>
      </c>
      <c r="Q13" s="1140">
        <v>3</v>
      </c>
      <c r="R13" s="1140">
        <v>3</v>
      </c>
      <c r="S13" s="1141">
        <v>3</v>
      </c>
      <c r="T13" s="1117"/>
    </row>
    <row r="14" spans="2:20" ht="15" x14ac:dyDescent="0.25">
      <c r="B14" s="1142" t="s">
        <v>694</v>
      </c>
      <c r="C14" s="1143">
        <v>3</v>
      </c>
      <c r="D14" s="1138">
        <v>3</v>
      </c>
      <c r="E14" s="1138">
        <v>4</v>
      </c>
      <c r="F14" s="1138">
        <v>4</v>
      </c>
      <c r="G14" s="1138">
        <v>3</v>
      </c>
      <c r="H14" s="1138">
        <v>3</v>
      </c>
      <c r="I14" s="1138">
        <v>4</v>
      </c>
      <c r="J14" s="1138">
        <v>4</v>
      </c>
      <c r="K14" s="1138">
        <v>4</v>
      </c>
      <c r="L14" s="1138">
        <v>4</v>
      </c>
      <c r="M14" s="1144">
        <v>5</v>
      </c>
      <c r="N14" s="1138">
        <v>5</v>
      </c>
      <c r="O14" s="1148">
        <v>5</v>
      </c>
      <c r="P14" s="1139">
        <v>5</v>
      </c>
      <c r="Q14" s="1140">
        <v>5</v>
      </c>
      <c r="R14" s="1140">
        <v>5</v>
      </c>
      <c r="S14" s="1141">
        <v>5</v>
      </c>
      <c r="T14" s="1117"/>
    </row>
    <row r="15" spans="2:20" ht="15" x14ac:dyDescent="0.25">
      <c r="B15" s="1142" t="s">
        <v>560</v>
      </c>
      <c r="C15" s="1143">
        <v>7</v>
      </c>
      <c r="D15" s="1138">
        <v>7</v>
      </c>
      <c r="E15" s="1138">
        <v>8.5</v>
      </c>
      <c r="F15" s="1138">
        <v>9.5</v>
      </c>
      <c r="G15" s="1138">
        <v>9.5</v>
      </c>
      <c r="H15" s="1138">
        <v>9.5</v>
      </c>
      <c r="I15" s="1138">
        <v>9.5</v>
      </c>
      <c r="J15" s="1138">
        <v>9.5</v>
      </c>
      <c r="K15" s="1138">
        <v>9.5</v>
      </c>
      <c r="L15" s="1138">
        <v>9.5</v>
      </c>
      <c r="M15" s="1144">
        <v>9.5</v>
      </c>
      <c r="N15" s="1138">
        <v>9.5</v>
      </c>
      <c r="O15" s="1148">
        <v>9.5</v>
      </c>
      <c r="P15" s="1139">
        <v>9.5</v>
      </c>
      <c r="Q15" s="1140">
        <v>9.5</v>
      </c>
      <c r="R15" s="1140">
        <v>9.5</v>
      </c>
      <c r="S15" s="1141">
        <v>9.5</v>
      </c>
      <c r="T15" s="1117"/>
    </row>
    <row r="16" spans="2:20" ht="15" x14ac:dyDescent="0.25">
      <c r="B16" s="1142" t="s">
        <v>695</v>
      </c>
      <c r="C16" s="1145">
        <v>1</v>
      </c>
      <c r="D16" s="1144">
        <v>1</v>
      </c>
      <c r="E16" s="1144">
        <v>1</v>
      </c>
      <c r="F16" s="1144">
        <v>1</v>
      </c>
      <c r="G16" s="1144">
        <v>1</v>
      </c>
      <c r="H16" s="1144">
        <v>1</v>
      </c>
      <c r="I16" s="1144">
        <v>1</v>
      </c>
      <c r="J16" s="1144">
        <v>1</v>
      </c>
      <c r="K16" s="1144">
        <v>1</v>
      </c>
      <c r="L16" s="1144">
        <v>1</v>
      </c>
      <c r="M16" s="1144">
        <v>1</v>
      </c>
      <c r="N16" s="1144">
        <v>1</v>
      </c>
      <c r="O16" s="1144">
        <v>1</v>
      </c>
      <c r="P16" s="1139">
        <v>1</v>
      </c>
      <c r="Q16" s="1140">
        <v>1</v>
      </c>
      <c r="R16" s="1140">
        <v>1</v>
      </c>
      <c r="S16" s="1141">
        <v>1</v>
      </c>
      <c r="T16" s="1117"/>
    </row>
    <row r="17" spans="2:20" ht="15" x14ac:dyDescent="0.25">
      <c r="B17" s="1134" t="s">
        <v>696</v>
      </c>
      <c r="C17" s="1146">
        <v>1</v>
      </c>
      <c r="D17" s="1137">
        <v>1</v>
      </c>
      <c r="E17" s="1137">
        <v>1</v>
      </c>
      <c r="F17" s="1137">
        <v>1</v>
      </c>
      <c r="G17" s="1137">
        <v>1</v>
      </c>
      <c r="H17" s="1137">
        <v>1</v>
      </c>
      <c r="I17" s="1137">
        <v>1</v>
      </c>
      <c r="J17" s="1137">
        <v>1</v>
      </c>
      <c r="K17" s="1137">
        <v>1</v>
      </c>
      <c r="L17" s="1147">
        <v>1</v>
      </c>
      <c r="M17" s="1137">
        <v>1</v>
      </c>
      <c r="N17" s="1137">
        <v>1</v>
      </c>
      <c r="O17" s="1137">
        <v>1</v>
      </c>
      <c r="P17" s="1131">
        <v>1</v>
      </c>
      <c r="Q17" s="1132">
        <v>1</v>
      </c>
      <c r="R17" s="1132">
        <v>1</v>
      </c>
      <c r="S17" s="1133">
        <v>1</v>
      </c>
      <c r="T17" s="1117"/>
    </row>
    <row r="18" spans="2:20" ht="15" x14ac:dyDescent="0.25">
      <c r="B18" s="1134" t="s">
        <v>251</v>
      </c>
      <c r="C18" s="1143">
        <v>0</v>
      </c>
      <c r="D18" s="1138">
        <v>0</v>
      </c>
      <c r="E18" s="1138">
        <v>0</v>
      </c>
      <c r="F18" s="1138">
        <v>0</v>
      </c>
      <c r="G18" s="1138">
        <v>0</v>
      </c>
      <c r="H18" s="1138">
        <v>0</v>
      </c>
      <c r="I18" s="1138">
        <v>0</v>
      </c>
      <c r="J18" s="1138">
        <v>0</v>
      </c>
      <c r="K18" s="1144">
        <v>2</v>
      </c>
      <c r="L18" s="1138">
        <v>5</v>
      </c>
      <c r="M18" s="1144">
        <v>6</v>
      </c>
      <c r="N18" s="1138">
        <v>7</v>
      </c>
      <c r="O18" s="1148">
        <v>7</v>
      </c>
      <c r="P18" s="1139">
        <v>8</v>
      </c>
      <c r="Q18" s="1140">
        <v>8</v>
      </c>
      <c r="R18" s="1140">
        <v>8</v>
      </c>
      <c r="S18" s="1141">
        <v>10</v>
      </c>
      <c r="T18" s="1117"/>
    </row>
    <row r="19" spans="2:20" ht="15.75" thickBot="1" x14ac:dyDescent="0.3">
      <c r="B19" s="1149" t="s">
        <v>1444</v>
      </c>
      <c r="C19" s="1150">
        <v>3</v>
      </c>
      <c r="D19" s="1151">
        <v>3</v>
      </c>
      <c r="E19" s="1151">
        <v>3</v>
      </c>
      <c r="F19" s="1151">
        <v>3</v>
      </c>
      <c r="G19" s="1151">
        <v>3</v>
      </c>
      <c r="H19" s="1151">
        <v>3</v>
      </c>
      <c r="I19" s="1151">
        <v>3</v>
      </c>
      <c r="J19" s="1151">
        <v>3</v>
      </c>
      <c r="K19" s="1151">
        <v>3</v>
      </c>
      <c r="L19" s="1151">
        <v>3</v>
      </c>
      <c r="M19" s="1152">
        <v>3</v>
      </c>
      <c r="N19" s="1151">
        <v>3</v>
      </c>
      <c r="O19" s="1153">
        <v>3</v>
      </c>
      <c r="P19" s="1123">
        <v>3</v>
      </c>
      <c r="Q19" s="1124">
        <v>3</v>
      </c>
      <c r="R19" s="1124">
        <v>3</v>
      </c>
      <c r="S19" s="1125">
        <v>3</v>
      </c>
      <c r="T19" s="1117"/>
    </row>
    <row r="20" spans="2:20" ht="15" x14ac:dyDescent="0.25"/>
    <row r="21" spans="2:20" ht="15" x14ac:dyDescent="0.25">
      <c r="B21" s="1118" t="s">
        <v>565</v>
      </c>
      <c r="C21" s="1118">
        <f>SUM(C5:C20)</f>
        <v>34</v>
      </c>
      <c r="D21" s="1118">
        <f>SUM(D5:D20)</f>
        <v>35</v>
      </c>
      <c r="E21" s="1118">
        <f t="shared" ref="E21:M21" si="0">SUM(E5:E19)</f>
        <v>39.5</v>
      </c>
      <c r="F21" s="1118">
        <f t="shared" si="0"/>
        <v>41.5</v>
      </c>
      <c r="G21" s="1118">
        <f t="shared" si="0"/>
        <v>42.5</v>
      </c>
      <c r="H21" s="1118">
        <f t="shared" si="0"/>
        <v>41.5</v>
      </c>
      <c r="I21" s="1118">
        <f t="shared" si="0"/>
        <v>43</v>
      </c>
      <c r="J21" s="1118">
        <f t="shared" si="0"/>
        <v>43</v>
      </c>
      <c r="K21" s="1118">
        <f t="shared" si="0"/>
        <v>46</v>
      </c>
      <c r="L21" s="1118">
        <f t="shared" si="0"/>
        <v>51</v>
      </c>
      <c r="M21" s="1118">
        <f t="shared" si="0"/>
        <v>54</v>
      </c>
      <c r="N21" s="1118">
        <f>SUM(N5:N20)</f>
        <v>55</v>
      </c>
      <c r="O21" s="1118">
        <f>SUM(O5:O20)</f>
        <v>55</v>
      </c>
      <c r="P21" s="1118">
        <v>56</v>
      </c>
      <c r="Q21" s="1118">
        <v>56</v>
      </c>
      <c r="R21" s="1118">
        <v>56</v>
      </c>
      <c r="S21" s="1118">
        <v>58.5</v>
      </c>
    </row>
    <row r="22" spans="2:20" ht="15" x14ac:dyDescent="0.25">
      <c r="B22" s="1118" t="s">
        <v>566</v>
      </c>
      <c r="D22" s="1118">
        <f>D21-C21</f>
        <v>1</v>
      </c>
      <c r="E22" s="1118">
        <f t="shared" ref="E22:L22" si="1">E21-D21</f>
        <v>4.5</v>
      </c>
      <c r="F22" s="1118">
        <f t="shared" si="1"/>
        <v>2</v>
      </c>
      <c r="G22" s="1118">
        <f t="shared" si="1"/>
        <v>1</v>
      </c>
      <c r="H22" s="1154">
        <f t="shared" si="1"/>
        <v>-1</v>
      </c>
      <c r="I22" s="1118">
        <f t="shared" si="1"/>
        <v>1.5</v>
      </c>
      <c r="J22" s="1118">
        <f t="shared" si="1"/>
        <v>0</v>
      </c>
      <c r="K22" s="1118">
        <f t="shared" si="1"/>
        <v>3</v>
      </c>
      <c r="L22" s="1118">
        <f t="shared" si="1"/>
        <v>5</v>
      </c>
      <c r="M22" s="1118">
        <f>M21-L21</f>
        <v>3</v>
      </c>
      <c r="N22" s="1118">
        <v>1</v>
      </c>
      <c r="O22" s="1118">
        <v>1</v>
      </c>
      <c r="P22" s="1118">
        <v>1</v>
      </c>
      <c r="Q22" s="1118">
        <v>0</v>
      </c>
      <c r="R22" s="1118">
        <v>0</v>
      </c>
      <c r="S22" s="1118">
        <v>2.5</v>
      </c>
    </row>
    <row r="23" spans="2:20" ht="10.15" customHeight="1" x14ac:dyDescent="0.25"/>
    <row r="24" spans="2:20" ht="15" x14ac:dyDescent="0.25">
      <c r="B24" s="1155" t="s">
        <v>567</v>
      </c>
      <c r="C24" s="1155">
        <v>31</v>
      </c>
      <c r="D24" s="1155">
        <v>32</v>
      </c>
      <c r="E24" s="1155">
        <v>36.5</v>
      </c>
      <c r="F24" s="1156" t="s">
        <v>1445</v>
      </c>
      <c r="G24" s="1155">
        <v>39.5</v>
      </c>
      <c r="H24" s="1155">
        <v>38.5</v>
      </c>
      <c r="I24" s="1155">
        <v>40</v>
      </c>
      <c r="J24" s="1155">
        <v>40</v>
      </c>
      <c r="K24" s="1155">
        <v>43</v>
      </c>
      <c r="L24" s="1155">
        <v>48</v>
      </c>
      <c r="M24" s="1155">
        <v>51</v>
      </c>
      <c r="N24" s="1155">
        <v>52</v>
      </c>
      <c r="O24" s="1155">
        <v>52</v>
      </c>
      <c r="P24" s="1155">
        <v>53</v>
      </c>
      <c r="Q24" s="1155">
        <v>53</v>
      </c>
      <c r="R24" s="1155">
        <v>53</v>
      </c>
      <c r="S24" s="1155">
        <v>55.5</v>
      </c>
      <c r="T24" s="1155"/>
    </row>
    <row r="25" spans="2:20" ht="15" x14ac:dyDescent="0.25">
      <c r="B25" s="1155" t="s">
        <v>1446</v>
      </c>
      <c r="P25" s="1155"/>
      <c r="Q25" s="1155"/>
      <c r="R25" s="1155"/>
      <c r="S25" s="1155"/>
      <c r="T25" s="1155"/>
    </row>
    <row r="26" spans="2:20" ht="15" x14ac:dyDescent="0.25">
      <c r="B26" s="1155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6"/>
  <sheetViews>
    <sheetView workbookViewId="0"/>
  </sheetViews>
  <sheetFormatPr defaultRowHeight="12.75" x14ac:dyDescent="0.2"/>
  <cols>
    <col min="1" max="1" width="23.85546875" style="33" customWidth="1"/>
    <col min="2" max="2" width="19.285156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166" t="s">
        <v>362</v>
      </c>
    </row>
    <row r="4" spans="1:5" ht="15" x14ac:dyDescent="0.25">
      <c r="A4" s="1167" t="s">
        <v>1456</v>
      </c>
      <c r="B4" s="1167" t="s">
        <v>1457</v>
      </c>
      <c r="C4" s="1167" t="s">
        <v>1458</v>
      </c>
      <c r="D4" s="24" t="s">
        <v>242</v>
      </c>
      <c r="E4" s="32" t="s">
        <v>708</v>
      </c>
    </row>
    <row r="5" spans="1:5" ht="15" x14ac:dyDescent="0.25">
      <c r="A5" s="1167">
        <v>2010</v>
      </c>
      <c r="B5" s="1169">
        <v>238168726.00999999</v>
      </c>
      <c r="C5" s="1169">
        <v>49911430.859999999</v>
      </c>
      <c r="D5" s="1170">
        <f>+B5+C5</f>
        <v>288080156.87</v>
      </c>
      <c r="E5" s="32">
        <v>40270000</v>
      </c>
    </row>
    <row r="6" spans="1:5" ht="15" x14ac:dyDescent="0.25">
      <c r="A6" s="1167">
        <v>2011</v>
      </c>
      <c r="B6" s="1169">
        <v>183417746.77000001</v>
      </c>
      <c r="C6" s="1169">
        <v>213650113.03</v>
      </c>
      <c r="D6" s="1170">
        <f t="shared" ref="D6:D16" si="0">+B6+C6</f>
        <v>397067859.80000001</v>
      </c>
      <c r="E6" s="32">
        <v>41290000</v>
      </c>
    </row>
    <row r="7" spans="1:5" ht="15" x14ac:dyDescent="0.25">
      <c r="A7" s="1167">
        <v>2012</v>
      </c>
      <c r="B7" s="1169">
        <v>150974012.31</v>
      </c>
      <c r="C7" s="1169">
        <v>131055186.18000001</v>
      </c>
      <c r="D7" s="1170">
        <f t="shared" si="0"/>
        <v>282029198.49000001</v>
      </c>
      <c r="E7" s="32">
        <v>59790000</v>
      </c>
    </row>
    <row r="8" spans="1:5" ht="15" x14ac:dyDescent="0.25">
      <c r="A8" s="1167">
        <v>2013</v>
      </c>
      <c r="B8" s="1169">
        <v>198083339.37</v>
      </c>
      <c r="C8" s="1169">
        <v>102889487.55</v>
      </c>
      <c r="D8" s="1170">
        <f t="shared" si="0"/>
        <v>300972826.92000002</v>
      </c>
      <c r="E8" s="32">
        <v>50090000</v>
      </c>
    </row>
    <row r="9" spans="1:5" ht="15" x14ac:dyDescent="0.25">
      <c r="A9" s="1167">
        <v>2014</v>
      </c>
      <c r="B9" s="1169">
        <v>173340475.68000001</v>
      </c>
      <c r="C9" s="1169">
        <v>64060545.32</v>
      </c>
      <c r="D9" s="1170">
        <f t="shared" si="0"/>
        <v>237401021</v>
      </c>
      <c r="E9" s="32">
        <v>62040000</v>
      </c>
    </row>
    <row r="10" spans="1:5" ht="15" x14ac:dyDescent="0.25">
      <c r="A10" s="1167">
        <v>2015</v>
      </c>
      <c r="B10" s="1169">
        <v>189048082.78</v>
      </c>
      <c r="C10" s="1169">
        <v>70979205.209999993</v>
      </c>
      <c r="D10" s="1170">
        <f t="shared" si="0"/>
        <v>260027287.99000001</v>
      </c>
      <c r="E10" s="32">
        <v>63471425</v>
      </c>
    </row>
    <row r="11" spans="1:5" ht="15" x14ac:dyDescent="0.25">
      <c r="A11" s="1167">
        <v>2016</v>
      </c>
      <c r="B11" s="1169">
        <v>197413591.31</v>
      </c>
      <c r="C11" s="1169">
        <v>26846390.129999999</v>
      </c>
      <c r="D11" s="1170">
        <f t="shared" si="0"/>
        <v>224259981.44</v>
      </c>
      <c r="E11" s="32">
        <f>SUM(RUD!O5:O9)</f>
        <v>72282381.450000003</v>
      </c>
    </row>
    <row r="12" spans="1:5" ht="15" x14ac:dyDescent="0.25">
      <c r="A12" s="1167">
        <v>2017</v>
      </c>
      <c r="B12" s="1169">
        <v>259213194.28999999</v>
      </c>
      <c r="C12" s="1169">
        <v>85157680.609999999</v>
      </c>
      <c r="D12" s="1170">
        <f t="shared" si="0"/>
        <v>344370874.89999998</v>
      </c>
      <c r="E12" s="32">
        <f>SUM(RUD!O17:O21)</f>
        <v>78017523.840000004</v>
      </c>
    </row>
    <row r="13" spans="1:5" ht="15" x14ac:dyDescent="0.25">
      <c r="A13" s="1167">
        <v>2018</v>
      </c>
      <c r="B13" s="1169">
        <v>294356038.32999998</v>
      </c>
      <c r="C13" s="1169">
        <v>95600175.219999999</v>
      </c>
      <c r="D13" s="1170">
        <f t="shared" si="0"/>
        <v>389956213.54999995</v>
      </c>
      <c r="E13" s="32">
        <f>SUM(RUD!O29:O33)</f>
        <v>90256550.030000001</v>
      </c>
    </row>
    <row r="14" spans="1:5" ht="15" x14ac:dyDescent="0.25">
      <c r="A14" s="1167">
        <v>2019</v>
      </c>
      <c r="B14" s="1169">
        <v>322354603.16000003</v>
      </c>
      <c r="C14" s="1169">
        <v>70423849.030000001</v>
      </c>
      <c r="D14" s="1170">
        <f t="shared" si="0"/>
        <v>392778452.19000006</v>
      </c>
      <c r="E14" s="32">
        <f>SUM(RUD!O41:O45)</f>
        <v>100045890</v>
      </c>
    </row>
    <row r="15" spans="1:5" ht="15" x14ac:dyDescent="0.25">
      <c r="A15" s="1167">
        <v>2020</v>
      </c>
      <c r="B15" s="1169">
        <v>291430645.30000001</v>
      </c>
      <c r="C15" s="1169">
        <v>44359598.890000001</v>
      </c>
      <c r="D15" s="1170">
        <f t="shared" si="0"/>
        <v>335790244.19</v>
      </c>
      <c r="E15" s="32">
        <f>SUM(RUD!O53:O57)</f>
        <v>93326325</v>
      </c>
    </row>
    <row r="16" spans="1:5" ht="15" x14ac:dyDescent="0.25">
      <c r="A16" s="1167">
        <v>2021</v>
      </c>
      <c r="B16" s="1169">
        <v>290519526.38999999</v>
      </c>
      <c r="C16" s="1169">
        <v>22739926.59</v>
      </c>
      <c r="D16" s="1170">
        <f t="shared" si="0"/>
        <v>313259452.97999996</v>
      </c>
      <c r="E16" s="32">
        <f>+RUD!O65+RUD!O66+RUD!O67+RUD!O68+RUD!O69</f>
        <v>107249595</v>
      </c>
    </row>
    <row r="17" spans="1:5" ht="15" x14ac:dyDescent="0.25">
      <c r="A17" s="1167">
        <v>2022</v>
      </c>
      <c r="B17" s="1170"/>
      <c r="C17" s="1170"/>
      <c r="D17" s="1170"/>
      <c r="E17" s="32">
        <f>+RUD!O81+RUD!O82+RUD!O83+RUD!O84+RUD!O85</f>
        <v>125751373</v>
      </c>
    </row>
    <row r="18" spans="1:5" ht="15" x14ac:dyDescent="0.25">
      <c r="A18" s="1167" t="s">
        <v>2406</v>
      </c>
      <c r="B18" s="1170"/>
      <c r="C18" s="1170"/>
      <c r="D18" s="1170"/>
      <c r="E18" s="32">
        <f>+RUD!O97+RUD!O98+RUD!O99+RUD!O100+RUD!O101</f>
        <v>148633829</v>
      </c>
    </row>
    <row r="19" spans="1:5" ht="15" x14ac:dyDescent="0.25">
      <c r="A19" s="1728"/>
      <c r="B19" s="1170"/>
      <c r="C19" s="1170"/>
      <c r="D19" s="1170"/>
    </row>
    <row r="20" spans="1:5" ht="15" x14ac:dyDescent="0.25">
      <c r="A20" s="1728"/>
      <c r="B20" s="1170"/>
      <c r="C20" s="1170"/>
      <c r="D20" s="1170"/>
    </row>
    <row r="21" spans="1:5" ht="15" x14ac:dyDescent="0.25">
      <c r="A21" s="1728"/>
      <c r="B21" s="1170"/>
      <c r="C21" s="1170"/>
      <c r="D21" s="1170"/>
    </row>
    <row r="22" spans="1:5" ht="15" x14ac:dyDescent="0.25">
      <c r="A22" s="1728"/>
      <c r="B22" s="1170"/>
      <c r="C22" s="1170"/>
      <c r="D22" s="1170"/>
    </row>
    <row r="23" spans="1:5" ht="15" x14ac:dyDescent="0.25">
      <c r="A23" s="1728"/>
      <c r="B23" s="1170"/>
      <c r="C23" s="1170"/>
      <c r="D23" s="1170"/>
    </row>
    <row r="26" spans="1:5" ht="15" x14ac:dyDescent="0.25">
      <c r="A26" s="1167" t="s">
        <v>1456</v>
      </c>
      <c r="B26" s="1167" t="s">
        <v>1459</v>
      </c>
    </row>
    <row r="27" spans="1:5" ht="15" x14ac:dyDescent="0.25">
      <c r="A27" s="1167">
        <v>2010</v>
      </c>
      <c r="B27" s="31">
        <f>+D5/E5</f>
        <v>7.1537163364787686</v>
      </c>
    </row>
    <row r="28" spans="1:5" ht="15" x14ac:dyDescent="0.25">
      <c r="A28" s="1167">
        <v>2011</v>
      </c>
      <c r="B28" s="31">
        <f t="shared" ref="B28:B38" si="1">+D6/E6</f>
        <v>9.6165623589246803</v>
      </c>
    </row>
    <row r="29" spans="1:5" ht="15" x14ac:dyDescent="0.25">
      <c r="A29" s="1167">
        <v>2012</v>
      </c>
      <c r="B29" s="31">
        <f t="shared" si="1"/>
        <v>4.7169961279478176</v>
      </c>
    </row>
    <row r="30" spans="1:5" ht="15" x14ac:dyDescent="0.25">
      <c r="A30" s="1167">
        <v>2013</v>
      </c>
      <c r="B30" s="31">
        <f t="shared" si="1"/>
        <v>6.0086409846276707</v>
      </c>
    </row>
    <row r="31" spans="1:5" ht="15" x14ac:dyDescent="0.25">
      <c r="A31" s="1167">
        <v>2014</v>
      </c>
      <c r="B31" s="31">
        <f t="shared" si="1"/>
        <v>3.8265799645390071</v>
      </c>
    </row>
    <row r="32" spans="1:5" ht="15" x14ac:dyDescent="0.25">
      <c r="A32" s="1167">
        <v>2015</v>
      </c>
      <c r="B32" s="31">
        <f t="shared" si="1"/>
        <v>4.0967614637610552</v>
      </c>
    </row>
    <row r="33" spans="1:20" ht="15" x14ac:dyDescent="0.25">
      <c r="A33" s="1167">
        <v>2016</v>
      </c>
      <c r="B33" s="31">
        <f t="shared" si="1"/>
        <v>3.1025538580951109</v>
      </c>
    </row>
    <row r="34" spans="1:20" ht="15" x14ac:dyDescent="0.25">
      <c r="A34" s="1167">
        <v>2017</v>
      </c>
      <c r="B34" s="31">
        <f t="shared" si="1"/>
        <v>4.4140195426638131</v>
      </c>
    </row>
    <row r="35" spans="1:20" ht="15" x14ac:dyDescent="0.25">
      <c r="A35" s="1167">
        <v>2018</v>
      </c>
      <c r="B35" s="31">
        <f t="shared" si="1"/>
        <v>4.3205309024152152</v>
      </c>
    </row>
    <row r="36" spans="1:20" ht="15" x14ac:dyDescent="0.25">
      <c r="A36" s="1167">
        <v>2019</v>
      </c>
      <c r="B36" s="31">
        <f t="shared" si="1"/>
        <v>3.9259828883525354</v>
      </c>
    </row>
    <row r="37" spans="1:20" ht="15" x14ac:dyDescent="0.25">
      <c r="A37" s="1167">
        <v>2020</v>
      </c>
      <c r="B37" s="31">
        <f t="shared" si="1"/>
        <v>3.5980227892826595</v>
      </c>
    </row>
    <row r="38" spans="1:20" ht="15" x14ac:dyDescent="0.25">
      <c r="A38" s="1167">
        <v>2021</v>
      </c>
      <c r="B38" s="31">
        <f t="shared" si="1"/>
        <v>2.9208450901842564</v>
      </c>
    </row>
    <row r="48" spans="1:20" x14ac:dyDescent="0.2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2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2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2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2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2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2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2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2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2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2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2">
      <c r="A79" s="33" t="s">
        <v>239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2">
      <c r="A80" s="33" t="s">
        <v>241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2">
      <c r="A81" s="33" t="s">
        <v>232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2">
      <c r="B82" s="9" t="e">
        <f>SUM(B78:B81)</f>
        <v>#REF!</v>
      </c>
    </row>
    <row r="105" spans="1:13" ht="15.75" x14ac:dyDescent="0.25">
      <c r="H105" s="4"/>
    </row>
    <row r="106" spans="1:13" ht="15.75" x14ac:dyDescent="0.25">
      <c r="B106" s="34" t="s">
        <v>358</v>
      </c>
      <c r="C106" s="34" t="s">
        <v>361</v>
      </c>
      <c r="D106" s="34"/>
      <c r="E106" s="34" t="s">
        <v>114</v>
      </c>
      <c r="F106" s="34" t="s">
        <v>359</v>
      </c>
      <c r="H106" s="4" t="s">
        <v>346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2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574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2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2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2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2">
      <c r="A111" s="33">
        <v>2013</v>
      </c>
    </row>
    <row r="112" spans="1:13" x14ac:dyDescent="0.2">
      <c r="A112" s="33">
        <v>2012</v>
      </c>
    </row>
    <row r="130" spans="8:22" ht="15.75" x14ac:dyDescent="0.25">
      <c r="H130"/>
      <c r="I130" s="34" t="s">
        <v>238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25">
      <c r="I137" s="34" t="s">
        <v>238</v>
      </c>
      <c r="J137" s="34" t="s">
        <v>114</v>
      </c>
      <c r="K137" s="34"/>
    </row>
    <row r="138" spans="8:22" x14ac:dyDescent="0.2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2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2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2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2">
      <c r="I147"/>
      <c r="K147"/>
      <c r="L147"/>
      <c r="M147"/>
      <c r="N147"/>
      <c r="O147"/>
      <c r="Q147"/>
      <c r="T147"/>
      <c r="V147"/>
    </row>
    <row r="148" spans="1:22" x14ac:dyDescent="0.2"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360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2">
      <c r="A150" s="33" t="s">
        <v>557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2">
      <c r="A151" s="33" t="s">
        <v>553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2">
      <c r="A152" s="33" t="s">
        <v>554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2">
      <c r="G153" s="32"/>
      <c r="I153"/>
      <c r="K153"/>
      <c r="L153"/>
      <c r="M153"/>
      <c r="N153"/>
      <c r="O153"/>
      <c r="Q153"/>
      <c r="T153"/>
      <c r="V153"/>
    </row>
    <row r="154" spans="1:22" x14ac:dyDescent="0.2">
      <c r="A154" s="33" t="s">
        <v>238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2">
      <c r="A155" s="33" t="s">
        <v>555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2">
      <c r="A156" s="33" t="s">
        <v>556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2">
      <c r="I157"/>
      <c r="K157"/>
      <c r="L157"/>
      <c r="M157"/>
      <c r="N157"/>
      <c r="O157"/>
      <c r="Q157"/>
      <c r="T157"/>
      <c r="V157"/>
    </row>
    <row r="158" spans="1:22" x14ac:dyDescent="0.2">
      <c r="B158" s="32"/>
      <c r="E158"/>
      <c r="G158" s="32"/>
      <c r="N158"/>
      <c r="Q158"/>
      <c r="V158"/>
    </row>
    <row r="160" spans="1:22" x14ac:dyDescent="0.2">
      <c r="A160" s="1168"/>
    </row>
    <row r="161" spans="1:1" x14ac:dyDescent="0.2">
      <c r="A161" s="1168"/>
    </row>
    <row r="162" spans="1:1" x14ac:dyDescent="0.2">
      <c r="A162" s="1168"/>
    </row>
    <row r="163" spans="1:1" x14ac:dyDescent="0.2">
      <c r="A163" s="1168"/>
    </row>
    <row r="164" spans="1:1" x14ac:dyDescent="0.2">
      <c r="A164" s="1168"/>
    </row>
    <row r="165" spans="1:1" x14ac:dyDescent="0.2">
      <c r="A165" s="1168"/>
    </row>
    <row r="166" spans="1:1" x14ac:dyDescent="0.2">
      <c r="A166" s="1168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48" customWidth="1"/>
    <col min="2" max="2" width="33" style="448" customWidth="1"/>
    <col min="3" max="3" width="7.85546875" style="448" customWidth="1"/>
    <col min="4" max="4" width="7.7109375" style="448" customWidth="1"/>
    <col min="5" max="5" width="7.28515625" style="448" customWidth="1"/>
    <col min="6" max="6" width="7.85546875" style="448" customWidth="1"/>
    <col min="7" max="7" width="7.28515625" style="448" customWidth="1"/>
    <col min="8" max="8" width="6.28515625" style="448" customWidth="1"/>
    <col min="9" max="9" width="8.28515625" style="448" customWidth="1"/>
    <col min="10" max="10" width="7.28515625" style="448" customWidth="1"/>
    <col min="11" max="11" width="7" style="448" customWidth="1"/>
    <col min="12" max="13" width="7.28515625" style="448" customWidth="1"/>
    <col min="14" max="14" width="8" style="448" customWidth="1"/>
    <col min="15" max="15" width="7" style="448" customWidth="1"/>
    <col min="16" max="16" width="7.28515625" style="448" customWidth="1"/>
    <col min="17" max="17" width="7.85546875" style="448" customWidth="1"/>
    <col min="18" max="18" width="9.28515625" style="448" customWidth="1"/>
    <col min="19" max="16384" width="0" style="448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3047" t="s">
        <v>971</v>
      </c>
      <c r="D5" s="3048"/>
      <c r="E5" s="3048"/>
      <c r="F5" s="3048"/>
      <c r="G5" s="3048"/>
      <c r="H5" s="3048"/>
      <c r="I5" s="3048"/>
      <c r="J5" s="3048"/>
      <c r="K5" s="3048"/>
      <c r="L5" s="3048"/>
      <c r="M5" s="3048"/>
      <c r="N5" s="3048"/>
      <c r="O5" s="3048"/>
      <c r="P5" s="3048"/>
      <c r="Q5" s="3049"/>
    </row>
    <row r="6" spans="2:17" ht="27" customHeight="1" thickBot="1" x14ac:dyDescent="0.3">
      <c r="B6" s="275"/>
      <c r="C6" s="597">
        <v>2006</v>
      </c>
      <c r="D6" s="598">
        <v>2007</v>
      </c>
      <c r="E6" s="598">
        <v>2008</v>
      </c>
      <c r="F6" s="598">
        <v>2009</v>
      </c>
      <c r="G6" s="598">
        <v>2010</v>
      </c>
      <c r="H6" s="598">
        <v>2011</v>
      </c>
      <c r="I6" s="598">
        <v>2012</v>
      </c>
      <c r="J6" s="598">
        <v>2013</v>
      </c>
      <c r="K6" s="598">
        <v>2014</v>
      </c>
      <c r="L6" s="598">
        <v>2015</v>
      </c>
      <c r="M6" s="599">
        <v>2016</v>
      </c>
      <c r="N6" s="598">
        <v>2017</v>
      </c>
      <c r="O6" s="600">
        <v>2018</v>
      </c>
      <c r="P6" s="601">
        <v>2019</v>
      </c>
      <c r="Q6" s="602" t="s">
        <v>969</v>
      </c>
    </row>
    <row r="7" spans="2:17" ht="18" customHeight="1" x14ac:dyDescent="0.25">
      <c r="B7" s="603" t="s">
        <v>691</v>
      </c>
      <c r="C7" s="604">
        <v>1</v>
      </c>
      <c r="D7" s="605">
        <v>1</v>
      </c>
      <c r="E7" s="605">
        <v>1</v>
      </c>
      <c r="F7" s="605">
        <v>1</v>
      </c>
      <c r="G7" s="605">
        <v>1</v>
      </c>
      <c r="H7" s="605">
        <v>1</v>
      </c>
      <c r="I7" s="605">
        <v>1</v>
      </c>
      <c r="J7" s="605">
        <v>1</v>
      </c>
      <c r="K7" s="605">
        <v>1</v>
      </c>
      <c r="L7" s="605">
        <v>1</v>
      </c>
      <c r="M7" s="606">
        <v>1</v>
      </c>
      <c r="N7" s="605">
        <v>1</v>
      </c>
      <c r="O7" s="607">
        <v>1</v>
      </c>
      <c r="P7" s="605">
        <v>1</v>
      </c>
      <c r="Q7" s="608">
        <v>1</v>
      </c>
    </row>
    <row r="8" spans="2:17" ht="18" customHeight="1" x14ac:dyDescent="0.25">
      <c r="B8" s="609" t="s">
        <v>562</v>
      </c>
      <c r="C8" s="610">
        <v>0</v>
      </c>
      <c r="D8" s="330">
        <v>0</v>
      </c>
      <c r="E8" s="330">
        <v>0</v>
      </c>
      <c r="F8" s="330">
        <v>0</v>
      </c>
      <c r="G8" s="330">
        <v>0</v>
      </c>
      <c r="H8" s="330">
        <v>0</v>
      </c>
      <c r="I8" s="330">
        <v>0</v>
      </c>
      <c r="J8" s="330">
        <v>0</v>
      </c>
      <c r="K8" s="330">
        <v>0</v>
      </c>
      <c r="L8" s="330">
        <v>1</v>
      </c>
      <c r="M8" s="611">
        <v>1</v>
      </c>
      <c r="N8" s="331">
        <v>1</v>
      </c>
      <c r="O8" s="612">
        <v>1</v>
      </c>
      <c r="P8" s="330">
        <v>1</v>
      </c>
      <c r="Q8" s="613">
        <v>1</v>
      </c>
    </row>
    <row r="9" spans="2:17" ht="18" customHeight="1" x14ac:dyDescent="0.25">
      <c r="B9" s="614" t="s">
        <v>563</v>
      </c>
      <c r="C9" s="610">
        <v>0</v>
      </c>
      <c r="D9" s="330">
        <v>0</v>
      </c>
      <c r="E9" s="330">
        <v>0</v>
      </c>
      <c r="F9" s="330">
        <v>0</v>
      </c>
      <c r="G9" s="330">
        <v>0</v>
      </c>
      <c r="H9" s="330">
        <v>0</v>
      </c>
      <c r="I9" s="330">
        <v>0</v>
      </c>
      <c r="J9" s="330">
        <v>0</v>
      </c>
      <c r="K9" s="330">
        <v>0</v>
      </c>
      <c r="L9" s="330">
        <v>0</v>
      </c>
      <c r="M9" s="611">
        <v>1</v>
      </c>
      <c r="N9" s="331">
        <v>1</v>
      </c>
      <c r="O9" s="612">
        <v>1</v>
      </c>
      <c r="P9" s="330">
        <v>1</v>
      </c>
      <c r="Q9" s="613">
        <v>1</v>
      </c>
    </row>
    <row r="10" spans="2:17" ht="18" customHeight="1" x14ac:dyDescent="0.25">
      <c r="B10" s="609" t="s">
        <v>692</v>
      </c>
      <c r="C10" s="610">
        <v>0</v>
      </c>
      <c r="D10" s="330">
        <v>0</v>
      </c>
      <c r="E10" s="330">
        <v>0</v>
      </c>
      <c r="F10" s="330">
        <v>0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611">
        <v>0</v>
      </c>
      <c r="N10" s="330">
        <v>0</v>
      </c>
      <c r="O10" s="612">
        <v>0</v>
      </c>
      <c r="P10" s="330">
        <v>0</v>
      </c>
      <c r="Q10" s="613">
        <v>0</v>
      </c>
    </row>
    <row r="11" spans="2:17" ht="18" customHeight="1" x14ac:dyDescent="0.25">
      <c r="B11" s="614" t="s">
        <v>558</v>
      </c>
      <c r="C11" s="615">
        <v>1</v>
      </c>
      <c r="D11" s="331">
        <v>1</v>
      </c>
      <c r="E11" s="331">
        <v>1</v>
      </c>
      <c r="F11" s="331">
        <v>1</v>
      </c>
      <c r="G11" s="331">
        <v>1</v>
      </c>
      <c r="H11" s="331">
        <v>1</v>
      </c>
      <c r="I11" s="331">
        <v>1</v>
      </c>
      <c r="J11" s="331">
        <v>1</v>
      </c>
      <c r="K11" s="331">
        <v>1</v>
      </c>
      <c r="L11" s="331">
        <v>2</v>
      </c>
      <c r="M11" s="331">
        <v>2</v>
      </c>
      <c r="N11" s="331">
        <v>2</v>
      </c>
      <c r="O11" s="616">
        <v>2</v>
      </c>
      <c r="P11" s="331">
        <v>2</v>
      </c>
      <c r="Q11" s="617">
        <v>2</v>
      </c>
    </row>
    <row r="12" spans="2:17" ht="18" customHeight="1" x14ac:dyDescent="0.25">
      <c r="B12" s="614" t="s">
        <v>693</v>
      </c>
      <c r="C12" s="621">
        <v>7</v>
      </c>
      <c r="D12" s="616">
        <v>7</v>
      </c>
      <c r="E12" s="616">
        <v>8</v>
      </c>
      <c r="F12" s="616">
        <v>8</v>
      </c>
      <c r="G12" s="616">
        <v>8</v>
      </c>
      <c r="H12" s="616">
        <v>8</v>
      </c>
      <c r="I12" s="616">
        <v>8</v>
      </c>
      <c r="J12" s="616">
        <v>8</v>
      </c>
      <c r="K12" s="616">
        <v>8</v>
      </c>
      <c r="L12" s="616">
        <v>8</v>
      </c>
      <c r="M12" s="616">
        <v>8</v>
      </c>
      <c r="N12" s="616">
        <v>8</v>
      </c>
      <c r="O12" s="616">
        <v>8</v>
      </c>
      <c r="P12" s="331">
        <v>8</v>
      </c>
      <c r="Q12" s="617">
        <v>8</v>
      </c>
    </row>
    <row r="13" spans="2:17" ht="18" customHeight="1" x14ac:dyDescent="0.25">
      <c r="B13" s="609" t="s">
        <v>561</v>
      </c>
      <c r="C13" s="618">
        <v>4</v>
      </c>
      <c r="D13" s="611">
        <v>4</v>
      </c>
      <c r="E13" s="611">
        <v>4</v>
      </c>
      <c r="F13" s="611">
        <v>4</v>
      </c>
      <c r="G13" s="611">
        <v>4</v>
      </c>
      <c r="H13" s="611">
        <v>4</v>
      </c>
      <c r="I13" s="611">
        <v>4</v>
      </c>
      <c r="J13" s="611">
        <v>4</v>
      </c>
      <c r="K13" s="611">
        <v>4</v>
      </c>
      <c r="L13" s="619">
        <v>4</v>
      </c>
      <c r="M13" s="611">
        <v>4</v>
      </c>
      <c r="N13" s="611">
        <v>4</v>
      </c>
      <c r="O13" s="611">
        <v>4</v>
      </c>
      <c r="P13" s="330">
        <v>4</v>
      </c>
      <c r="Q13" s="613">
        <v>4</v>
      </c>
    </row>
    <row r="14" spans="2:17" ht="18" customHeight="1" x14ac:dyDescent="0.25">
      <c r="B14" s="614" t="s">
        <v>559</v>
      </c>
      <c r="C14" s="615">
        <v>5</v>
      </c>
      <c r="D14" s="331">
        <v>5</v>
      </c>
      <c r="E14" s="331">
        <v>5</v>
      </c>
      <c r="F14" s="331">
        <v>6</v>
      </c>
      <c r="G14" s="331">
        <v>8</v>
      </c>
      <c r="H14" s="331">
        <v>7</v>
      </c>
      <c r="I14" s="331">
        <v>7.5</v>
      </c>
      <c r="J14" s="331">
        <v>7.5</v>
      </c>
      <c r="K14" s="331">
        <v>8.5</v>
      </c>
      <c r="L14" s="331">
        <v>8.5</v>
      </c>
      <c r="M14" s="616">
        <v>8.5</v>
      </c>
      <c r="N14" s="331">
        <v>8.5</v>
      </c>
      <c r="O14" s="620">
        <v>8.5</v>
      </c>
      <c r="P14" s="331">
        <v>8.5</v>
      </c>
      <c r="Q14" s="617">
        <v>8.5</v>
      </c>
    </row>
    <row r="15" spans="2:17" ht="18" customHeight="1" x14ac:dyDescent="0.25">
      <c r="B15" s="614" t="s">
        <v>506</v>
      </c>
      <c r="C15" s="615">
        <v>1</v>
      </c>
      <c r="D15" s="331">
        <v>2</v>
      </c>
      <c r="E15" s="331">
        <v>3</v>
      </c>
      <c r="F15" s="331">
        <v>3</v>
      </c>
      <c r="G15" s="331">
        <v>3</v>
      </c>
      <c r="H15" s="331">
        <v>3</v>
      </c>
      <c r="I15" s="331">
        <v>3</v>
      </c>
      <c r="J15" s="331">
        <v>3</v>
      </c>
      <c r="K15" s="331">
        <v>3</v>
      </c>
      <c r="L15" s="331">
        <v>3</v>
      </c>
      <c r="M15" s="616">
        <v>3</v>
      </c>
      <c r="N15" s="331">
        <v>3</v>
      </c>
      <c r="O15" s="620">
        <v>3</v>
      </c>
      <c r="P15" s="331">
        <v>3</v>
      </c>
      <c r="Q15" s="617">
        <v>3</v>
      </c>
    </row>
    <row r="16" spans="2:17" ht="18" customHeight="1" x14ac:dyDescent="0.25">
      <c r="B16" s="614" t="s">
        <v>694</v>
      </c>
      <c r="C16" s="615">
        <v>3</v>
      </c>
      <c r="D16" s="331">
        <v>3</v>
      </c>
      <c r="E16" s="331">
        <v>4</v>
      </c>
      <c r="F16" s="331">
        <v>4</v>
      </c>
      <c r="G16" s="331">
        <v>3</v>
      </c>
      <c r="H16" s="331">
        <v>3</v>
      </c>
      <c r="I16" s="331">
        <v>4</v>
      </c>
      <c r="J16" s="331">
        <v>4</v>
      </c>
      <c r="K16" s="331">
        <v>4</v>
      </c>
      <c r="L16" s="331">
        <v>4</v>
      </c>
      <c r="M16" s="616">
        <v>5</v>
      </c>
      <c r="N16" s="331">
        <v>5</v>
      </c>
      <c r="O16" s="620">
        <v>5</v>
      </c>
      <c r="P16" s="331">
        <v>5</v>
      </c>
      <c r="Q16" s="617">
        <v>5</v>
      </c>
    </row>
    <row r="17" spans="2:17" ht="18" customHeight="1" x14ac:dyDescent="0.25">
      <c r="B17" s="614" t="s">
        <v>560</v>
      </c>
      <c r="C17" s="615">
        <v>7</v>
      </c>
      <c r="D17" s="331">
        <v>7</v>
      </c>
      <c r="E17" s="331">
        <v>8.5</v>
      </c>
      <c r="F17" s="331">
        <v>9.5</v>
      </c>
      <c r="G17" s="331">
        <v>9.5</v>
      </c>
      <c r="H17" s="331">
        <v>9.5</v>
      </c>
      <c r="I17" s="331">
        <v>9.5</v>
      </c>
      <c r="J17" s="331">
        <v>9.5</v>
      </c>
      <c r="K17" s="331">
        <v>9.5</v>
      </c>
      <c r="L17" s="331">
        <v>9.5</v>
      </c>
      <c r="M17" s="616">
        <v>9.5</v>
      </c>
      <c r="N17" s="331">
        <v>9.5</v>
      </c>
      <c r="O17" s="620">
        <v>9.5</v>
      </c>
      <c r="P17" s="331">
        <v>9.5</v>
      </c>
      <c r="Q17" s="617">
        <v>9.5</v>
      </c>
    </row>
    <row r="18" spans="2:17" ht="18" customHeight="1" x14ac:dyDescent="0.25">
      <c r="B18" s="614" t="s">
        <v>695</v>
      </c>
      <c r="C18" s="621">
        <v>1</v>
      </c>
      <c r="D18" s="616">
        <v>1</v>
      </c>
      <c r="E18" s="616">
        <v>1</v>
      </c>
      <c r="F18" s="616">
        <v>1</v>
      </c>
      <c r="G18" s="616">
        <v>1</v>
      </c>
      <c r="H18" s="616">
        <v>1</v>
      </c>
      <c r="I18" s="616">
        <v>1</v>
      </c>
      <c r="J18" s="616">
        <v>1</v>
      </c>
      <c r="K18" s="616">
        <v>1</v>
      </c>
      <c r="L18" s="616">
        <v>1</v>
      </c>
      <c r="M18" s="616">
        <v>1</v>
      </c>
      <c r="N18" s="616">
        <v>1</v>
      </c>
      <c r="O18" s="616">
        <v>1</v>
      </c>
      <c r="P18" s="331">
        <v>1</v>
      </c>
      <c r="Q18" s="617">
        <v>1</v>
      </c>
    </row>
    <row r="19" spans="2:17" ht="18" customHeight="1" x14ac:dyDescent="0.25">
      <c r="B19" s="609" t="s">
        <v>696</v>
      </c>
      <c r="C19" s="618">
        <v>1</v>
      </c>
      <c r="D19" s="611">
        <v>1</v>
      </c>
      <c r="E19" s="611">
        <v>1</v>
      </c>
      <c r="F19" s="611">
        <v>1</v>
      </c>
      <c r="G19" s="611">
        <v>1</v>
      </c>
      <c r="H19" s="611">
        <v>1</v>
      </c>
      <c r="I19" s="611">
        <v>1</v>
      </c>
      <c r="J19" s="611">
        <v>1</v>
      </c>
      <c r="K19" s="611">
        <v>1</v>
      </c>
      <c r="L19" s="619">
        <v>1</v>
      </c>
      <c r="M19" s="611">
        <v>1</v>
      </c>
      <c r="N19" s="611">
        <v>1</v>
      </c>
      <c r="O19" s="611">
        <v>1</v>
      </c>
      <c r="P19" s="330">
        <v>1</v>
      </c>
      <c r="Q19" s="613">
        <v>1</v>
      </c>
    </row>
    <row r="20" spans="2:17" ht="18" customHeight="1" x14ac:dyDescent="0.25">
      <c r="B20" s="609" t="s">
        <v>251</v>
      </c>
      <c r="C20" s="615">
        <v>0</v>
      </c>
      <c r="D20" s="331">
        <v>0</v>
      </c>
      <c r="E20" s="331">
        <v>0</v>
      </c>
      <c r="F20" s="331">
        <v>0</v>
      </c>
      <c r="G20" s="331">
        <v>0</v>
      </c>
      <c r="H20" s="331">
        <v>0</v>
      </c>
      <c r="I20" s="331">
        <v>0</v>
      </c>
      <c r="J20" s="331">
        <v>0</v>
      </c>
      <c r="K20" s="616">
        <v>2</v>
      </c>
      <c r="L20" s="331">
        <v>5</v>
      </c>
      <c r="M20" s="616">
        <v>6</v>
      </c>
      <c r="N20" s="331">
        <v>7</v>
      </c>
      <c r="O20" s="620">
        <v>7</v>
      </c>
      <c r="P20" s="331">
        <v>8</v>
      </c>
      <c r="Q20" s="617">
        <v>8</v>
      </c>
    </row>
    <row r="21" spans="2:17" ht="18" customHeight="1" thickBot="1" x14ac:dyDescent="0.3">
      <c r="B21" s="622" t="s">
        <v>190</v>
      </c>
      <c r="C21" s="623">
        <v>3</v>
      </c>
      <c r="D21" s="624">
        <v>3</v>
      </c>
      <c r="E21" s="624">
        <v>3</v>
      </c>
      <c r="F21" s="624">
        <v>3</v>
      </c>
      <c r="G21" s="624">
        <v>3</v>
      </c>
      <c r="H21" s="624">
        <v>3</v>
      </c>
      <c r="I21" s="624">
        <v>3</v>
      </c>
      <c r="J21" s="624">
        <v>3</v>
      </c>
      <c r="K21" s="624">
        <v>3</v>
      </c>
      <c r="L21" s="624">
        <v>3</v>
      </c>
      <c r="M21" s="625">
        <v>3</v>
      </c>
      <c r="N21" s="624">
        <v>3</v>
      </c>
      <c r="O21" s="626">
        <v>3</v>
      </c>
      <c r="P21" s="624">
        <v>3</v>
      </c>
      <c r="Q21" s="627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28" t="s">
        <v>565</v>
      </c>
      <c r="C23" s="629">
        <f>SUM(C7:C22)</f>
        <v>34</v>
      </c>
      <c r="D23" s="629">
        <f>SUM(D7:D22)</f>
        <v>35</v>
      </c>
      <c r="E23" s="629">
        <f t="shared" ref="E23:M23" si="0">SUM(E7:E21)</f>
        <v>39.5</v>
      </c>
      <c r="F23" s="629">
        <f t="shared" si="0"/>
        <v>41.5</v>
      </c>
      <c r="G23" s="629">
        <f t="shared" si="0"/>
        <v>42.5</v>
      </c>
      <c r="H23" s="629">
        <f t="shared" si="0"/>
        <v>41.5</v>
      </c>
      <c r="I23" s="629">
        <f t="shared" si="0"/>
        <v>43</v>
      </c>
      <c r="J23" s="629">
        <f t="shared" si="0"/>
        <v>43</v>
      </c>
      <c r="K23" s="629">
        <f t="shared" si="0"/>
        <v>46</v>
      </c>
      <c r="L23" s="629">
        <f t="shared" si="0"/>
        <v>51</v>
      </c>
      <c r="M23" s="629">
        <f t="shared" si="0"/>
        <v>54</v>
      </c>
      <c r="N23" s="629">
        <f>SUM(N7:N22)</f>
        <v>55</v>
      </c>
      <c r="O23" s="629">
        <f>SUM(O7:O22)</f>
        <v>55</v>
      </c>
      <c r="P23" s="629">
        <f>SUM(P7:P22)</f>
        <v>56</v>
      </c>
      <c r="Q23" s="630">
        <f>SUM(Q7:Q22)</f>
        <v>56</v>
      </c>
    </row>
    <row r="24" spans="2:17" s="631" customFormat="1" ht="14.25" thickBot="1" x14ac:dyDescent="0.3">
      <c r="B24" s="632" t="s">
        <v>566</v>
      </c>
      <c r="C24" s="633"/>
      <c r="D24" s="633">
        <f>D23-C23</f>
        <v>1</v>
      </c>
      <c r="E24" s="633">
        <f t="shared" ref="E24:Q24" si="1">E23-D23</f>
        <v>4.5</v>
      </c>
      <c r="F24" s="633">
        <f t="shared" si="1"/>
        <v>2</v>
      </c>
      <c r="G24" s="633">
        <f t="shared" si="1"/>
        <v>1</v>
      </c>
      <c r="H24" s="633">
        <f t="shared" si="1"/>
        <v>-1</v>
      </c>
      <c r="I24" s="633">
        <f t="shared" si="1"/>
        <v>1.5</v>
      </c>
      <c r="J24" s="633">
        <f t="shared" si="1"/>
        <v>0</v>
      </c>
      <c r="K24" s="633">
        <f t="shared" si="1"/>
        <v>3</v>
      </c>
      <c r="L24" s="633">
        <f t="shared" si="1"/>
        <v>5</v>
      </c>
      <c r="M24" s="633">
        <f t="shared" si="1"/>
        <v>3</v>
      </c>
      <c r="N24" s="633">
        <f t="shared" si="1"/>
        <v>1</v>
      </c>
      <c r="O24" s="633">
        <f t="shared" si="1"/>
        <v>0</v>
      </c>
      <c r="P24" s="633">
        <f t="shared" si="1"/>
        <v>1</v>
      </c>
      <c r="Q24" s="634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35" t="s">
        <v>567</v>
      </c>
      <c r="C26" s="636">
        <v>34</v>
      </c>
      <c r="D26" s="636">
        <v>35</v>
      </c>
      <c r="E26" s="636">
        <v>39.5</v>
      </c>
      <c r="F26" s="636">
        <v>41.5</v>
      </c>
      <c r="G26" s="636">
        <v>42.5</v>
      </c>
      <c r="H26" s="636">
        <v>51.5</v>
      </c>
      <c r="I26" s="636">
        <v>43</v>
      </c>
      <c r="J26" s="636">
        <v>43</v>
      </c>
      <c r="K26" s="636">
        <v>44</v>
      </c>
      <c r="L26" s="636">
        <v>46</v>
      </c>
      <c r="M26" s="636">
        <v>48</v>
      </c>
      <c r="N26" s="636">
        <v>48</v>
      </c>
      <c r="O26" s="636">
        <v>49</v>
      </c>
      <c r="P26" s="636">
        <v>49</v>
      </c>
      <c r="Q26" s="637">
        <v>49</v>
      </c>
    </row>
    <row r="27" spans="2:17" ht="15.75" hidden="1" x14ac:dyDescent="0.3">
      <c r="B27" s="638" t="s">
        <v>697</v>
      </c>
    </row>
    <row r="28" spans="2:17" ht="15.75" hidden="1" x14ac:dyDescent="0.3">
      <c r="B28" s="638"/>
      <c r="C28" s="448" t="s">
        <v>568</v>
      </c>
    </row>
    <row r="29" spans="2:17" ht="15.75" hidden="1" x14ac:dyDescent="0.3">
      <c r="B29" s="638"/>
      <c r="C29" s="448" t="s">
        <v>569</v>
      </c>
    </row>
    <row r="30" spans="2:17" hidden="1" x14ac:dyDescent="0.25">
      <c r="C30" s="448" t="s">
        <v>570</v>
      </c>
    </row>
    <row r="31" spans="2:17" ht="15.75" hidden="1" x14ac:dyDescent="0.3">
      <c r="B31" s="448" t="s">
        <v>970</v>
      </c>
    </row>
    <row r="32" spans="2:17" ht="15.75" hidden="1" x14ac:dyDescent="0.3">
      <c r="B32" s="638" t="s">
        <v>571</v>
      </c>
      <c r="C32" s="448" t="s">
        <v>572</v>
      </c>
    </row>
    <row r="33" spans="2:17" hidden="1" x14ac:dyDescent="0.25">
      <c r="C33" s="448" t="s">
        <v>573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9" customFormat="1" ht="14.25" thickBot="1" x14ac:dyDescent="0.3">
      <c r="B35" s="640" t="s">
        <v>564</v>
      </c>
      <c r="C35" s="641">
        <v>14</v>
      </c>
      <c r="D35" s="642">
        <v>13</v>
      </c>
      <c r="E35" s="642">
        <v>13</v>
      </c>
      <c r="F35" s="642">
        <v>13</v>
      </c>
      <c r="G35" s="642">
        <v>13</v>
      </c>
      <c r="H35" s="642">
        <v>13</v>
      </c>
      <c r="I35" s="642">
        <v>13</v>
      </c>
      <c r="J35" s="642">
        <v>13</v>
      </c>
      <c r="K35" s="642">
        <v>15</v>
      </c>
      <c r="L35" s="642">
        <v>22</v>
      </c>
      <c r="M35" s="643">
        <v>26</v>
      </c>
      <c r="N35" s="642">
        <v>38</v>
      </c>
      <c r="O35" s="644">
        <v>38</v>
      </c>
      <c r="P35" s="642">
        <v>38</v>
      </c>
      <c r="Q35" s="645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" bestFit="1" customWidth="1"/>
  </cols>
  <sheetData>
    <row r="4" spans="2:3" ht="14.25" thickBot="1" x14ac:dyDescent="0.3">
      <c r="B4" s="593" t="s">
        <v>221</v>
      </c>
      <c r="C4" s="594">
        <f>+'Souhrn příjmů a výdajů 2024'!H6</f>
        <v>202828784</v>
      </c>
    </row>
    <row r="5" spans="2:3" ht="14.25" thickBot="1" x14ac:dyDescent="0.3">
      <c r="B5" s="593" t="s">
        <v>223</v>
      </c>
      <c r="C5" s="594">
        <f>'Souhrn příjmů a výdajů 2024'!H30</f>
        <v>32235801</v>
      </c>
    </row>
    <row r="6" spans="2:3" ht="14.25" thickBot="1" x14ac:dyDescent="0.3">
      <c r="B6" s="593" t="s">
        <v>226</v>
      </c>
      <c r="C6" s="594">
        <f>'Souhrn příjmů a výdajů 2024'!H74</f>
        <v>76000</v>
      </c>
    </row>
    <row r="7" spans="2:3" ht="14.25" thickBot="1" x14ac:dyDescent="0.3">
      <c r="B7" s="593" t="s">
        <v>230</v>
      </c>
      <c r="C7" s="594">
        <f>'Souhrn příjmů a výdajů 2024'!H79</f>
        <v>36181156</v>
      </c>
    </row>
    <row r="8" spans="2:3" ht="14.25" thickBot="1" x14ac:dyDescent="0.3">
      <c r="B8" s="593" t="s">
        <v>232</v>
      </c>
      <c r="C8" s="594">
        <f>'Souhrn příjmů a výdajů 2024'!H111</f>
        <v>63877507</v>
      </c>
    </row>
    <row r="9" spans="2:3" x14ac:dyDescent="0.2">
      <c r="C9" s="9">
        <f>SUM(C4:C8)</f>
        <v>335199248</v>
      </c>
    </row>
    <row r="36" spans="2:3" ht="13.5" thickBot="1" x14ac:dyDescent="0.25">
      <c r="B36" s="595" t="s">
        <v>238</v>
      </c>
      <c r="C36" s="594">
        <f>'Souhrn příjmů a výdajů 2024'!H122</f>
        <v>202094656.44124001</v>
      </c>
    </row>
    <row r="37" spans="2:3" ht="13.5" thickBot="1" x14ac:dyDescent="0.25">
      <c r="B37" s="596" t="s">
        <v>241</v>
      </c>
      <c r="C37" s="594">
        <f>'Souhrn příjmů a výdajů 2024'!H171</f>
        <v>96832091</v>
      </c>
    </row>
    <row r="38" spans="2:3" ht="13.5" thickBot="1" x14ac:dyDescent="0.25">
      <c r="B38" s="596" t="s">
        <v>232</v>
      </c>
      <c r="C38" s="594">
        <f>'Souhrn příjmů a výdajů 2024'!H184</f>
        <v>36272500.558759987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G117"/>
  <sheetViews>
    <sheetView topLeftCell="A4" zoomScale="87" zoomScaleNormal="87" workbookViewId="0">
      <selection activeCell="H22" sqref="H22"/>
    </sheetView>
  </sheetViews>
  <sheetFormatPr defaultColWidth="9" defaultRowHeight="13.5" x14ac:dyDescent="0.25"/>
  <cols>
    <col min="1" max="1" width="9.28515625" style="1007" bestFit="1" customWidth="1"/>
    <col min="2" max="2" width="7.28515625" style="1007" customWidth="1"/>
    <col min="3" max="3" width="6" style="1007" bestFit="1" customWidth="1"/>
    <col min="4" max="4" width="77.85546875" style="1008" customWidth="1"/>
    <col min="5" max="7" width="13.28515625" style="333" hidden="1" customWidth="1"/>
    <col min="8" max="8" width="12.7109375" style="333" bestFit="1" customWidth="1"/>
    <col min="9" max="9" width="16" style="333" customWidth="1"/>
    <col min="10" max="10" width="15.85546875" style="968" customWidth="1"/>
    <col min="11" max="11" width="23.85546875" style="968" bestFit="1" customWidth="1"/>
    <col min="12" max="12" width="34.28515625" style="968" bestFit="1" customWidth="1"/>
    <col min="13" max="13" width="16.28515625" style="970" customWidth="1"/>
    <col min="14" max="14" width="21" style="970" bestFit="1" customWidth="1"/>
    <col min="15" max="16" width="16.28515625" style="970" customWidth="1"/>
    <col min="17" max="17" width="14.5703125" style="970" customWidth="1"/>
    <col min="18" max="18" width="17.7109375" style="973" bestFit="1" customWidth="1"/>
    <col min="19" max="19" width="15" style="970" bestFit="1" customWidth="1"/>
    <col min="20" max="20" width="12.85546875" style="971" customWidth="1"/>
    <col min="21" max="21" width="11.5703125" style="974" customWidth="1"/>
    <col min="22" max="22" width="10" style="967" bestFit="1" customWidth="1"/>
    <col min="23" max="31" width="9" style="967" customWidth="1"/>
    <col min="32" max="16384" width="9" style="967"/>
  </cols>
  <sheetData>
    <row r="1" spans="1:21" ht="16.5" customHeight="1" x14ac:dyDescent="0.25">
      <c r="A1" s="1384"/>
      <c r="B1" s="1384"/>
      <c r="C1" s="1384"/>
      <c r="D1" s="1384"/>
      <c r="E1" s="1781"/>
      <c r="F1" s="1781"/>
      <c r="G1" s="1781"/>
      <c r="H1" s="1781"/>
      <c r="I1" s="1781"/>
    </row>
    <row r="2" spans="1:21" s="980" customFormat="1" x14ac:dyDescent="0.25">
      <c r="A2" s="2798" t="s">
        <v>2161</v>
      </c>
      <c r="B2" s="2799"/>
      <c r="C2" s="2799"/>
      <c r="D2" s="2800"/>
      <c r="E2" s="1782"/>
      <c r="F2" s="1782"/>
      <c r="G2" s="1782"/>
      <c r="H2" s="1782"/>
      <c r="I2" s="1782"/>
      <c r="J2" s="975"/>
      <c r="K2" s="975"/>
      <c r="L2" s="975"/>
      <c r="M2" s="976"/>
      <c r="N2" s="976"/>
      <c r="O2" s="976"/>
      <c r="P2" s="976"/>
      <c r="Q2" s="976"/>
      <c r="R2" s="977"/>
      <c r="S2" s="976"/>
      <c r="T2" s="978"/>
      <c r="U2" s="979"/>
    </row>
    <row r="3" spans="1:21" x14ac:dyDescent="0.25">
      <c r="A3" s="2801" t="s">
        <v>739</v>
      </c>
      <c r="B3" s="981"/>
      <c r="C3" s="981"/>
      <c r="D3" s="2802"/>
      <c r="E3" s="329"/>
      <c r="F3" s="329"/>
      <c r="G3" s="329"/>
      <c r="H3" s="329"/>
      <c r="I3" s="329"/>
    </row>
    <row r="4" spans="1:21" ht="15" customHeight="1" thickBot="1" x14ac:dyDescent="0.3">
      <c r="A4" s="981"/>
      <c r="B4" s="981"/>
      <c r="C4" s="981"/>
      <c r="D4" s="982"/>
      <c r="E4" s="1783"/>
      <c r="F4" s="1783"/>
      <c r="G4" s="1783"/>
      <c r="H4" s="1783"/>
      <c r="I4" s="1783"/>
      <c r="M4" s="974"/>
      <c r="N4" s="974"/>
      <c r="O4" s="983"/>
      <c r="P4" s="983" t="s">
        <v>684</v>
      </c>
      <c r="Q4" s="983"/>
      <c r="R4" s="984" t="s">
        <v>708</v>
      </c>
    </row>
    <row r="5" spans="1:21" s="969" customFormat="1" ht="30.4" customHeight="1" thickBot="1" x14ac:dyDescent="0.3">
      <c r="A5" s="3053" t="s">
        <v>0</v>
      </c>
      <c r="B5" s="3054"/>
      <c r="C5" s="3054"/>
      <c r="D5" s="3055"/>
      <c r="E5" s="1780" t="s">
        <v>2159</v>
      </c>
      <c r="F5" s="1780" t="s">
        <v>1985</v>
      </c>
      <c r="G5" s="1780" t="s">
        <v>2495</v>
      </c>
      <c r="H5" s="1780" t="s">
        <v>2566</v>
      </c>
      <c r="I5" s="1780" t="s">
        <v>2896</v>
      </c>
      <c r="J5" s="2803"/>
      <c r="K5" s="2803"/>
      <c r="M5" s="2804" t="s">
        <v>355</v>
      </c>
      <c r="N5" s="2805">
        <v>2015</v>
      </c>
      <c r="O5" s="2805">
        <v>2016</v>
      </c>
      <c r="P5" s="2805">
        <v>2017</v>
      </c>
      <c r="Q5" s="2805">
        <v>2018</v>
      </c>
      <c r="R5" s="2805">
        <v>2019</v>
      </c>
      <c r="S5" s="2806"/>
      <c r="T5" s="2807"/>
      <c r="U5" s="2805" t="s">
        <v>701</v>
      </c>
    </row>
    <row r="6" spans="1:21" s="969" customFormat="1" ht="14.25" thickBot="1" x14ac:dyDescent="0.3">
      <c r="A6" s="986" t="s">
        <v>8</v>
      </c>
      <c r="B6" s="987" t="s">
        <v>9</v>
      </c>
      <c r="C6" s="987" t="s">
        <v>10</v>
      </c>
      <c r="D6" s="988" t="s">
        <v>11</v>
      </c>
      <c r="E6" s="1784"/>
      <c r="F6" s="1784"/>
      <c r="G6" s="1784"/>
      <c r="H6" s="1784"/>
      <c r="I6" s="1784"/>
      <c r="J6" s="2803"/>
      <c r="K6" s="2803"/>
      <c r="M6" s="2805"/>
      <c r="N6" s="2805">
        <v>2015</v>
      </c>
      <c r="O6" s="2805"/>
      <c r="P6" s="2805"/>
      <c r="Q6" s="2805"/>
      <c r="R6" s="2808"/>
      <c r="S6" s="2806"/>
      <c r="T6" s="2807"/>
      <c r="U6" s="2805"/>
    </row>
    <row r="7" spans="1:21" s="2806" customFormat="1" ht="15" customHeight="1" x14ac:dyDescent="0.25">
      <c r="A7" s="1736" t="s">
        <v>12</v>
      </c>
      <c r="B7" s="1736"/>
      <c r="C7" s="1736">
        <v>1111</v>
      </c>
      <c r="D7" s="1737" t="s">
        <v>1148</v>
      </c>
      <c r="E7" s="173">
        <v>24554614</v>
      </c>
      <c r="F7" s="173">
        <v>24554614</v>
      </c>
      <c r="G7" s="173">
        <v>27254614</v>
      </c>
      <c r="H7" s="173">
        <v>27254614</v>
      </c>
      <c r="I7" s="173">
        <v>27863123</v>
      </c>
      <c r="J7" s="2809"/>
      <c r="K7" s="2809"/>
      <c r="M7" s="973">
        <f>+J7*0.25</f>
        <v>0</v>
      </c>
      <c r="N7" s="2806">
        <v>2015</v>
      </c>
      <c r="O7" s="973">
        <v>16931490</v>
      </c>
      <c r="P7" s="973">
        <v>12106810</v>
      </c>
      <c r="Q7" s="973"/>
      <c r="R7" s="2810">
        <f>28251021-R8</f>
        <v>26151021</v>
      </c>
      <c r="T7" s="968">
        <f>P7/8*12</f>
        <v>18160215</v>
      </c>
      <c r="U7" s="973"/>
    </row>
    <row r="8" spans="1:21" s="2806" customFormat="1" ht="16.5" customHeight="1" x14ac:dyDescent="0.25">
      <c r="A8" s="992" t="s">
        <v>12</v>
      </c>
      <c r="B8" s="992"/>
      <c r="C8" s="992">
        <v>1112</v>
      </c>
      <c r="D8" s="993" t="s">
        <v>1150</v>
      </c>
      <c r="E8" s="173">
        <v>1797180</v>
      </c>
      <c r="F8" s="173">
        <v>1797180</v>
      </c>
      <c r="G8" s="173">
        <v>1797180</v>
      </c>
      <c r="H8" s="173">
        <v>1797180</v>
      </c>
      <c r="I8" s="173">
        <v>1951224</v>
      </c>
      <c r="J8" s="2809"/>
      <c r="K8" s="2803"/>
      <c r="M8" s="973">
        <v>1538371.35</v>
      </c>
      <c r="N8" s="2806">
        <v>2015</v>
      </c>
      <c r="O8" s="973">
        <v>2184110</v>
      </c>
      <c r="P8" s="973">
        <v>317580</v>
      </c>
      <c r="Q8" s="973"/>
      <c r="R8" s="2810">
        <v>2100000</v>
      </c>
      <c r="T8" s="968">
        <f>+O8</f>
        <v>2184110</v>
      </c>
      <c r="U8" s="973"/>
    </row>
    <row r="9" spans="1:21" s="2806" customFormat="1" ht="15.75" customHeight="1" x14ac:dyDescent="0.25">
      <c r="A9" s="992" t="s">
        <v>12</v>
      </c>
      <c r="B9" s="992"/>
      <c r="C9" s="992">
        <v>1113</v>
      </c>
      <c r="D9" s="993" t="s">
        <v>1149</v>
      </c>
      <c r="E9" s="173">
        <v>4775364</v>
      </c>
      <c r="F9" s="173">
        <v>4775364</v>
      </c>
      <c r="G9" s="173">
        <v>4775364</v>
      </c>
      <c r="H9" s="173">
        <v>4775364</v>
      </c>
      <c r="I9" s="173">
        <v>4995791</v>
      </c>
      <c r="J9" s="2809"/>
      <c r="K9" s="2803"/>
      <c r="M9" s="973"/>
      <c r="N9" s="2806">
        <v>2015</v>
      </c>
      <c r="O9" s="973">
        <v>1204780</v>
      </c>
      <c r="P9" s="973">
        <v>996290</v>
      </c>
      <c r="Q9" s="973"/>
      <c r="R9" s="2810"/>
      <c r="T9" s="968">
        <f>P9/8*12</f>
        <v>1494435</v>
      </c>
      <c r="U9" s="973"/>
    </row>
    <row r="10" spans="1:21" s="2806" customFormat="1" ht="15.75" customHeight="1" x14ac:dyDescent="0.25">
      <c r="A10" s="992" t="s">
        <v>12</v>
      </c>
      <c r="B10" s="992"/>
      <c r="C10" s="992">
        <v>1111</v>
      </c>
      <c r="D10" s="993" t="s">
        <v>1151</v>
      </c>
      <c r="E10" s="173">
        <v>882547</v>
      </c>
      <c r="F10" s="173">
        <v>882547</v>
      </c>
      <c r="G10" s="173">
        <v>882547</v>
      </c>
      <c r="H10" s="173">
        <v>882547</v>
      </c>
      <c r="I10" s="173">
        <v>949964</v>
      </c>
      <c r="J10" s="2809"/>
      <c r="K10" s="2803"/>
      <c r="M10" s="973"/>
      <c r="N10" s="2806">
        <v>2015</v>
      </c>
      <c r="O10" s="973"/>
      <c r="P10" s="973"/>
      <c r="Q10" s="973"/>
      <c r="R10" s="2810"/>
      <c r="T10" s="968"/>
      <c r="U10" s="973"/>
    </row>
    <row r="11" spans="1:21" s="2806" customFormat="1" ht="15.75" customHeight="1" x14ac:dyDescent="0.25">
      <c r="A11" s="992"/>
      <c r="B11" s="992"/>
      <c r="C11" s="992">
        <v>1122</v>
      </c>
      <c r="D11" s="993" t="s">
        <v>2428</v>
      </c>
      <c r="E11" s="173"/>
      <c r="F11" s="173"/>
      <c r="G11" s="173"/>
      <c r="H11" s="173">
        <v>1280970</v>
      </c>
      <c r="I11" s="173">
        <v>1280970</v>
      </c>
      <c r="J11" s="2809"/>
      <c r="K11" s="2803"/>
      <c r="M11" s="973"/>
      <c r="O11" s="973"/>
      <c r="P11" s="973"/>
      <c r="Q11" s="973"/>
      <c r="R11" s="2810"/>
      <c r="T11" s="968"/>
      <c r="U11" s="973"/>
    </row>
    <row r="12" spans="1:21" s="2806" customFormat="1" ht="15.75" customHeight="1" x14ac:dyDescent="0.25">
      <c r="A12" s="992" t="s">
        <v>12</v>
      </c>
      <c r="B12" s="992"/>
      <c r="C12" s="992">
        <v>1121</v>
      </c>
      <c r="D12" s="993" t="s">
        <v>15</v>
      </c>
      <c r="E12" s="173">
        <v>39281220</v>
      </c>
      <c r="F12" s="173">
        <v>39281220</v>
      </c>
      <c r="G12" s="173">
        <v>41681220</v>
      </c>
      <c r="H12" s="173">
        <v>41681220</v>
      </c>
      <c r="I12" s="173">
        <v>39502801</v>
      </c>
      <c r="J12" s="2809"/>
      <c r="K12" s="2803"/>
      <c r="M12" s="973">
        <v>15829709.810000001</v>
      </c>
      <c r="N12" s="2806">
        <v>2015</v>
      </c>
      <c r="O12" s="973">
        <v>19090960</v>
      </c>
      <c r="P12" s="973">
        <v>12313840</v>
      </c>
      <c r="Q12" s="973"/>
      <c r="R12" s="2810">
        <v>20479158</v>
      </c>
      <c r="T12" s="968">
        <f>P12/8*12</f>
        <v>18470760</v>
      </c>
      <c r="U12" s="973"/>
    </row>
    <row r="13" spans="1:21" s="2806" customFormat="1" x14ac:dyDescent="0.25">
      <c r="A13" s="992" t="s">
        <v>12</v>
      </c>
      <c r="B13" s="992"/>
      <c r="C13" s="992">
        <v>1211</v>
      </c>
      <c r="D13" s="993" t="s">
        <v>16</v>
      </c>
      <c r="E13" s="173">
        <v>76816608</v>
      </c>
      <c r="F13" s="173">
        <v>76816608</v>
      </c>
      <c r="G13" s="173">
        <v>80716608</v>
      </c>
      <c r="H13" s="173">
        <v>80716608</v>
      </c>
      <c r="I13" s="173">
        <v>77563518</v>
      </c>
      <c r="J13" s="2809"/>
      <c r="K13" s="2803"/>
      <c r="M13" s="973"/>
      <c r="N13" s="2806">
        <v>2015</v>
      </c>
      <c r="O13" s="973">
        <v>32871040</v>
      </c>
      <c r="P13" s="973">
        <v>24837780</v>
      </c>
      <c r="Q13" s="973"/>
      <c r="R13" s="2810">
        <v>49121667</v>
      </c>
      <c r="T13" s="968">
        <f>P13/8*12</f>
        <v>37256670</v>
      </c>
      <c r="U13" s="973"/>
    </row>
    <row r="14" spans="1:21" s="969" customFormat="1" ht="15" customHeight="1" x14ac:dyDescent="0.25">
      <c r="A14" s="989"/>
      <c r="B14" s="912"/>
      <c r="C14" s="912" t="s">
        <v>17</v>
      </c>
      <c r="D14" s="990" t="s">
        <v>18</v>
      </c>
      <c r="E14" s="1785">
        <v>26000</v>
      </c>
      <c r="F14" s="1785">
        <v>26000</v>
      </c>
      <c r="G14" s="1785">
        <v>26000</v>
      </c>
      <c r="H14" s="1785">
        <v>26000</v>
      </c>
      <c r="I14" s="1785">
        <v>26000</v>
      </c>
      <c r="J14" s="2803"/>
      <c r="K14" s="2803"/>
      <c r="L14" s="2803"/>
      <c r="M14" s="2808">
        <f t="shared" ref="M14:R14" si="0">SUM(M7:M13)</f>
        <v>17368081.16</v>
      </c>
      <c r="N14" s="2805">
        <v>2015</v>
      </c>
      <c r="O14" s="2808">
        <f t="shared" si="0"/>
        <v>72282380</v>
      </c>
      <c r="P14" s="2808">
        <f t="shared" si="0"/>
        <v>50572300</v>
      </c>
      <c r="Q14" s="2808">
        <f t="shared" si="0"/>
        <v>0</v>
      </c>
      <c r="R14" s="2808">
        <f t="shared" si="0"/>
        <v>97851846</v>
      </c>
      <c r="S14" s="2811"/>
      <c r="T14" s="2807">
        <f>SUM(T7:T13)</f>
        <v>77566190</v>
      </c>
      <c r="U14" s="2812">
        <f>SUM(U7:U13)</f>
        <v>0</v>
      </c>
    </row>
    <row r="15" spans="1:21" s="2806" customFormat="1" x14ac:dyDescent="0.25">
      <c r="A15" s="1704" t="s">
        <v>12</v>
      </c>
      <c r="B15" s="930"/>
      <c r="C15" s="930" t="s">
        <v>19</v>
      </c>
      <c r="D15" s="1705" t="s">
        <v>20</v>
      </c>
      <c r="E15" s="1786">
        <v>7818624</v>
      </c>
      <c r="F15" s="1786">
        <v>7818624</v>
      </c>
      <c r="G15" s="1786">
        <v>7818624</v>
      </c>
      <c r="H15" s="1786">
        <v>7818624</v>
      </c>
      <c r="I15" s="1786">
        <f>K15</f>
        <v>7818624</v>
      </c>
      <c r="J15" s="2803"/>
      <c r="K15" s="2803">
        <f>(996+60)*(7404)</f>
        <v>7818624</v>
      </c>
      <c r="L15" s="2803"/>
      <c r="M15" s="2803">
        <v>6884</v>
      </c>
      <c r="N15" s="2806">
        <v>2015</v>
      </c>
      <c r="O15" s="973"/>
      <c r="P15" s="973"/>
      <c r="Q15" s="973"/>
      <c r="R15" s="2810" t="e">
        <f>+#REF!-R14</f>
        <v>#REF!</v>
      </c>
      <c r="T15" s="968">
        <f>T14/R14</f>
        <v>0.79269010418055885</v>
      </c>
      <c r="U15" s="973"/>
    </row>
    <row r="16" spans="1:21" s="969" customFormat="1" ht="15" customHeight="1" x14ac:dyDescent="0.25">
      <c r="A16" s="989" t="s">
        <v>12</v>
      </c>
      <c r="B16" s="912"/>
      <c r="C16" s="912">
        <v>1341</v>
      </c>
      <c r="D16" s="990" t="s">
        <v>21</v>
      </c>
      <c r="E16" s="1785">
        <v>260000</v>
      </c>
      <c r="F16" s="1785">
        <v>260000</v>
      </c>
      <c r="G16" s="1785">
        <v>260000</v>
      </c>
      <c r="H16" s="1785">
        <v>385000</v>
      </c>
      <c r="I16" s="1785">
        <f>260000+125000</f>
        <v>385000</v>
      </c>
      <c r="J16" s="2803"/>
      <c r="K16" s="2803"/>
      <c r="L16" s="2803"/>
      <c r="M16" s="2806"/>
      <c r="N16" s="2806"/>
      <c r="O16" s="2806"/>
      <c r="P16" s="2806"/>
      <c r="Q16" s="2806"/>
      <c r="R16" s="2810"/>
      <c r="S16" s="2806"/>
      <c r="T16" s="2807"/>
      <c r="U16" s="2805"/>
    </row>
    <row r="17" spans="1:21" s="969" customFormat="1" ht="15" customHeight="1" x14ac:dyDescent="0.25">
      <c r="A17" s="989" t="s">
        <v>12</v>
      </c>
      <c r="B17" s="912"/>
      <c r="C17" s="912">
        <v>1343</v>
      </c>
      <c r="D17" s="990" t="s">
        <v>22</v>
      </c>
      <c r="E17" s="1785">
        <v>75000</v>
      </c>
      <c r="F17" s="1785">
        <v>75000</v>
      </c>
      <c r="G17" s="1785">
        <v>75000</v>
      </c>
      <c r="H17" s="1785">
        <v>75000</v>
      </c>
      <c r="I17" s="1785">
        <v>75000</v>
      </c>
      <c r="J17" s="2803"/>
      <c r="K17" s="2803"/>
      <c r="L17" s="2803"/>
      <c r="M17" s="2806"/>
      <c r="N17" s="2806"/>
      <c r="O17" s="2806"/>
      <c r="P17" s="2806"/>
      <c r="Q17" s="2806"/>
      <c r="R17" s="2810"/>
      <c r="S17" s="2806"/>
      <c r="T17" s="2807"/>
      <c r="U17" s="2805"/>
    </row>
    <row r="18" spans="1:21" s="969" customFormat="1" ht="15" customHeight="1" x14ac:dyDescent="0.25">
      <c r="A18" s="989" t="s">
        <v>12</v>
      </c>
      <c r="B18" s="912"/>
      <c r="C18" s="912">
        <v>1344</v>
      </c>
      <c r="D18" s="990" t="s">
        <v>23</v>
      </c>
      <c r="E18" s="1785">
        <v>3000</v>
      </c>
      <c r="F18" s="1785">
        <v>3000</v>
      </c>
      <c r="G18" s="1785">
        <v>3000</v>
      </c>
      <c r="H18" s="1785">
        <v>3000</v>
      </c>
      <c r="I18" s="1785">
        <v>3000</v>
      </c>
      <c r="J18" s="2803"/>
      <c r="K18" s="2803"/>
      <c r="L18" s="2803"/>
      <c r="M18" s="2806"/>
      <c r="N18" s="2806"/>
      <c r="O18" s="2806"/>
      <c r="P18" s="2806"/>
      <c r="Q18" s="2806"/>
      <c r="R18" s="2810"/>
      <c r="S18" s="2806"/>
      <c r="T18" s="2807"/>
      <c r="U18" s="2805"/>
    </row>
    <row r="19" spans="1:21" s="969" customFormat="1" ht="15" customHeight="1" x14ac:dyDescent="0.25">
      <c r="A19" s="989" t="s">
        <v>12</v>
      </c>
      <c r="B19" s="912"/>
      <c r="C19" s="912">
        <v>1345</v>
      </c>
      <c r="D19" s="990" t="s">
        <v>24</v>
      </c>
      <c r="E19" s="1785">
        <v>20000</v>
      </c>
      <c r="F19" s="1785">
        <v>20000</v>
      </c>
      <c r="G19" s="1785">
        <v>20000</v>
      </c>
      <c r="H19" s="1785">
        <v>20000</v>
      </c>
      <c r="I19" s="1785">
        <v>20000</v>
      </c>
      <c r="J19" s="2803"/>
      <c r="K19" s="2803"/>
      <c r="L19" s="2803"/>
      <c r="M19" s="2806"/>
      <c r="N19" s="2806"/>
      <c r="O19" s="2806"/>
      <c r="P19" s="2806"/>
      <c r="Q19" s="2806"/>
      <c r="R19" s="2810"/>
      <c r="S19" s="2806"/>
      <c r="T19" s="2807"/>
      <c r="U19" s="2805"/>
    </row>
    <row r="20" spans="1:21" s="969" customFormat="1" ht="15" customHeight="1" x14ac:dyDescent="0.25">
      <c r="A20" s="989" t="s">
        <v>12</v>
      </c>
      <c r="B20" s="912"/>
      <c r="C20" s="912">
        <v>1347</v>
      </c>
      <c r="D20" s="990" t="s">
        <v>25</v>
      </c>
      <c r="E20" s="1785">
        <v>0</v>
      </c>
      <c r="F20" s="1785">
        <v>0</v>
      </c>
      <c r="G20" s="1785">
        <v>0</v>
      </c>
      <c r="H20" s="1785">
        <v>0</v>
      </c>
      <c r="I20" s="1785">
        <v>0</v>
      </c>
      <c r="J20" s="2803"/>
      <c r="K20" s="2803"/>
      <c r="L20" s="2803"/>
      <c r="M20" s="2806"/>
      <c r="N20" s="2806"/>
      <c r="O20" s="2806"/>
      <c r="P20" s="2806"/>
      <c r="Q20" s="2806"/>
      <c r="R20" s="2810"/>
      <c r="S20" s="2806"/>
      <c r="T20" s="2807"/>
      <c r="U20" s="2805"/>
    </row>
    <row r="21" spans="1:21" s="969" customFormat="1" ht="15" customHeight="1" x14ac:dyDescent="0.25">
      <c r="A21" s="989"/>
      <c r="B21" s="912"/>
      <c r="C21" s="912">
        <v>1386</v>
      </c>
      <c r="D21" s="990" t="s">
        <v>2875</v>
      </c>
      <c r="E21" s="1785"/>
      <c r="F21" s="1785"/>
      <c r="G21" s="1785"/>
      <c r="H21" s="1785">
        <v>621660</v>
      </c>
      <c r="I21" s="1785">
        <v>621660</v>
      </c>
      <c r="J21" s="2803"/>
      <c r="K21" s="2803"/>
      <c r="L21" s="2803"/>
      <c r="M21" s="2806"/>
      <c r="N21" s="2806"/>
      <c r="O21" s="2806"/>
      <c r="P21" s="2806"/>
      <c r="Q21" s="2806"/>
      <c r="R21" s="2810"/>
      <c r="S21" s="2806"/>
      <c r="T21" s="2807"/>
      <c r="U21" s="2805"/>
    </row>
    <row r="22" spans="1:21" s="969" customFormat="1" ht="15" customHeight="1" x14ac:dyDescent="0.25">
      <c r="A22" s="989"/>
      <c r="B22" s="912"/>
      <c r="C22" s="912">
        <v>1387</v>
      </c>
      <c r="D22" s="990" t="s">
        <v>2874</v>
      </c>
      <c r="E22" s="1785"/>
      <c r="F22" s="1785"/>
      <c r="G22" s="1785"/>
      <c r="H22" s="1785">
        <v>500414</v>
      </c>
      <c r="I22" s="1785">
        <v>500414</v>
      </c>
      <c r="J22" s="2803"/>
      <c r="K22" s="2803"/>
      <c r="L22" s="2803"/>
      <c r="M22" s="2806"/>
      <c r="N22" s="2806"/>
      <c r="O22" s="2806"/>
      <c r="P22" s="2806"/>
      <c r="Q22" s="2806"/>
      <c r="R22" s="2810"/>
      <c r="S22" s="2806"/>
      <c r="T22" s="2807"/>
      <c r="U22" s="2805"/>
    </row>
    <row r="23" spans="1:21" s="2816" customFormat="1" ht="15" customHeight="1" x14ac:dyDescent="0.25">
      <c r="A23" s="1791" t="s">
        <v>12</v>
      </c>
      <c r="B23" s="1792"/>
      <c r="C23" s="1792" t="s">
        <v>26</v>
      </c>
      <c r="D23" s="1793" t="s">
        <v>27</v>
      </c>
      <c r="E23" s="1794">
        <v>2520000</v>
      </c>
      <c r="F23" s="1794">
        <v>2520000</v>
      </c>
      <c r="G23" s="1794">
        <v>2520000</v>
      </c>
      <c r="H23" s="1794">
        <v>3161200</v>
      </c>
      <c r="I23" s="1794">
        <v>3161200</v>
      </c>
      <c r="J23" s="2813">
        <v>3161200</v>
      </c>
      <c r="K23" s="2814" t="s">
        <v>1440</v>
      </c>
      <c r="L23" s="2814"/>
      <c r="M23" s="2815" t="s">
        <v>727</v>
      </c>
      <c r="N23" s="2815" t="s">
        <v>715</v>
      </c>
      <c r="R23" s="2817"/>
      <c r="S23" s="2818"/>
      <c r="T23" s="2818"/>
      <c r="U23" s="2818"/>
    </row>
    <row r="24" spans="1:21" s="2816" customFormat="1" x14ac:dyDescent="0.25">
      <c r="A24" s="1791" t="s">
        <v>12</v>
      </c>
      <c r="B24" s="1792"/>
      <c r="C24" s="1792" t="s">
        <v>26</v>
      </c>
      <c r="D24" s="1793" t="s">
        <v>479</v>
      </c>
      <c r="E24" s="1794">
        <v>9398000</v>
      </c>
      <c r="F24" s="1794">
        <v>22448000</v>
      </c>
      <c r="G24" s="1794">
        <v>22448000</v>
      </c>
      <c r="H24" s="1794">
        <v>22448000</v>
      </c>
      <c r="I24" s="1794">
        <f>3548000+5850000+13050000</f>
        <v>22448000</v>
      </c>
      <c r="J24" s="2813"/>
      <c r="K24" s="2813" t="s">
        <v>2223</v>
      </c>
      <c r="L24" s="2813" t="s">
        <v>2386</v>
      </c>
      <c r="M24" s="2819" t="s">
        <v>2379</v>
      </c>
      <c r="N24" s="2819" t="s">
        <v>2404</v>
      </c>
      <c r="O24" s="2819"/>
      <c r="P24" s="2819"/>
      <c r="Q24" s="2819"/>
      <c r="R24" s="2817"/>
      <c r="T24" s="2813"/>
      <c r="U24" s="2819"/>
    </row>
    <row r="25" spans="1:21" s="969" customFormat="1" ht="15" customHeight="1" x14ac:dyDescent="0.25">
      <c r="A25" s="989" t="s">
        <v>12</v>
      </c>
      <c r="B25" s="912"/>
      <c r="C25" s="912">
        <v>1385</v>
      </c>
      <c r="D25" s="990" t="s">
        <v>481</v>
      </c>
      <c r="E25" s="1785">
        <v>0</v>
      </c>
      <c r="F25" s="1785">
        <v>0</v>
      </c>
      <c r="G25" s="1785">
        <v>0</v>
      </c>
      <c r="H25" s="1785">
        <v>1116295</v>
      </c>
      <c r="I25" s="1785">
        <v>1116295</v>
      </c>
      <c r="J25" s="2820"/>
      <c r="K25" s="2820"/>
      <c r="L25" s="2820"/>
      <c r="M25" s="2812"/>
      <c r="N25" s="2812"/>
      <c r="O25" s="973"/>
      <c r="P25" s="973"/>
      <c r="Q25" s="973"/>
      <c r="R25" s="2810"/>
      <c r="S25" s="2803"/>
      <c r="T25" s="2807"/>
      <c r="U25" s="2807"/>
    </row>
    <row r="26" spans="1:21" s="969" customFormat="1" ht="15" customHeight="1" x14ac:dyDescent="0.25">
      <c r="A26" s="989" t="s">
        <v>12</v>
      </c>
      <c r="B26" s="912"/>
      <c r="C26" s="912">
        <v>1381</v>
      </c>
      <c r="D26" s="990" t="s">
        <v>740</v>
      </c>
      <c r="E26" s="1785">
        <v>0</v>
      </c>
      <c r="F26" s="1785">
        <v>0</v>
      </c>
      <c r="G26" s="1785">
        <v>0</v>
      </c>
      <c r="H26" s="1785">
        <v>311000</v>
      </c>
      <c r="I26" s="1785">
        <v>311000</v>
      </c>
      <c r="J26" s="2821"/>
      <c r="K26" s="2821"/>
      <c r="L26" s="2821"/>
      <c r="M26" s="2803"/>
      <c r="N26" s="2803"/>
      <c r="O26" s="2803"/>
      <c r="P26" s="2803"/>
      <c r="Q26" s="2803"/>
      <c r="R26" s="2810"/>
      <c r="S26" s="2803"/>
      <c r="T26" s="2807"/>
      <c r="U26" s="2807"/>
    </row>
    <row r="27" spans="1:21" s="969" customFormat="1" ht="15" customHeight="1" x14ac:dyDescent="0.25">
      <c r="A27" s="989" t="s">
        <v>12</v>
      </c>
      <c r="B27" s="912"/>
      <c r="C27" s="912" t="s">
        <v>29</v>
      </c>
      <c r="D27" s="990" t="s">
        <v>30</v>
      </c>
      <c r="E27" s="838">
        <v>500000</v>
      </c>
      <c r="F27" s="838">
        <v>500000</v>
      </c>
      <c r="G27" s="838">
        <v>500000</v>
      </c>
      <c r="H27" s="838">
        <v>760000</v>
      </c>
      <c r="I27" s="2991">
        <v>900000</v>
      </c>
      <c r="J27" s="2803"/>
      <c r="K27" s="2803"/>
      <c r="L27" s="2803"/>
      <c r="M27" s="2806"/>
      <c r="N27" s="2806"/>
      <c r="O27" s="2806"/>
      <c r="P27" s="2806"/>
      <c r="Q27" s="2806"/>
      <c r="R27" s="2810"/>
      <c r="S27" s="2806"/>
      <c r="T27" s="2807"/>
      <c r="U27" s="2805"/>
    </row>
    <row r="28" spans="1:21" s="2806" customFormat="1" ht="15" customHeight="1" x14ac:dyDescent="0.25">
      <c r="A28" s="991" t="s">
        <v>12</v>
      </c>
      <c r="B28" s="992"/>
      <c r="C28" s="992">
        <v>1511</v>
      </c>
      <c r="D28" s="993" t="s">
        <v>31</v>
      </c>
      <c r="E28" s="173">
        <v>7810000</v>
      </c>
      <c r="F28" s="173">
        <v>7926380</v>
      </c>
      <c r="G28" s="173">
        <v>7926380</v>
      </c>
      <c r="H28" s="173">
        <v>11193800</v>
      </c>
      <c r="I28" s="3040">
        <v>11335200</v>
      </c>
      <c r="J28" s="2803"/>
      <c r="K28" s="2803"/>
      <c r="L28" s="2803"/>
      <c r="R28" s="2810"/>
      <c r="T28" s="2803"/>
    </row>
    <row r="29" spans="1:21" s="969" customFormat="1" ht="15" customHeight="1" x14ac:dyDescent="0.25">
      <c r="A29" s="989" t="s">
        <v>12</v>
      </c>
      <c r="B29" s="912"/>
      <c r="C29" s="912" t="s">
        <v>32</v>
      </c>
      <c r="D29" s="990" t="s">
        <v>33</v>
      </c>
      <c r="E29" s="838">
        <v>0</v>
      </c>
      <c r="F29" s="838">
        <v>0</v>
      </c>
      <c r="G29" s="838">
        <v>0</v>
      </c>
      <c r="H29" s="838">
        <v>0</v>
      </c>
      <c r="I29" s="2991">
        <v>5000</v>
      </c>
      <c r="J29" s="2803"/>
      <c r="K29" s="2803"/>
      <c r="L29" s="2803"/>
      <c r="M29" s="2806"/>
      <c r="N29" s="2806"/>
      <c r="O29" s="2806"/>
      <c r="P29" s="2806"/>
      <c r="Q29" s="2806">
        <v>2021</v>
      </c>
      <c r="R29" s="2803">
        <v>2022</v>
      </c>
      <c r="S29" s="2806">
        <v>2023</v>
      </c>
      <c r="T29" s="2807"/>
      <c r="U29" s="2805"/>
    </row>
    <row r="30" spans="1:21" s="969" customFormat="1" ht="15" customHeight="1" x14ac:dyDescent="0.25">
      <c r="A30" s="989"/>
      <c r="B30" s="912"/>
      <c r="C30" s="912">
        <v>4229</v>
      </c>
      <c r="D30" s="990" t="s">
        <v>2939</v>
      </c>
      <c r="E30" s="838"/>
      <c r="F30" s="838"/>
      <c r="G30" s="838"/>
      <c r="H30" s="838"/>
      <c r="I30" s="2991">
        <v>21297428</v>
      </c>
      <c r="J30" s="2803"/>
      <c r="K30" s="2803"/>
      <c r="L30" s="2803"/>
      <c r="M30" s="2806"/>
      <c r="N30" s="2806"/>
      <c r="O30" s="2806"/>
      <c r="P30" s="2806"/>
      <c r="Q30" s="2806"/>
      <c r="R30" s="2803"/>
      <c r="S30" s="2806"/>
      <c r="T30" s="2807"/>
      <c r="U30" s="2805"/>
    </row>
    <row r="31" spans="1:21" s="969" customFormat="1" ht="15" customHeight="1" x14ac:dyDescent="0.25">
      <c r="A31" s="989"/>
      <c r="B31" s="912"/>
      <c r="C31" s="912">
        <v>4216</v>
      </c>
      <c r="D31" s="990" t="s">
        <v>2941</v>
      </c>
      <c r="E31" s="838"/>
      <c r="F31" s="838"/>
      <c r="G31" s="838"/>
      <c r="H31" s="838"/>
      <c r="I31" s="2991">
        <v>327831</v>
      </c>
      <c r="J31" s="2803"/>
      <c r="K31" s="2803"/>
      <c r="L31" s="2803"/>
      <c r="M31" s="2806"/>
      <c r="N31" s="2806"/>
      <c r="O31" s="2806"/>
      <c r="P31" s="2806"/>
      <c r="Q31" s="2806"/>
      <c r="R31" s="2803"/>
      <c r="S31" s="2806"/>
      <c r="T31" s="2807"/>
      <c r="U31" s="2805"/>
    </row>
    <row r="32" spans="1:21" s="969" customFormat="1" ht="15" customHeight="1" x14ac:dyDescent="0.25">
      <c r="A32" s="989"/>
      <c r="B32" s="912"/>
      <c r="C32" s="912">
        <v>4216</v>
      </c>
      <c r="D32" s="990" t="s">
        <v>2169</v>
      </c>
      <c r="E32" s="1785">
        <v>30398511</v>
      </c>
      <c r="F32" s="1785">
        <v>30398511</v>
      </c>
      <c r="G32" s="1785">
        <v>30398511</v>
      </c>
      <c r="H32" s="1785">
        <v>30398511</v>
      </c>
      <c r="I32" s="1785">
        <v>0</v>
      </c>
      <c r="J32" s="2803"/>
      <c r="K32" s="2803"/>
      <c r="L32" s="2803"/>
      <c r="M32" s="2806"/>
      <c r="N32" s="2806"/>
      <c r="O32" s="2806"/>
      <c r="P32" s="2806"/>
      <c r="Q32" s="2806"/>
      <c r="R32" s="2803"/>
      <c r="S32" s="2806"/>
      <c r="T32" s="2807"/>
      <c r="U32" s="2805"/>
    </row>
    <row r="33" spans="1:33" s="969" customFormat="1" ht="15" customHeight="1" x14ac:dyDescent="0.25">
      <c r="A33" s="989" t="s">
        <v>12</v>
      </c>
      <c r="B33" s="912"/>
      <c r="C33" s="912">
        <v>4111</v>
      </c>
      <c r="D33" s="990" t="s">
        <v>2940</v>
      </c>
      <c r="E33" s="1785">
        <v>0</v>
      </c>
      <c r="F33" s="1785">
        <v>0</v>
      </c>
      <c r="G33" s="1785">
        <v>0</v>
      </c>
      <c r="H33" s="1785">
        <v>0</v>
      </c>
      <c r="I33" s="2991">
        <v>327697</v>
      </c>
      <c r="J33" s="2803"/>
      <c r="K33" s="2803"/>
      <c r="L33" s="2803"/>
      <c r="M33" s="2806"/>
      <c r="N33" s="2806"/>
      <c r="O33" s="2806"/>
      <c r="P33" s="2806"/>
      <c r="Q33" s="2806"/>
      <c r="R33" s="2803"/>
      <c r="S33" s="2806"/>
      <c r="T33" s="2807"/>
      <c r="U33" s="2805"/>
    </row>
    <row r="34" spans="1:33" s="969" customFormat="1" ht="15" customHeight="1" x14ac:dyDescent="0.25">
      <c r="A34" s="989" t="s">
        <v>12</v>
      </c>
      <c r="B34" s="912"/>
      <c r="C34" s="912" t="s">
        <v>34</v>
      </c>
      <c r="D34" s="990" t="s">
        <v>672</v>
      </c>
      <c r="E34" s="1785">
        <v>60000</v>
      </c>
      <c r="F34" s="1785">
        <v>60000</v>
      </c>
      <c r="G34" s="1785">
        <v>60000</v>
      </c>
      <c r="H34" s="1785">
        <v>60000</v>
      </c>
      <c r="I34" s="1785">
        <v>60000</v>
      </c>
      <c r="J34" s="2803"/>
      <c r="K34" s="2803"/>
      <c r="L34" s="2803"/>
      <c r="M34" s="2806"/>
      <c r="N34" s="2806"/>
      <c r="O34" s="2806"/>
      <c r="P34" s="2806"/>
      <c r="Q34" s="2806"/>
      <c r="R34" s="2810"/>
      <c r="S34" s="2806"/>
      <c r="T34" s="2807"/>
      <c r="U34" s="2805"/>
    </row>
    <row r="35" spans="1:33" s="969" customFormat="1" ht="15" customHeight="1" x14ac:dyDescent="0.25">
      <c r="A35" s="989"/>
      <c r="B35" s="912"/>
      <c r="C35" s="1670">
        <v>4121</v>
      </c>
      <c r="D35" s="990" t="s">
        <v>2938</v>
      </c>
      <c r="E35" s="1785">
        <v>0</v>
      </c>
      <c r="F35" s="1785">
        <v>0</v>
      </c>
      <c r="G35" s="1785">
        <v>0</v>
      </c>
      <c r="H35" s="1785">
        <v>0</v>
      </c>
      <c r="I35" s="1785">
        <v>0</v>
      </c>
      <c r="J35" s="2803"/>
      <c r="K35" s="2803"/>
      <c r="L35" s="2803"/>
      <c r="M35" s="2806"/>
      <c r="N35" s="2806"/>
      <c r="O35" s="2806"/>
      <c r="P35" s="2806"/>
      <c r="Q35" s="2806"/>
      <c r="R35" s="2810"/>
      <c r="S35" s="2806"/>
      <c r="T35" s="2807"/>
      <c r="U35" s="2805"/>
    </row>
    <row r="36" spans="1:33" s="969" customFormat="1" ht="15" customHeight="1" x14ac:dyDescent="0.25">
      <c r="A36" s="989"/>
      <c r="B36" s="912">
        <v>2212</v>
      </c>
      <c r="C36" s="1670">
        <v>2322</v>
      </c>
      <c r="D36" s="990" t="s">
        <v>2873</v>
      </c>
      <c r="E36" s="1785"/>
      <c r="F36" s="1785"/>
      <c r="G36" s="1785"/>
      <c r="H36" s="1785">
        <v>59700</v>
      </c>
      <c r="I36" s="3041">
        <v>66400</v>
      </c>
      <c r="J36" s="2803"/>
      <c r="K36" s="2803"/>
      <c r="L36" s="2803"/>
      <c r="M36" s="2806"/>
      <c r="N36" s="2806"/>
      <c r="O36" s="2806"/>
      <c r="P36" s="2806"/>
      <c r="Q36" s="2806"/>
      <c r="R36" s="2810"/>
      <c r="S36" s="2806"/>
      <c r="T36" s="2807"/>
      <c r="U36" s="2805"/>
    </row>
    <row r="37" spans="1:33" s="969" customFormat="1" ht="15" customHeight="1" x14ac:dyDescent="0.25">
      <c r="A37" s="989" t="s">
        <v>12</v>
      </c>
      <c r="B37" s="912">
        <v>2212</v>
      </c>
      <c r="C37" s="912">
        <v>2111</v>
      </c>
      <c r="D37" s="990" t="s">
        <v>1534</v>
      </c>
      <c r="E37" s="1785">
        <v>21950</v>
      </c>
      <c r="F37" s="1785">
        <v>21950</v>
      </c>
      <c r="G37" s="1785">
        <v>21950</v>
      </c>
      <c r="H37" s="1785">
        <v>21950</v>
      </c>
      <c r="I37" s="1785">
        <v>21950</v>
      </c>
      <c r="J37" s="2803"/>
      <c r="K37" s="2803"/>
      <c r="L37" s="2803"/>
      <c r="M37" s="2806"/>
      <c r="N37" s="2806"/>
      <c r="O37" s="2806"/>
      <c r="P37" s="2806"/>
      <c r="Q37" s="2806"/>
      <c r="R37" s="2810"/>
      <c r="S37" s="2806"/>
      <c r="T37" s="2807"/>
      <c r="U37" s="2805"/>
    </row>
    <row r="38" spans="1:33" s="969" customFormat="1" ht="15" hidden="1" customHeight="1" x14ac:dyDescent="0.25">
      <c r="A38" s="989" t="s">
        <v>12</v>
      </c>
      <c r="B38" s="912">
        <v>2212</v>
      </c>
      <c r="C38" s="912">
        <v>2322</v>
      </c>
      <c r="D38" s="990" t="s">
        <v>1535</v>
      </c>
      <c r="E38" s="1787">
        <v>0</v>
      </c>
      <c r="F38" s="1787">
        <v>0</v>
      </c>
      <c r="G38" s="1787">
        <v>0</v>
      </c>
      <c r="H38" s="1787">
        <v>0</v>
      </c>
      <c r="I38" s="1785">
        <v>0</v>
      </c>
      <c r="J38" s="2803"/>
      <c r="K38" s="2803"/>
      <c r="L38" s="2803"/>
      <c r="M38" s="2806"/>
      <c r="N38" s="2806"/>
      <c r="O38" s="2806"/>
      <c r="P38" s="2806"/>
      <c r="Q38" s="2806"/>
      <c r="R38" s="2810"/>
      <c r="S38" s="2806"/>
      <c r="T38" s="2807"/>
      <c r="U38" s="2805"/>
    </row>
    <row r="39" spans="1:33" s="969" customFormat="1" ht="15" customHeight="1" x14ac:dyDescent="0.25">
      <c r="A39" s="991">
        <v>2321</v>
      </c>
      <c r="B39" s="992">
        <v>2310</v>
      </c>
      <c r="C39" s="992" t="s">
        <v>40</v>
      </c>
      <c r="D39" s="993" t="s">
        <v>41</v>
      </c>
      <c r="E39" s="173">
        <v>4806120</v>
      </c>
      <c r="F39" s="173">
        <v>4806120</v>
      </c>
      <c r="G39" s="173">
        <v>4806120</v>
      </c>
      <c r="H39" s="173">
        <v>4806120</v>
      </c>
      <c r="I39" s="173">
        <f>$R$39*1.21</f>
        <v>4806120</v>
      </c>
      <c r="J39" s="2807">
        <v>1522129.26</v>
      </c>
      <c r="K39" s="2807"/>
      <c r="L39" s="2807"/>
      <c r="M39" s="2807">
        <v>1894000</v>
      </c>
      <c r="N39" s="2822">
        <v>2267000</v>
      </c>
      <c r="O39" s="2823">
        <v>2660000</v>
      </c>
      <c r="P39" s="2823">
        <v>3075000</v>
      </c>
      <c r="Q39" s="2823">
        <v>3512000</v>
      </c>
      <c r="R39" s="2823">
        <v>3972000</v>
      </c>
      <c r="S39" s="2823">
        <v>4381456.0968350032</v>
      </c>
      <c r="T39" s="2807"/>
      <c r="U39" s="2806"/>
    </row>
    <row r="40" spans="1:33" s="969" customFormat="1" ht="15" customHeight="1" x14ac:dyDescent="0.25">
      <c r="A40" s="991" t="s">
        <v>42</v>
      </c>
      <c r="B40" s="992">
        <v>2321</v>
      </c>
      <c r="C40" s="992" t="s">
        <v>40</v>
      </c>
      <c r="D40" s="993" t="s">
        <v>43</v>
      </c>
      <c r="E40" s="173">
        <v>8646660</v>
      </c>
      <c r="F40" s="173">
        <v>8646660</v>
      </c>
      <c r="G40" s="173">
        <v>8646660</v>
      </c>
      <c r="H40" s="173">
        <v>8646660</v>
      </c>
      <c r="I40" s="173">
        <f>$R$40*1.21</f>
        <v>8646660</v>
      </c>
      <c r="J40" s="2807">
        <f>2977926.74-941000</f>
        <v>2036926.7400000002</v>
      </c>
      <c r="K40" s="2807"/>
      <c r="L40" s="2807"/>
      <c r="M40" s="2807">
        <v>4510000</v>
      </c>
      <c r="N40" s="2822">
        <v>4989000</v>
      </c>
      <c r="O40" s="2823">
        <v>5490000</v>
      </c>
      <c r="P40" s="2823">
        <v>6016000</v>
      </c>
      <c r="Q40" s="2823">
        <v>6567000</v>
      </c>
      <c r="R40" s="2823">
        <v>7146000</v>
      </c>
      <c r="S40" s="2823">
        <v>7882649.8660581401</v>
      </c>
      <c r="T40" s="2807"/>
      <c r="U40" s="2806"/>
    </row>
    <row r="41" spans="1:33" s="969" customFormat="1" ht="15" customHeight="1" x14ac:dyDescent="0.25">
      <c r="A41" s="989">
        <v>3113</v>
      </c>
      <c r="B41" s="912">
        <v>3113</v>
      </c>
      <c r="C41" s="912" t="s">
        <v>44</v>
      </c>
      <c r="D41" s="990" t="s">
        <v>45</v>
      </c>
      <c r="E41" s="1785">
        <v>50000</v>
      </c>
      <c r="F41" s="1785">
        <v>50000</v>
      </c>
      <c r="G41" s="1785">
        <v>50000</v>
      </c>
      <c r="H41" s="1785">
        <v>50000</v>
      </c>
      <c r="I41" s="1785">
        <v>50000</v>
      </c>
      <c r="J41" s="2822"/>
      <c r="K41" s="2822"/>
      <c r="L41" s="2822"/>
      <c r="M41" s="2822"/>
      <c r="N41" s="2822"/>
      <c r="O41" s="2823">
        <f>+O39+O40</f>
        <v>8150000</v>
      </c>
      <c r="P41" s="2823">
        <f t="shared" ref="P41:R41" si="1">+P39+P40</f>
        <v>9091000</v>
      </c>
      <c r="Q41" s="2823">
        <f t="shared" si="1"/>
        <v>10079000</v>
      </c>
      <c r="R41" s="2823">
        <f t="shared" si="1"/>
        <v>11118000</v>
      </c>
      <c r="S41" s="2823">
        <f>+S40+S39</f>
        <v>12264105.962893143</v>
      </c>
      <c r="T41" s="2807"/>
      <c r="U41" s="2806"/>
    </row>
    <row r="42" spans="1:33" s="969" customFormat="1" ht="15" customHeight="1" x14ac:dyDescent="0.25">
      <c r="A42" s="989"/>
      <c r="B42" s="912">
        <v>3113</v>
      </c>
      <c r="C42" s="912" t="s">
        <v>40</v>
      </c>
      <c r="D42" s="990" t="s">
        <v>46</v>
      </c>
      <c r="E42" s="1785">
        <v>249000</v>
      </c>
      <c r="F42" s="1785">
        <v>249000</v>
      </c>
      <c r="G42" s="1785">
        <v>249000</v>
      </c>
      <c r="H42" s="1785">
        <v>249000</v>
      </c>
      <c r="I42" s="1785">
        <v>249000</v>
      </c>
      <c r="J42" s="2822"/>
      <c r="K42" s="2822"/>
      <c r="L42" s="2822"/>
      <c r="M42" s="2824">
        <f>M41/200000</f>
        <v>0</v>
      </c>
      <c r="N42" s="2825">
        <f>N41/200000</f>
        <v>0</v>
      </c>
      <c r="O42" s="2826">
        <f>O41/200000</f>
        <v>40.75</v>
      </c>
      <c r="P42" s="2826">
        <f>P41/200000</f>
        <v>45.454999999999998</v>
      </c>
      <c r="Q42" s="2826">
        <f t="shared" ref="Q42:S42" si="2">Q41/200000</f>
        <v>50.395000000000003</v>
      </c>
      <c r="R42" s="2826">
        <f t="shared" si="2"/>
        <v>55.59</v>
      </c>
      <c r="S42" s="2826">
        <f t="shared" si="2"/>
        <v>61.320529814465715</v>
      </c>
      <c r="T42" s="2807"/>
      <c r="U42" s="2806"/>
    </row>
    <row r="43" spans="1:33" s="969" customFormat="1" ht="15" customHeight="1" x14ac:dyDescent="0.25">
      <c r="A43" s="989"/>
      <c r="B43" s="912">
        <v>3114</v>
      </c>
      <c r="C43" s="912">
        <v>2111</v>
      </c>
      <c r="D43" s="990" t="s">
        <v>2876</v>
      </c>
      <c r="E43" s="1785"/>
      <c r="F43" s="1785"/>
      <c r="G43" s="1785"/>
      <c r="H43" s="1785">
        <v>58000</v>
      </c>
      <c r="I43" s="1785">
        <v>58000</v>
      </c>
      <c r="J43" s="2822"/>
      <c r="K43" s="2822"/>
      <c r="L43" s="2822"/>
      <c r="M43" s="2824"/>
      <c r="N43" s="2825"/>
      <c r="O43" s="2826"/>
      <c r="P43" s="2826"/>
      <c r="Q43" s="2826"/>
      <c r="R43" s="2826"/>
      <c r="S43" s="2826"/>
      <c r="T43" s="2807"/>
      <c r="U43" s="2806"/>
    </row>
    <row r="44" spans="1:33" s="969" customFormat="1" ht="15" customHeight="1" x14ac:dyDescent="0.25">
      <c r="A44" s="989"/>
      <c r="B44" s="912">
        <v>3314</v>
      </c>
      <c r="C44" s="912">
        <v>2111</v>
      </c>
      <c r="D44" s="990" t="s">
        <v>47</v>
      </c>
      <c r="E44" s="1785">
        <v>20000</v>
      </c>
      <c r="F44" s="1785">
        <v>20000</v>
      </c>
      <c r="G44" s="1785">
        <v>20000</v>
      </c>
      <c r="H44" s="1785">
        <v>41000</v>
      </c>
      <c r="I44" s="3041">
        <v>57000</v>
      </c>
      <c r="J44" s="2803"/>
      <c r="K44" s="2803"/>
      <c r="L44" s="2803"/>
      <c r="M44" s="2806"/>
      <c r="N44" s="2806"/>
      <c r="O44" s="2806"/>
      <c r="P44" s="2806"/>
      <c r="Q44" s="2806"/>
      <c r="R44" s="2810"/>
      <c r="S44" s="2806"/>
      <c r="T44" s="2807"/>
      <c r="U44" s="2805"/>
    </row>
    <row r="45" spans="1:33" s="969" customFormat="1" ht="15" hidden="1" customHeight="1" x14ac:dyDescent="0.25">
      <c r="A45" s="989"/>
      <c r="B45" s="912">
        <v>3314</v>
      </c>
      <c r="C45" s="912">
        <v>2321</v>
      </c>
      <c r="D45" s="990" t="s">
        <v>1536</v>
      </c>
      <c r="E45" s="1787">
        <v>0</v>
      </c>
      <c r="F45" s="1787">
        <v>0</v>
      </c>
      <c r="G45" s="1787">
        <v>0</v>
      </c>
      <c r="H45" s="1787">
        <v>0</v>
      </c>
      <c r="I45" s="3041">
        <v>0</v>
      </c>
      <c r="J45" s="2803"/>
      <c r="K45" s="2803"/>
      <c r="L45" s="2803"/>
      <c r="M45" s="2806"/>
      <c r="N45" s="2806"/>
      <c r="O45" s="2806"/>
      <c r="P45" s="2806"/>
      <c r="Q45" s="2806"/>
      <c r="R45" s="2810"/>
      <c r="S45" s="2806"/>
      <c r="T45" s="2807"/>
      <c r="U45" s="2805"/>
    </row>
    <row r="46" spans="1:33" s="969" customFormat="1" ht="15" customHeight="1" x14ac:dyDescent="0.25">
      <c r="A46" s="989">
        <v>3349</v>
      </c>
      <c r="B46" s="912">
        <v>3349</v>
      </c>
      <c r="C46" s="912">
        <v>2111</v>
      </c>
      <c r="D46" s="990" t="s">
        <v>48</v>
      </c>
      <c r="E46" s="1785">
        <v>250000</v>
      </c>
      <c r="F46" s="1785">
        <v>250000</v>
      </c>
      <c r="G46" s="1785">
        <v>250000</v>
      </c>
      <c r="H46" s="1785">
        <v>250000</v>
      </c>
      <c r="I46" s="3041">
        <v>270000</v>
      </c>
      <c r="J46" s="2803"/>
      <c r="K46" s="2803"/>
      <c r="L46" s="2803"/>
      <c r="M46" s="2806"/>
      <c r="N46" s="2806"/>
      <c r="O46" s="2806"/>
      <c r="P46" s="2806"/>
      <c r="Q46" s="2806"/>
      <c r="R46" s="2810"/>
      <c r="S46" s="2806"/>
      <c r="T46" s="2807"/>
      <c r="U46" s="2805"/>
    </row>
    <row r="47" spans="1:33" s="969" customFormat="1" ht="15" customHeight="1" x14ac:dyDescent="0.25">
      <c r="A47" s="989"/>
      <c r="B47" s="912">
        <v>3399</v>
      </c>
      <c r="C47" s="912" t="s">
        <v>44</v>
      </c>
      <c r="D47" s="990" t="s">
        <v>49</v>
      </c>
      <c r="E47" s="1785">
        <v>70000</v>
      </c>
      <c r="F47" s="1785">
        <v>70000</v>
      </c>
      <c r="G47" s="1785">
        <v>70000</v>
      </c>
      <c r="H47" s="1785">
        <v>141000</v>
      </c>
      <c r="I47" s="3041">
        <v>146000</v>
      </c>
      <c r="J47" s="2803"/>
      <c r="K47" s="2803"/>
      <c r="L47" s="2827">
        <v>6600100</v>
      </c>
      <c r="M47" s="2806">
        <v>2020</v>
      </c>
      <c r="N47" s="2806">
        <v>2021</v>
      </c>
      <c r="O47" s="2806">
        <v>2022</v>
      </c>
      <c r="P47" s="2806">
        <v>2023</v>
      </c>
      <c r="Q47" s="2806">
        <v>2024</v>
      </c>
      <c r="R47" s="2806">
        <v>2025</v>
      </c>
      <c r="S47" s="2806">
        <v>2026</v>
      </c>
      <c r="T47" s="2806">
        <v>2027</v>
      </c>
      <c r="U47" s="2806">
        <v>2028</v>
      </c>
      <c r="V47" s="2806">
        <v>2029</v>
      </c>
      <c r="W47" s="2806"/>
      <c r="X47" s="2806"/>
      <c r="Y47" s="2806"/>
      <c r="Z47" s="2806"/>
      <c r="AA47" s="2806"/>
      <c r="AB47" s="2806"/>
      <c r="AC47" s="2806"/>
      <c r="AD47" s="2806"/>
      <c r="AE47" s="2806"/>
      <c r="AF47" s="2806"/>
      <c r="AG47" s="2806"/>
    </row>
    <row r="48" spans="1:33" s="2806" customFormat="1" ht="15" customHeight="1" x14ac:dyDescent="0.25">
      <c r="A48" s="991">
        <v>3412</v>
      </c>
      <c r="B48" s="992">
        <v>3412</v>
      </c>
      <c r="C48" s="992">
        <v>2132</v>
      </c>
      <c r="D48" s="993" t="s">
        <v>50</v>
      </c>
      <c r="E48" s="173">
        <v>330005</v>
      </c>
      <c r="F48" s="173">
        <v>436456</v>
      </c>
      <c r="G48" s="173">
        <v>436456</v>
      </c>
      <c r="H48" s="173">
        <v>436456</v>
      </c>
      <c r="I48" s="173">
        <v>436456</v>
      </c>
      <c r="J48" s="2803"/>
      <c r="K48" s="2803"/>
      <c r="L48" s="2803" t="s">
        <v>497</v>
      </c>
      <c r="M48" s="2803">
        <f>+L47*0.3</f>
        <v>1980030</v>
      </c>
      <c r="N48" s="2803">
        <f>+L47*0.2</f>
        <v>1320020</v>
      </c>
      <c r="O48" s="2803">
        <f>+L47*0.1</f>
        <v>660010</v>
      </c>
      <c r="P48" s="2803">
        <f>+L47*0.1</f>
        <v>660010</v>
      </c>
      <c r="Q48" s="2803">
        <f>+L47*0.05</f>
        <v>330005</v>
      </c>
      <c r="R48" s="2803">
        <f>+L47*0.05</f>
        <v>330005</v>
      </c>
      <c r="S48" s="2803">
        <f>+L47*0.05</f>
        <v>330005</v>
      </c>
      <c r="T48" s="2803">
        <f>+L47*0.05</f>
        <v>330005</v>
      </c>
      <c r="U48" s="2803">
        <f>+L47*0.05</f>
        <v>330005</v>
      </c>
      <c r="V48" s="2803">
        <f>+L47*0.05</f>
        <v>330005</v>
      </c>
    </row>
    <row r="49" spans="1:21" s="969" customFormat="1" ht="15" customHeight="1" x14ac:dyDescent="0.25">
      <c r="A49" s="989"/>
      <c r="B49" s="912">
        <v>3519</v>
      </c>
      <c r="C49" s="912">
        <v>2132</v>
      </c>
      <c r="D49" s="990" t="s">
        <v>51</v>
      </c>
      <c r="E49" s="838">
        <v>828800</v>
      </c>
      <c r="F49" s="838">
        <v>828800</v>
      </c>
      <c r="G49" s="838">
        <v>828800</v>
      </c>
      <c r="H49" s="838">
        <v>828800</v>
      </c>
      <c r="I49" s="838">
        <v>828800</v>
      </c>
      <c r="J49" s="2803"/>
      <c r="K49" s="2803"/>
      <c r="L49" s="2803"/>
      <c r="M49" s="2803"/>
      <c r="N49" s="2806"/>
      <c r="O49" s="2806"/>
      <c r="P49" s="2806"/>
      <c r="Q49" s="2806"/>
      <c r="R49" s="2810"/>
      <c r="S49" s="2806"/>
      <c r="T49" s="2807"/>
      <c r="U49" s="2805"/>
    </row>
    <row r="50" spans="1:21" s="969" customFormat="1" ht="15" customHeight="1" x14ac:dyDescent="0.25">
      <c r="A50" s="989">
        <v>3612</v>
      </c>
      <c r="B50" s="912">
        <v>3612</v>
      </c>
      <c r="C50" s="912">
        <v>2111</v>
      </c>
      <c r="D50" s="990" t="s">
        <v>52</v>
      </c>
      <c r="E50" s="1785">
        <v>2950832</v>
      </c>
      <c r="F50" s="1785">
        <v>2950832</v>
      </c>
      <c r="G50" s="1785">
        <v>2950832</v>
      </c>
      <c r="H50" s="1785">
        <v>3282000</v>
      </c>
      <c r="I50" s="1785">
        <v>3282000</v>
      </c>
      <c r="J50" s="2803"/>
      <c r="K50" s="2803"/>
      <c r="L50" s="2803"/>
      <c r="M50" s="2806"/>
      <c r="N50" s="2806"/>
      <c r="O50" s="2806"/>
      <c r="P50" s="2806"/>
      <c r="Q50" s="2806"/>
      <c r="R50" s="2810"/>
      <c r="S50" s="2806"/>
      <c r="T50" s="2807"/>
      <c r="U50" s="2805"/>
    </row>
    <row r="51" spans="1:21" s="969" customFormat="1" ht="15" customHeight="1" x14ac:dyDescent="0.25">
      <c r="A51" s="989">
        <v>3612</v>
      </c>
      <c r="B51" s="912">
        <v>3612</v>
      </c>
      <c r="C51" s="912">
        <v>2132</v>
      </c>
      <c r="D51" s="990" t="s">
        <v>53</v>
      </c>
      <c r="E51" s="1785">
        <v>4800000</v>
      </c>
      <c r="F51" s="1785">
        <v>4800000</v>
      </c>
      <c r="G51" s="1785">
        <v>4800000</v>
      </c>
      <c r="H51" s="1785">
        <v>4800000</v>
      </c>
      <c r="I51" s="1785">
        <v>4800000</v>
      </c>
      <c r="J51" s="2803"/>
      <c r="K51" s="2803"/>
      <c r="L51" s="2803"/>
      <c r="M51" s="2806"/>
      <c r="N51" s="2806"/>
      <c r="O51" s="2806"/>
      <c r="P51" s="2806"/>
      <c r="Q51" s="2806"/>
      <c r="R51" s="2810"/>
      <c r="S51" s="2806"/>
      <c r="T51" s="2807"/>
      <c r="U51" s="2805"/>
    </row>
    <row r="52" spans="1:21" s="969" customFormat="1" ht="15" hidden="1" customHeight="1" x14ac:dyDescent="0.25">
      <c r="A52" s="989"/>
      <c r="B52" s="912">
        <v>3612</v>
      </c>
      <c r="C52" s="912">
        <v>2322</v>
      </c>
      <c r="D52" s="990" t="s">
        <v>1537</v>
      </c>
      <c r="E52" s="1787">
        <v>0</v>
      </c>
      <c r="F52" s="1787">
        <v>0</v>
      </c>
      <c r="G52" s="1787">
        <v>0</v>
      </c>
      <c r="H52" s="1787">
        <v>0</v>
      </c>
      <c r="I52" s="1787">
        <v>0</v>
      </c>
      <c r="J52" s="2803"/>
      <c r="K52" s="2803"/>
      <c r="L52" s="2803"/>
      <c r="M52" s="2806"/>
      <c r="N52" s="2806"/>
      <c r="O52" s="2806"/>
      <c r="P52" s="2806"/>
      <c r="Q52" s="2806"/>
      <c r="R52" s="2810"/>
      <c r="S52" s="2806"/>
      <c r="T52" s="2807"/>
      <c r="U52" s="2805"/>
    </row>
    <row r="53" spans="1:21" s="969" customFormat="1" ht="15" hidden="1" customHeight="1" x14ac:dyDescent="0.25">
      <c r="A53" s="989"/>
      <c r="B53" s="912"/>
      <c r="C53" s="912">
        <v>3122</v>
      </c>
      <c r="D53" s="990" t="s">
        <v>1234</v>
      </c>
      <c r="E53" s="1785">
        <v>0</v>
      </c>
      <c r="F53" s="1785">
        <v>0</v>
      </c>
      <c r="G53" s="1785">
        <v>0</v>
      </c>
      <c r="H53" s="1785">
        <v>0</v>
      </c>
      <c r="I53" s="1785">
        <v>0</v>
      </c>
      <c r="J53" s="2803"/>
      <c r="K53" s="2803"/>
      <c r="L53" s="2803"/>
      <c r="M53" s="2806"/>
      <c r="N53" s="2806"/>
      <c r="O53" s="2806"/>
      <c r="P53" s="2806"/>
      <c r="Q53" s="2806"/>
      <c r="R53" s="2810"/>
      <c r="S53" s="2806"/>
      <c r="T53" s="2807"/>
      <c r="U53" s="2805"/>
    </row>
    <row r="54" spans="1:21" s="969" customFormat="1" ht="15" customHeight="1" x14ac:dyDescent="0.25">
      <c r="A54" s="989">
        <v>3613</v>
      </c>
      <c r="B54" s="912">
        <v>3613</v>
      </c>
      <c r="C54" s="912" t="s">
        <v>44</v>
      </c>
      <c r="D54" s="990" t="s">
        <v>54</v>
      </c>
      <c r="E54" s="1785">
        <v>81000</v>
      </c>
      <c r="F54" s="1785">
        <v>81000</v>
      </c>
      <c r="G54" s="1785">
        <v>81000</v>
      </c>
      <c r="H54" s="1785">
        <v>156000</v>
      </c>
      <c r="I54" s="1785">
        <f>81000+75000</f>
        <v>156000</v>
      </c>
      <c r="J54" s="2803"/>
      <c r="K54" s="2803"/>
      <c r="L54" s="2803"/>
      <c r="M54" s="2806"/>
      <c r="N54" s="2806"/>
      <c r="O54" s="2806"/>
      <c r="P54" s="2806"/>
      <c r="Q54" s="2806"/>
      <c r="R54" s="2810"/>
      <c r="S54" s="2806"/>
      <c r="T54" s="2807"/>
      <c r="U54" s="2805"/>
    </row>
    <row r="55" spans="1:21" s="969" customFormat="1" ht="15" customHeight="1" x14ac:dyDescent="0.25">
      <c r="A55" s="989">
        <v>3613</v>
      </c>
      <c r="B55" s="912">
        <v>3613</v>
      </c>
      <c r="C55" s="912">
        <v>2132</v>
      </c>
      <c r="D55" s="990" t="s">
        <v>502</v>
      </c>
      <c r="E55" s="838">
        <v>179395</v>
      </c>
      <c r="F55" s="838">
        <v>179395</v>
      </c>
      <c r="G55" s="838">
        <v>179395</v>
      </c>
      <c r="H55" s="838">
        <v>179395</v>
      </c>
      <c r="I55" s="838">
        <f>240000-20000-40605</f>
        <v>179395</v>
      </c>
      <c r="J55" s="2803"/>
      <c r="K55" s="2803"/>
      <c r="L55" s="2803"/>
      <c r="M55" s="2806"/>
      <c r="N55" s="2806"/>
      <c r="O55" s="2806"/>
      <c r="P55" s="2806"/>
      <c r="Q55" s="2806"/>
      <c r="R55" s="2810"/>
      <c r="S55" s="2806"/>
      <c r="T55" s="2807"/>
      <c r="U55" s="2805"/>
    </row>
    <row r="56" spans="1:21" s="969" customFormat="1" ht="15" customHeight="1" x14ac:dyDescent="0.25">
      <c r="A56" s="989">
        <v>3613</v>
      </c>
      <c r="B56" s="912">
        <v>3613</v>
      </c>
      <c r="C56" s="912">
        <v>2111</v>
      </c>
      <c r="D56" s="990" t="s">
        <v>741</v>
      </c>
      <c r="E56" s="1785">
        <v>78000</v>
      </c>
      <c r="F56" s="1785">
        <v>78000</v>
      </c>
      <c r="G56" s="1785">
        <v>78000</v>
      </c>
      <c r="H56" s="1785">
        <v>78000</v>
      </c>
      <c r="I56" s="1785">
        <v>78000</v>
      </c>
      <c r="J56" s="2803"/>
      <c r="K56" s="2803"/>
      <c r="L56" s="2803"/>
      <c r="M56" s="2806"/>
      <c r="N56" s="2806"/>
      <c r="O56" s="2806"/>
      <c r="P56" s="2806"/>
      <c r="Q56" s="2806"/>
      <c r="R56" s="2810"/>
      <c r="S56" s="2806"/>
      <c r="T56" s="2807"/>
      <c r="U56" s="2805"/>
    </row>
    <row r="57" spans="1:21" s="969" customFormat="1" ht="15" customHeight="1" x14ac:dyDescent="0.25">
      <c r="A57" s="989">
        <v>3613</v>
      </c>
      <c r="B57" s="912">
        <v>3613</v>
      </c>
      <c r="C57" s="912">
        <v>2132</v>
      </c>
      <c r="D57" s="990" t="s">
        <v>55</v>
      </c>
      <c r="E57" s="1785">
        <v>400000</v>
      </c>
      <c r="F57" s="1785">
        <v>400000</v>
      </c>
      <c r="G57" s="1785">
        <v>400000</v>
      </c>
      <c r="H57" s="1785">
        <v>400000</v>
      </c>
      <c r="I57" s="1785">
        <f>400000</f>
        <v>400000</v>
      </c>
      <c r="J57" s="2803"/>
      <c r="K57" s="2803"/>
      <c r="L57" s="2803"/>
      <c r="M57" s="2806"/>
      <c r="N57" s="2806"/>
      <c r="O57" s="2806"/>
      <c r="P57" s="2806"/>
      <c r="Q57" s="2806"/>
      <c r="R57" s="2810"/>
      <c r="S57" s="2806"/>
      <c r="T57" s="2807"/>
      <c r="U57" s="2805"/>
    </row>
    <row r="58" spans="1:21" s="969" customFormat="1" ht="15" customHeight="1" x14ac:dyDescent="0.25">
      <c r="A58" s="989"/>
      <c r="B58" s="912">
        <v>5311</v>
      </c>
      <c r="C58" s="912">
        <v>2212</v>
      </c>
      <c r="D58" s="990" t="s">
        <v>2942</v>
      </c>
      <c r="E58" s="1785"/>
      <c r="F58" s="1785"/>
      <c r="G58" s="1785"/>
      <c r="H58" s="1785">
        <v>0</v>
      </c>
      <c r="I58" s="3041">
        <v>248000</v>
      </c>
      <c r="J58" s="2803"/>
      <c r="K58" s="2803"/>
      <c r="L58" s="2803"/>
      <c r="M58" s="2806"/>
      <c r="N58" s="2806"/>
      <c r="O58" s="2806"/>
      <c r="P58" s="2806"/>
      <c r="Q58" s="2806"/>
      <c r="R58" s="2810"/>
      <c r="S58" s="2806"/>
      <c r="T58" s="2807"/>
      <c r="U58" s="2805"/>
    </row>
    <row r="59" spans="1:21" s="2806" customFormat="1" ht="15" customHeight="1" x14ac:dyDescent="0.25">
      <c r="A59" s="991" t="s">
        <v>196</v>
      </c>
      <c r="B59" s="992">
        <v>5311</v>
      </c>
      <c r="C59" s="992">
        <v>2132</v>
      </c>
      <c r="D59" s="993" t="s">
        <v>487</v>
      </c>
      <c r="E59" s="173">
        <v>1063000</v>
      </c>
      <c r="F59" s="173">
        <v>1359720</v>
      </c>
      <c r="G59" s="173">
        <v>1359720</v>
      </c>
      <c r="H59" s="173">
        <v>1359720</v>
      </c>
      <c r="I59" s="173">
        <v>1359720</v>
      </c>
      <c r="J59" s="2803"/>
      <c r="K59" s="2803">
        <f>1100*551</f>
        <v>606100</v>
      </c>
      <c r="L59" s="2803"/>
      <c r="R59" s="2810"/>
      <c r="T59" s="2803"/>
    </row>
    <row r="60" spans="1:21" s="969" customFormat="1" ht="15" customHeight="1" x14ac:dyDescent="0.25">
      <c r="A60" s="989">
        <v>3632</v>
      </c>
      <c r="B60" s="912">
        <v>3632</v>
      </c>
      <c r="C60" s="912">
        <v>2111</v>
      </c>
      <c r="D60" s="990" t="s">
        <v>56</v>
      </c>
      <c r="E60" s="1785">
        <v>250000</v>
      </c>
      <c r="F60" s="1785">
        <v>250000</v>
      </c>
      <c r="G60" s="1785">
        <v>250000</v>
      </c>
      <c r="H60" s="1785">
        <v>250000</v>
      </c>
      <c r="I60" s="1785">
        <v>250000</v>
      </c>
      <c r="J60" s="2803"/>
      <c r="K60" s="2803"/>
      <c r="L60" s="2803"/>
      <c r="M60" s="2806"/>
      <c r="N60" s="2806"/>
      <c r="O60" s="2806"/>
      <c r="P60" s="2806"/>
      <c r="Q60" s="2806"/>
      <c r="R60" s="2810"/>
      <c r="S60" s="2806"/>
      <c r="T60" s="2807"/>
      <c r="U60" s="2805"/>
    </row>
    <row r="61" spans="1:21" s="969" customFormat="1" ht="15" customHeight="1" x14ac:dyDescent="0.25">
      <c r="A61" s="989"/>
      <c r="B61" s="912">
        <v>3749</v>
      </c>
      <c r="C61" s="912">
        <v>2321</v>
      </c>
      <c r="D61" s="990" t="s">
        <v>1538</v>
      </c>
      <c r="E61" s="1785">
        <v>300000</v>
      </c>
      <c r="F61" s="1785">
        <v>300000</v>
      </c>
      <c r="G61" s="1785">
        <v>300000</v>
      </c>
      <c r="H61" s="1785">
        <v>300000</v>
      </c>
      <c r="I61" s="1785">
        <v>300000</v>
      </c>
      <c r="J61" s="2803"/>
      <c r="K61" s="2803"/>
      <c r="L61" s="2803"/>
      <c r="M61" s="2806"/>
      <c r="N61" s="2806"/>
      <c r="O61" s="2806"/>
      <c r="P61" s="2806"/>
      <c r="Q61" s="2806"/>
      <c r="R61" s="2810"/>
      <c r="S61" s="2806"/>
      <c r="T61" s="2807"/>
      <c r="U61" s="2805"/>
    </row>
    <row r="62" spans="1:21" s="969" customFormat="1" ht="15" hidden="1" customHeight="1" x14ac:dyDescent="0.25">
      <c r="A62" s="989"/>
      <c r="B62" s="912">
        <v>3749</v>
      </c>
      <c r="C62" s="912">
        <v>2322</v>
      </c>
      <c r="D62" s="990" t="s">
        <v>1537</v>
      </c>
      <c r="E62" s="1785">
        <v>0</v>
      </c>
      <c r="F62" s="1785">
        <v>0</v>
      </c>
      <c r="G62" s="1785">
        <v>0</v>
      </c>
      <c r="H62" s="1785">
        <v>0</v>
      </c>
      <c r="I62" s="1785">
        <v>0</v>
      </c>
      <c r="J62" s="2803"/>
      <c r="K62" s="2803"/>
      <c r="L62" s="2803"/>
      <c r="M62" s="2806"/>
      <c r="N62" s="2806"/>
      <c r="O62" s="2806"/>
      <c r="P62" s="2806"/>
      <c r="Q62" s="2806"/>
      <c r="R62" s="2810"/>
      <c r="S62" s="2806"/>
      <c r="T62" s="2807"/>
      <c r="U62" s="2805"/>
    </row>
    <row r="63" spans="1:21" s="969" customFormat="1" ht="15" customHeight="1" x14ac:dyDescent="0.25">
      <c r="A63" s="989">
        <v>3722</v>
      </c>
      <c r="B63" s="912">
        <v>3722</v>
      </c>
      <c r="C63" s="912" t="s">
        <v>44</v>
      </c>
      <c r="D63" s="990" t="s">
        <v>963</v>
      </c>
      <c r="E63" s="1785">
        <v>1950000</v>
      </c>
      <c r="F63" s="1785">
        <v>1950000</v>
      </c>
      <c r="G63" s="1785">
        <v>1950000</v>
      </c>
      <c r="H63" s="1785">
        <v>1950000</v>
      </c>
      <c r="I63" s="1785">
        <v>1950000</v>
      </c>
      <c r="J63" s="2803"/>
      <c r="K63" s="2803"/>
      <c r="L63" s="2803"/>
      <c r="M63" s="2806"/>
      <c r="N63" s="2806"/>
      <c r="O63" s="2806"/>
      <c r="P63" s="2806"/>
      <c r="Q63" s="2806"/>
      <c r="R63" s="2810"/>
      <c r="S63" s="2806"/>
      <c r="T63" s="2807"/>
      <c r="U63" s="2805"/>
    </row>
    <row r="64" spans="1:21" s="969" customFormat="1" ht="15" customHeight="1" x14ac:dyDescent="0.25">
      <c r="A64" s="989">
        <v>4351</v>
      </c>
      <c r="B64" s="912">
        <v>4351</v>
      </c>
      <c r="C64" s="912" t="s">
        <v>44</v>
      </c>
      <c r="D64" s="990" t="s">
        <v>476</v>
      </c>
      <c r="E64" s="1785">
        <v>600000</v>
      </c>
      <c r="F64" s="1785">
        <v>600000</v>
      </c>
      <c r="G64" s="1785">
        <v>600000</v>
      </c>
      <c r="H64" s="1785">
        <v>600000</v>
      </c>
      <c r="I64" s="1785">
        <v>600000</v>
      </c>
      <c r="J64" s="2803"/>
      <c r="K64" s="2803"/>
      <c r="L64" s="2803"/>
      <c r="M64" s="2806"/>
      <c r="N64" s="2806"/>
      <c r="O64" s="2806"/>
      <c r="P64" s="2806"/>
      <c r="Q64" s="2806"/>
      <c r="R64" s="2810"/>
      <c r="S64" s="2806"/>
      <c r="T64" s="2807"/>
      <c r="U64" s="2805"/>
    </row>
    <row r="65" spans="1:21" s="969" customFormat="1" ht="15" customHeight="1" x14ac:dyDescent="0.25">
      <c r="A65" s="989"/>
      <c r="B65" s="912">
        <v>5512</v>
      </c>
      <c r="C65" s="912">
        <v>2111</v>
      </c>
      <c r="D65" s="990" t="s">
        <v>742</v>
      </c>
      <c r="E65" s="1785">
        <v>20000</v>
      </c>
      <c r="F65" s="1785">
        <v>20000</v>
      </c>
      <c r="G65" s="1785">
        <v>20000</v>
      </c>
      <c r="H65" s="1785">
        <v>20000</v>
      </c>
      <c r="I65" s="1785">
        <v>20000</v>
      </c>
      <c r="J65" s="2803"/>
      <c r="K65" s="2803"/>
      <c r="L65" s="2803"/>
      <c r="M65" s="2806"/>
      <c r="N65" s="2806"/>
      <c r="O65" s="2806"/>
      <c r="P65" s="2806"/>
      <c r="Q65" s="2806"/>
      <c r="R65" s="2810"/>
      <c r="S65" s="2806"/>
      <c r="T65" s="2807"/>
      <c r="U65" s="2805"/>
    </row>
    <row r="66" spans="1:21" s="969" customFormat="1" ht="15" hidden="1" customHeight="1" x14ac:dyDescent="0.25">
      <c r="A66" s="989"/>
      <c r="B66" s="912"/>
      <c r="C66" s="912">
        <v>2321</v>
      </c>
      <c r="D66" s="990" t="s">
        <v>1439</v>
      </c>
      <c r="E66" s="1785">
        <v>0</v>
      </c>
      <c r="F66" s="1785">
        <v>0</v>
      </c>
      <c r="G66" s="1785">
        <v>0</v>
      </c>
      <c r="H66" s="1785">
        <v>0</v>
      </c>
      <c r="I66" s="1785">
        <v>0</v>
      </c>
      <c r="J66" s="2803"/>
      <c r="K66" s="2803"/>
      <c r="L66" s="2803"/>
      <c r="M66" s="2806"/>
      <c r="N66" s="2806"/>
      <c r="O66" s="2806"/>
      <c r="P66" s="2806"/>
      <c r="Q66" s="2806"/>
      <c r="R66" s="2810"/>
      <c r="S66" s="2806"/>
      <c r="T66" s="2807"/>
      <c r="U66" s="2805"/>
    </row>
    <row r="67" spans="1:21" s="969" customFormat="1" ht="15" hidden="1" customHeight="1" x14ac:dyDescent="0.25">
      <c r="A67" s="989">
        <v>6221</v>
      </c>
      <c r="B67" s="912">
        <v>6221</v>
      </c>
      <c r="C67" s="912">
        <v>2324</v>
      </c>
      <c r="D67" s="990" t="s">
        <v>2136</v>
      </c>
      <c r="E67" s="1785"/>
      <c r="F67" s="1785"/>
      <c r="G67" s="1785"/>
      <c r="H67" s="1785"/>
      <c r="I67" s="1785"/>
      <c r="J67" s="2803"/>
      <c r="K67" s="2803"/>
      <c r="L67" s="2803"/>
      <c r="M67" s="2806"/>
      <c r="N67" s="2806"/>
      <c r="O67" s="2806"/>
      <c r="P67" s="2806"/>
      <c r="Q67" s="2806"/>
      <c r="R67" s="2810"/>
      <c r="S67" s="2806"/>
      <c r="T67" s="2807"/>
      <c r="U67" s="2805"/>
    </row>
    <row r="68" spans="1:21" s="969" customFormat="1" ht="15" hidden="1" customHeight="1" x14ac:dyDescent="0.25">
      <c r="A68" s="989"/>
      <c r="B68" s="912">
        <v>9221</v>
      </c>
      <c r="C68" s="912">
        <v>2321</v>
      </c>
      <c r="D68" s="990" t="s">
        <v>1509</v>
      </c>
      <c r="E68" s="1785">
        <v>0</v>
      </c>
      <c r="F68" s="1785">
        <v>0</v>
      </c>
      <c r="G68" s="1785">
        <v>0</v>
      </c>
      <c r="H68" s="1785">
        <v>0</v>
      </c>
      <c r="I68" s="1785">
        <v>0</v>
      </c>
      <c r="J68" s="2803"/>
      <c r="K68" s="2803"/>
      <c r="L68" s="2803"/>
      <c r="M68" s="2806"/>
      <c r="N68" s="2806"/>
      <c r="O68" s="2806"/>
      <c r="P68" s="2806"/>
      <c r="Q68" s="2806"/>
      <c r="R68" s="2810"/>
      <c r="S68" s="2806"/>
      <c r="T68" s="2807"/>
      <c r="U68" s="2805"/>
    </row>
    <row r="69" spans="1:21" s="969" customFormat="1" ht="15" customHeight="1" x14ac:dyDescent="0.25">
      <c r="A69" s="989"/>
      <c r="B69" s="912">
        <v>5512</v>
      </c>
      <c r="C69" s="912">
        <v>2132</v>
      </c>
      <c r="D69" s="990" t="s">
        <v>743</v>
      </c>
      <c r="E69" s="1785">
        <v>24000</v>
      </c>
      <c r="F69" s="1785">
        <v>24000</v>
      </c>
      <c r="G69" s="1785">
        <v>24000</v>
      </c>
      <c r="H69" s="1785">
        <v>24000</v>
      </c>
      <c r="I69" s="1785">
        <v>24000</v>
      </c>
      <c r="J69" s="2803"/>
      <c r="K69" s="2803"/>
      <c r="L69" s="2803"/>
      <c r="M69" s="2806"/>
      <c r="N69" s="2806"/>
      <c r="O69" s="2806"/>
      <c r="P69" s="2806"/>
      <c r="Q69" s="2806"/>
      <c r="R69" s="2810"/>
      <c r="S69" s="2806"/>
      <c r="T69" s="2807"/>
      <c r="U69" s="2805"/>
    </row>
    <row r="70" spans="1:21" s="969" customFormat="1" ht="15" customHeight="1" x14ac:dyDescent="0.25">
      <c r="A70" s="989"/>
      <c r="B70" s="912">
        <v>5512</v>
      </c>
      <c r="C70" s="912">
        <v>2322</v>
      </c>
      <c r="D70" s="990" t="s">
        <v>2877</v>
      </c>
      <c r="E70" s="1785"/>
      <c r="F70" s="1785"/>
      <c r="G70" s="1785"/>
      <c r="H70" s="1785">
        <v>117600</v>
      </c>
      <c r="I70" s="3041">
        <v>129000</v>
      </c>
      <c r="J70" s="2803"/>
      <c r="K70" s="2803"/>
      <c r="L70" s="2803"/>
      <c r="M70" s="2806"/>
      <c r="N70" s="2806"/>
      <c r="O70" s="2806"/>
      <c r="P70" s="2806"/>
      <c r="Q70" s="2806"/>
      <c r="R70" s="2810"/>
      <c r="S70" s="2806"/>
      <c r="T70" s="2807"/>
      <c r="U70" s="2805"/>
    </row>
    <row r="71" spans="1:21" s="969" customFormat="1" ht="15" customHeight="1" x14ac:dyDescent="0.25">
      <c r="A71" s="989"/>
      <c r="B71" s="912">
        <v>6171</v>
      </c>
      <c r="C71" s="912">
        <v>2111</v>
      </c>
      <c r="D71" s="990" t="s">
        <v>2880</v>
      </c>
      <c r="E71" s="1785">
        <v>17000</v>
      </c>
      <c r="F71" s="1785">
        <v>17000</v>
      </c>
      <c r="G71" s="1785">
        <v>17000</v>
      </c>
      <c r="H71" s="1785">
        <v>555000</v>
      </c>
      <c r="I71" s="1785">
        <v>555000</v>
      </c>
      <c r="J71" s="2803"/>
      <c r="K71" s="2803"/>
      <c r="L71" s="2803"/>
      <c r="M71" s="2806"/>
      <c r="N71" s="2806"/>
      <c r="O71" s="2806"/>
      <c r="P71" s="2806"/>
      <c r="Q71" s="2806"/>
      <c r="R71" s="2810"/>
      <c r="S71" s="2806"/>
      <c r="T71" s="2807"/>
      <c r="U71" s="2805"/>
    </row>
    <row r="72" spans="1:21" s="969" customFormat="1" ht="15" hidden="1" customHeight="1" x14ac:dyDescent="0.25">
      <c r="A72" s="989"/>
      <c r="B72" s="912"/>
      <c r="C72" s="912">
        <v>2111</v>
      </c>
      <c r="D72" s="990" t="s">
        <v>1235</v>
      </c>
      <c r="E72" s="1785">
        <v>0</v>
      </c>
      <c r="F72" s="1785">
        <v>0</v>
      </c>
      <c r="G72" s="1785">
        <v>0</v>
      </c>
      <c r="H72" s="1785">
        <v>0</v>
      </c>
      <c r="I72" s="1785">
        <v>0</v>
      </c>
      <c r="J72" s="2803"/>
      <c r="K72" s="2803"/>
      <c r="L72" s="2803"/>
      <c r="M72" s="2806"/>
      <c r="N72" s="2806"/>
      <c r="O72" s="2806"/>
      <c r="P72" s="2806"/>
      <c r="Q72" s="2806"/>
      <c r="R72" s="2810"/>
      <c r="S72" s="2806"/>
      <c r="T72" s="2807"/>
      <c r="U72" s="2805"/>
    </row>
    <row r="73" spans="1:21" s="969" customFormat="1" ht="15" hidden="1" customHeight="1" x14ac:dyDescent="0.25">
      <c r="A73" s="989"/>
      <c r="B73" s="912"/>
      <c r="C73" s="912">
        <v>2322</v>
      </c>
      <c r="D73" s="990" t="s">
        <v>552</v>
      </c>
      <c r="E73" s="1785">
        <v>0</v>
      </c>
      <c r="F73" s="1785">
        <v>0</v>
      </c>
      <c r="G73" s="1785">
        <v>0</v>
      </c>
      <c r="H73" s="1785">
        <v>0</v>
      </c>
      <c r="I73" s="1785">
        <v>0</v>
      </c>
      <c r="J73" s="2803"/>
      <c r="K73" s="2803"/>
      <c r="L73" s="2803"/>
      <c r="M73" s="2806"/>
      <c r="N73" s="2806"/>
      <c r="O73" s="2806"/>
      <c r="P73" s="2806"/>
      <c r="Q73" s="2806"/>
      <c r="R73" s="2810"/>
      <c r="S73" s="2806"/>
      <c r="T73" s="2807"/>
      <c r="U73" s="2805"/>
    </row>
    <row r="74" spans="1:21" s="969" customFormat="1" ht="15" hidden="1" customHeight="1" x14ac:dyDescent="0.25">
      <c r="A74" s="989"/>
      <c r="B74" s="912"/>
      <c r="C74" s="912">
        <v>2321</v>
      </c>
      <c r="D74" s="990" t="s">
        <v>1236</v>
      </c>
      <c r="E74" s="1785">
        <v>0</v>
      </c>
      <c r="F74" s="1785">
        <v>0</v>
      </c>
      <c r="G74" s="1785">
        <v>0</v>
      </c>
      <c r="H74" s="1785">
        <v>0</v>
      </c>
      <c r="I74" s="1785">
        <v>0</v>
      </c>
      <c r="J74" s="2803"/>
      <c r="K74" s="2803"/>
      <c r="L74" s="2803"/>
      <c r="M74" s="2806"/>
      <c r="N74" s="2806"/>
      <c r="O74" s="2806"/>
      <c r="P74" s="2806"/>
      <c r="Q74" s="2806"/>
      <c r="R74" s="2810"/>
      <c r="S74" s="2806"/>
      <c r="T74" s="2807"/>
      <c r="U74" s="2805"/>
    </row>
    <row r="75" spans="1:21" s="969" customFormat="1" ht="15" hidden="1" customHeight="1" x14ac:dyDescent="0.25">
      <c r="A75" s="989"/>
      <c r="B75" s="912"/>
      <c r="C75" s="912">
        <v>2322</v>
      </c>
      <c r="D75" s="990" t="s">
        <v>552</v>
      </c>
      <c r="E75" s="1785">
        <v>0</v>
      </c>
      <c r="F75" s="1785">
        <v>0</v>
      </c>
      <c r="G75" s="1785">
        <v>0</v>
      </c>
      <c r="H75" s="1785">
        <v>0</v>
      </c>
      <c r="I75" s="1785">
        <v>0</v>
      </c>
      <c r="J75" s="2803"/>
      <c r="K75" s="2803"/>
      <c r="L75" s="2803"/>
      <c r="M75" s="2806"/>
      <c r="N75" s="2806"/>
      <c r="O75" s="2806"/>
      <c r="P75" s="2806"/>
      <c r="Q75" s="2806"/>
      <c r="R75" s="2810"/>
      <c r="S75" s="2806"/>
      <c r="T75" s="2807"/>
      <c r="U75" s="2805"/>
    </row>
    <row r="76" spans="1:21" s="969" customFormat="1" ht="15" hidden="1" customHeight="1" x14ac:dyDescent="0.25">
      <c r="A76" s="989"/>
      <c r="B76" s="912"/>
      <c r="C76" s="912">
        <v>2322</v>
      </c>
      <c r="D76" s="990" t="s">
        <v>552</v>
      </c>
      <c r="E76" s="1785">
        <v>0</v>
      </c>
      <c r="F76" s="1785">
        <v>0</v>
      </c>
      <c r="G76" s="1785">
        <v>0</v>
      </c>
      <c r="H76" s="1785">
        <v>0</v>
      </c>
      <c r="I76" s="1785">
        <v>0</v>
      </c>
      <c r="J76" s="2803"/>
      <c r="K76" s="2803"/>
      <c r="L76" s="2803"/>
      <c r="M76" s="2806"/>
      <c r="N76" s="2806"/>
      <c r="O76" s="2806"/>
      <c r="P76" s="2806"/>
      <c r="Q76" s="2806"/>
      <c r="R76" s="2810"/>
      <c r="S76" s="2806"/>
      <c r="T76" s="2807"/>
      <c r="U76" s="2805"/>
    </row>
    <row r="77" spans="1:21" s="969" customFormat="1" ht="15" hidden="1" customHeight="1" x14ac:dyDescent="0.25">
      <c r="A77" s="989"/>
      <c r="B77" s="912"/>
      <c r="C77" s="912">
        <v>2212</v>
      </c>
      <c r="D77" s="990" t="s">
        <v>1237</v>
      </c>
      <c r="E77" s="1785">
        <v>0</v>
      </c>
      <c r="F77" s="1785">
        <v>0</v>
      </c>
      <c r="G77" s="1785">
        <v>0</v>
      </c>
      <c r="H77" s="1785">
        <v>0</v>
      </c>
      <c r="I77" s="1785">
        <v>0</v>
      </c>
      <c r="J77" s="2803"/>
      <c r="K77" s="2803"/>
      <c r="L77" s="2803"/>
      <c r="M77" s="2806"/>
      <c r="N77" s="2806"/>
      <c r="O77" s="2806"/>
      <c r="P77" s="2806"/>
      <c r="Q77" s="2806"/>
      <c r="R77" s="2810"/>
      <c r="S77" s="2806"/>
      <c r="T77" s="2807"/>
      <c r="U77" s="2805"/>
    </row>
    <row r="78" spans="1:21" s="969" customFormat="1" ht="15" hidden="1" customHeight="1" x14ac:dyDescent="0.25">
      <c r="A78" s="989"/>
      <c r="B78" s="912"/>
      <c r="C78" s="912">
        <v>2322</v>
      </c>
      <c r="D78" s="990" t="s">
        <v>224</v>
      </c>
      <c r="E78" s="1785">
        <v>0</v>
      </c>
      <c r="F78" s="1785">
        <v>0</v>
      </c>
      <c r="G78" s="1785">
        <v>0</v>
      </c>
      <c r="H78" s="1785">
        <v>0</v>
      </c>
      <c r="I78" s="1785">
        <v>0</v>
      </c>
      <c r="J78" s="2803"/>
      <c r="K78" s="2803"/>
      <c r="L78" s="2803"/>
      <c r="M78" s="2806"/>
      <c r="N78" s="2806"/>
      <c r="O78" s="2806"/>
      <c r="P78" s="2806"/>
      <c r="Q78" s="2806"/>
      <c r="R78" s="2810"/>
      <c r="S78" s="2806"/>
      <c r="T78" s="2807"/>
      <c r="U78" s="2805"/>
    </row>
    <row r="79" spans="1:21" s="969" customFormat="1" ht="15" hidden="1" customHeight="1" x14ac:dyDescent="0.25">
      <c r="A79" s="989"/>
      <c r="B79" s="912"/>
      <c r="C79" s="912">
        <v>2212</v>
      </c>
      <c r="D79" s="990" t="s">
        <v>1238</v>
      </c>
      <c r="E79" s="1785">
        <v>0</v>
      </c>
      <c r="F79" s="1785">
        <v>0</v>
      </c>
      <c r="G79" s="1785">
        <v>0</v>
      </c>
      <c r="H79" s="1785">
        <v>0</v>
      </c>
      <c r="I79" s="1785">
        <v>0</v>
      </c>
      <c r="J79" s="2803"/>
      <c r="K79" s="2803"/>
      <c r="L79" s="2803"/>
      <c r="M79" s="2806"/>
      <c r="N79" s="2806"/>
      <c r="O79" s="2806"/>
      <c r="P79" s="2806"/>
      <c r="Q79" s="2806"/>
      <c r="R79" s="2810"/>
      <c r="S79" s="2806"/>
      <c r="T79" s="2807"/>
      <c r="U79" s="2805"/>
    </row>
    <row r="80" spans="1:21" s="969" customFormat="1" ht="15" customHeight="1" x14ac:dyDescent="0.25">
      <c r="A80" s="989"/>
      <c r="B80" s="912">
        <v>6171</v>
      </c>
      <c r="C80" s="912">
        <v>2322</v>
      </c>
      <c r="D80" s="990" t="s">
        <v>2878</v>
      </c>
      <c r="E80" s="1785"/>
      <c r="F80" s="1785"/>
      <c r="G80" s="1785"/>
      <c r="H80" s="1785">
        <v>204900</v>
      </c>
      <c r="I80" s="1785">
        <v>204900</v>
      </c>
      <c r="J80" s="2803"/>
      <c r="K80" s="2803"/>
      <c r="L80" s="2803"/>
      <c r="M80" s="2806"/>
      <c r="N80" s="2806"/>
      <c r="O80" s="2806"/>
      <c r="P80" s="2806"/>
      <c r="Q80" s="2806"/>
      <c r="R80" s="2810"/>
      <c r="S80" s="2806"/>
      <c r="T80" s="2807"/>
      <c r="U80" s="2805"/>
    </row>
    <row r="81" spans="1:26" s="969" customFormat="1" ht="15" customHeight="1" x14ac:dyDescent="0.25">
      <c r="A81" s="989"/>
      <c r="B81" s="912">
        <v>6310</v>
      </c>
      <c r="C81" s="912">
        <v>2212</v>
      </c>
      <c r="D81" s="990" t="s">
        <v>2879</v>
      </c>
      <c r="E81" s="1785"/>
      <c r="F81" s="1785"/>
      <c r="G81" s="1785"/>
      <c r="H81" s="1785">
        <v>137400</v>
      </c>
      <c r="I81" s="3041">
        <v>191000</v>
      </c>
      <c r="J81" s="2803"/>
      <c r="K81" s="2803"/>
      <c r="L81" s="2803"/>
      <c r="M81" s="2806"/>
      <c r="N81" s="2806"/>
      <c r="O81" s="2806"/>
      <c r="P81" s="2806"/>
      <c r="Q81" s="2806"/>
      <c r="R81" s="2810"/>
      <c r="S81" s="2806"/>
      <c r="T81" s="2807"/>
      <c r="U81" s="2805"/>
    </row>
    <row r="82" spans="1:26" s="969" customFormat="1" ht="15" customHeight="1" x14ac:dyDescent="0.25">
      <c r="A82" s="989"/>
      <c r="B82" s="912">
        <v>6310</v>
      </c>
      <c r="C82" s="912">
        <v>2141</v>
      </c>
      <c r="D82" s="990" t="s">
        <v>744</v>
      </c>
      <c r="E82" s="1785">
        <v>10000</v>
      </c>
      <c r="F82" s="1785">
        <v>10000</v>
      </c>
      <c r="G82" s="1785">
        <v>10000</v>
      </c>
      <c r="H82" s="1785">
        <v>10000</v>
      </c>
      <c r="I82" s="1785">
        <v>10000</v>
      </c>
      <c r="J82" s="2803"/>
      <c r="K82" s="2803"/>
      <c r="L82" s="2803"/>
      <c r="M82" s="2806"/>
      <c r="N82" s="2806"/>
      <c r="O82" s="2806"/>
      <c r="P82" s="2806"/>
      <c r="Q82" s="2806"/>
      <c r="R82" s="2810"/>
      <c r="S82" s="2806"/>
      <c r="T82" s="2807"/>
      <c r="U82" s="2805"/>
    </row>
    <row r="83" spans="1:26" s="969" customFormat="1" ht="15" customHeight="1" x14ac:dyDescent="0.25">
      <c r="A83" s="989"/>
      <c r="B83" s="912">
        <v>6409</v>
      </c>
      <c r="C83" s="912">
        <v>2132</v>
      </c>
      <c r="D83" s="990" t="s">
        <v>482</v>
      </c>
      <c r="E83" s="1785">
        <v>4400</v>
      </c>
      <c r="F83" s="1785">
        <v>4400</v>
      </c>
      <c r="G83" s="1785">
        <v>4400</v>
      </c>
      <c r="H83" s="1785">
        <v>4400</v>
      </c>
      <c r="I83" s="1785">
        <v>4400</v>
      </c>
      <c r="J83" s="2803"/>
      <c r="K83" s="2803"/>
      <c r="L83" s="2803"/>
      <c r="M83" s="2806"/>
      <c r="N83" s="2806"/>
      <c r="O83" s="2806"/>
      <c r="P83" s="2806"/>
      <c r="Q83" s="2806"/>
      <c r="R83" s="2810"/>
      <c r="S83" s="2806"/>
      <c r="T83" s="2807"/>
      <c r="U83" s="2805"/>
    </row>
    <row r="84" spans="1:26" s="969" customFormat="1" ht="15" customHeight="1" x14ac:dyDescent="0.25">
      <c r="A84" s="989"/>
      <c r="B84" s="912">
        <v>6409</v>
      </c>
      <c r="C84" s="912" t="s">
        <v>58</v>
      </c>
      <c r="D84" s="990" t="s">
        <v>59</v>
      </c>
      <c r="E84" s="1785">
        <v>65000</v>
      </c>
      <c r="F84" s="1785">
        <v>65000</v>
      </c>
      <c r="G84" s="1785">
        <v>65000</v>
      </c>
      <c r="H84" s="1785">
        <v>65000</v>
      </c>
      <c r="I84" s="1785">
        <v>65000</v>
      </c>
      <c r="J84" s="2803"/>
      <c r="K84" s="2803"/>
      <c r="L84" s="2803"/>
      <c r="M84" s="2806"/>
      <c r="N84" s="2806"/>
      <c r="O84" s="2806"/>
      <c r="P84" s="2806"/>
      <c r="Q84" s="2806"/>
      <c r="R84" s="2810"/>
      <c r="S84" s="2806"/>
      <c r="T84" s="2807"/>
      <c r="U84" s="2805"/>
    </row>
    <row r="85" spans="1:26" s="969" customFormat="1" ht="15" customHeight="1" x14ac:dyDescent="0.25">
      <c r="A85" s="994"/>
      <c r="B85" s="995">
        <v>6409</v>
      </c>
      <c r="C85" s="995">
        <v>2321</v>
      </c>
      <c r="D85" s="996" t="s">
        <v>2881</v>
      </c>
      <c r="E85" s="1785"/>
      <c r="F85" s="1785"/>
      <c r="G85" s="1785"/>
      <c r="H85" s="1785">
        <v>1553000</v>
      </c>
      <c r="I85" s="1785">
        <v>1553000</v>
      </c>
      <c r="J85" s="2803"/>
      <c r="K85" s="2803"/>
      <c r="L85" s="2803"/>
      <c r="M85" s="2806"/>
      <c r="N85" s="2806"/>
      <c r="O85" s="2806"/>
      <c r="P85" s="2806"/>
      <c r="Q85" s="2806"/>
      <c r="R85" s="2810"/>
      <c r="S85" s="2806"/>
      <c r="T85" s="2807"/>
      <c r="U85" s="2805"/>
    </row>
    <row r="86" spans="1:26" s="969" customFormat="1" ht="15" customHeight="1" x14ac:dyDescent="0.25">
      <c r="A86" s="994"/>
      <c r="B86" s="995">
        <v>6409</v>
      </c>
      <c r="C86" s="995">
        <v>3111</v>
      </c>
      <c r="D86" s="996" t="s">
        <v>2882</v>
      </c>
      <c r="E86" s="1785"/>
      <c r="F86" s="1785"/>
      <c r="G86" s="1785"/>
      <c r="H86" s="1785">
        <v>11000</v>
      </c>
      <c r="I86" s="1785">
        <v>11000</v>
      </c>
      <c r="J86" s="2803"/>
      <c r="K86" s="2803"/>
      <c r="L86" s="2803"/>
      <c r="M86" s="2806"/>
      <c r="N86" s="2806"/>
      <c r="O86" s="2806"/>
      <c r="P86" s="2806"/>
      <c r="Q86" s="2806"/>
      <c r="R86" s="2810"/>
      <c r="S86" s="2806"/>
      <c r="T86" s="2807"/>
      <c r="U86" s="2805"/>
    </row>
    <row r="87" spans="1:26" s="2995" customFormat="1" ht="15" customHeight="1" x14ac:dyDescent="0.25">
      <c r="A87" s="2992">
        <v>6409</v>
      </c>
      <c r="B87" s="2993">
        <v>6409</v>
      </c>
      <c r="C87" s="2993">
        <v>2119</v>
      </c>
      <c r="D87" s="2994" t="s">
        <v>745</v>
      </c>
      <c r="E87" s="2991">
        <v>300000</v>
      </c>
      <c r="F87" s="2991">
        <v>300000</v>
      </c>
      <c r="G87" s="2991">
        <v>300000</v>
      </c>
      <c r="H87" s="2991">
        <v>300000</v>
      </c>
      <c r="I87" s="2991">
        <v>300000</v>
      </c>
      <c r="J87" s="2803"/>
      <c r="K87" s="2803"/>
      <c r="L87" s="2803"/>
      <c r="M87" s="2806"/>
      <c r="N87" s="2806"/>
      <c r="O87" s="2806"/>
      <c r="P87" s="2806"/>
      <c r="Q87" s="2806"/>
      <c r="R87" s="2810"/>
      <c r="S87" s="2806"/>
      <c r="T87" s="2807"/>
      <c r="U87" s="2805"/>
      <c r="V87" s="969"/>
      <c r="W87" s="969"/>
      <c r="X87" s="969"/>
      <c r="Y87" s="969"/>
      <c r="Z87" s="969"/>
    </row>
    <row r="88" spans="1:26" s="969" customFormat="1" ht="15" hidden="1" customHeight="1" x14ac:dyDescent="0.25">
      <c r="A88" s="989"/>
      <c r="B88" s="912">
        <v>6409</v>
      </c>
      <c r="C88" s="912">
        <v>3111</v>
      </c>
      <c r="D88" s="990" t="s">
        <v>702</v>
      </c>
      <c r="E88" s="1785">
        <v>0</v>
      </c>
      <c r="F88" s="1785">
        <v>0</v>
      </c>
      <c r="G88" s="1785">
        <v>0</v>
      </c>
      <c r="H88" s="1785">
        <v>0</v>
      </c>
      <c r="I88" s="1785">
        <v>0</v>
      </c>
      <c r="J88" s="2803"/>
      <c r="K88" s="2803"/>
      <c r="L88" s="2803"/>
      <c r="M88" s="2806"/>
      <c r="N88" s="2806"/>
      <c r="O88" s="2806"/>
      <c r="P88" s="2806"/>
      <c r="Q88" s="2806"/>
      <c r="R88" s="2810"/>
      <c r="S88" s="2806"/>
      <c r="T88" s="971"/>
      <c r="U88" s="2805"/>
    </row>
    <row r="89" spans="1:26" s="969" customFormat="1" ht="15" hidden="1" customHeight="1" x14ac:dyDescent="0.25">
      <c r="A89" s="989">
        <v>2321</v>
      </c>
      <c r="B89" s="912">
        <v>2321</v>
      </c>
      <c r="C89" s="912" t="s">
        <v>44</v>
      </c>
      <c r="D89" s="990" t="s">
        <v>61</v>
      </c>
      <c r="E89" s="1785">
        <v>0</v>
      </c>
      <c r="F89" s="1785">
        <v>0</v>
      </c>
      <c r="G89" s="1785">
        <v>0</v>
      </c>
      <c r="H89" s="1785">
        <v>0</v>
      </c>
      <c r="I89" s="1785">
        <v>0</v>
      </c>
      <c r="J89" s="2803"/>
      <c r="K89" s="2803"/>
      <c r="L89" s="2803"/>
      <c r="M89" s="2806"/>
      <c r="N89" s="2806"/>
      <c r="O89" s="2806"/>
      <c r="P89" s="2806"/>
      <c r="Q89" s="2806"/>
      <c r="R89" s="2810"/>
      <c r="S89" s="2806"/>
      <c r="T89" s="2807"/>
      <c r="U89" s="2805"/>
    </row>
    <row r="90" spans="1:26" s="2806" customFormat="1" ht="15" customHeight="1" x14ac:dyDescent="0.25">
      <c r="A90" s="991" t="s">
        <v>12</v>
      </c>
      <c r="B90" s="992"/>
      <c r="C90" s="992">
        <v>4112</v>
      </c>
      <c r="D90" s="993" t="s">
        <v>35</v>
      </c>
      <c r="E90" s="173">
        <v>10108300</v>
      </c>
      <c r="F90" s="173">
        <v>10095200</v>
      </c>
      <c r="G90" s="173">
        <v>10095200</v>
      </c>
      <c r="H90" s="173">
        <v>10095200</v>
      </c>
      <c r="I90" s="173">
        <v>10095200</v>
      </c>
      <c r="J90" s="2803"/>
      <c r="K90" s="2803"/>
      <c r="L90" s="2803"/>
      <c r="R90" s="2810"/>
      <c r="T90" s="2803"/>
    </row>
    <row r="91" spans="1:26" s="969" customFormat="1" ht="15" hidden="1" customHeight="1" x14ac:dyDescent="0.25">
      <c r="A91" s="989" t="s">
        <v>12</v>
      </c>
      <c r="B91" s="912"/>
      <c r="C91" s="912">
        <v>4111</v>
      </c>
      <c r="D91" s="990" t="s">
        <v>1239</v>
      </c>
      <c r="E91" s="1785">
        <v>0</v>
      </c>
      <c r="F91" s="1785">
        <v>0</v>
      </c>
      <c r="G91" s="1785">
        <v>0</v>
      </c>
      <c r="H91" s="1785">
        <v>0</v>
      </c>
      <c r="I91" s="1785">
        <v>0</v>
      </c>
      <c r="J91" s="2803"/>
      <c r="K91" s="2803"/>
      <c r="L91" s="2803"/>
      <c r="M91" s="2806"/>
      <c r="N91" s="2806"/>
      <c r="O91" s="2806"/>
      <c r="P91" s="2806"/>
      <c r="Q91" s="2806"/>
      <c r="R91" s="2810"/>
      <c r="S91" s="2806"/>
      <c r="T91" s="2807"/>
      <c r="U91" s="2805"/>
    </row>
    <row r="92" spans="1:26" s="969" customFormat="1" ht="15" customHeight="1" x14ac:dyDescent="0.25">
      <c r="A92" s="989" t="s">
        <v>12</v>
      </c>
      <c r="B92" s="912"/>
      <c r="C92" s="912">
        <v>4121</v>
      </c>
      <c r="D92" s="990" t="s">
        <v>2156</v>
      </c>
      <c r="E92" s="1785">
        <v>100000</v>
      </c>
      <c r="F92" s="1785">
        <v>100000</v>
      </c>
      <c r="G92" s="1785">
        <v>100000</v>
      </c>
      <c r="H92" s="1785">
        <v>100000</v>
      </c>
      <c r="I92" s="1785">
        <v>100000</v>
      </c>
      <c r="J92" s="2803"/>
      <c r="K92" s="2803"/>
      <c r="L92" s="2803"/>
      <c r="M92" s="2806"/>
      <c r="N92" s="2806"/>
      <c r="O92" s="2806"/>
      <c r="P92" s="2806"/>
      <c r="Q92" s="2806"/>
      <c r="R92" s="2810"/>
      <c r="S92" s="2806"/>
      <c r="T92" s="2807"/>
      <c r="U92" s="2805"/>
    </row>
    <row r="93" spans="1:26" s="2806" customFormat="1" ht="15" customHeight="1" x14ac:dyDescent="0.25">
      <c r="A93" s="991" t="s">
        <v>12</v>
      </c>
      <c r="B93" s="992"/>
      <c r="C93" s="992">
        <v>4121</v>
      </c>
      <c r="D93" s="993" t="s">
        <v>349</v>
      </c>
      <c r="E93" s="173">
        <v>1700000</v>
      </c>
      <c r="F93" s="173">
        <v>1700000</v>
      </c>
      <c r="G93" s="173">
        <v>2229000</v>
      </c>
      <c r="H93" s="173">
        <v>2229000</v>
      </c>
      <c r="I93" s="173">
        <v>2229000</v>
      </c>
      <c r="J93" s="968" t="s">
        <v>350</v>
      </c>
      <c r="K93" s="2892">
        <v>2229332</v>
      </c>
      <c r="L93" s="968"/>
      <c r="R93" s="2810"/>
      <c r="T93" s="2803"/>
    </row>
    <row r="94" spans="1:26" s="969" customFormat="1" ht="15" hidden="1" customHeight="1" x14ac:dyDescent="0.25">
      <c r="A94" s="989" t="s">
        <v>12</v>
      </c>
      <c r="B94" s="912"/>
      <c r="C94" s="912">
        <v>4216</v>
      </c>
      <c r="D94" s="990" t="s">
        <v>961</v>
      </c>
      <c r="E94" s="838">
        <v>0</v>
      </c>
      <c r="F94" s="838">
        <v>0</v>
      </c>
      <c r="G94" s="838">
        <v>0</v>
      </c>
      <c r="H94" s="838">
        <v>0</v>
      </c>
      <c r="I94" s="1785">
        <v>0</v>
      </c>
      <c r="J94" s="2803"/>
      <c r="K94" s="2803"/>
      <c r="L94" s="2803"/>
      <c r="M94" s="2806"/>
      <c r="N94" s="2806"/>
      <c r="O94" s="2806"/>
      <c r="P94" s="2806"/>
      <c r="Q94" s="2806"/>
      <c r="R94" s="2810"/>
      <c r="S94" s="2806"/>
      <c r="T94" s="2807"/>
      <c r="U94" s="2805"/>
    </row>
    <row r="95" spans="1:26" s="969" customFormat="1" ht="15" hidden="1" customHeight="1" x14ac:dyDescent="0.25">
      <c r="A95" s="989" t="s">
        <v>12</v>
      </c>
      <c r="B95" s="912"/>
      <c r="C95" s="912" t="s">
        <v>36</v>
      </c>
      <c r="D95" s="990" t="s">
        <v>1152</v>
      </c>
      <c r="E95" s="838">
        <v>0</v>
      </c>
      <c r="F95" s="838">
        <v>0</v>
      </c>
      <c r="G95" s="838">
        <v>0</v>
      </c>
      <c r="H95" s="838">
        <v>0</v>
      </c>
      <c r="I95" s="1785">
        <v>0</v>
      </c>
      <c r="J95" s="2803"/>
      <c r="K95" s="2803"/>
      <c r="L95" s="2803"/>
      <c r="M95" s="2806"/>
      <c r="N95" s="2806"/>
      <c r="O95" s="2806"/>
      <c r="P95" s="2806"/>
      <c r="Q95" s="2806"/>
      <c r="R95" s="2810"/>
      <c r="S95" s="2806"/>
      <c r="T95" s="2807"/>
      <c r="U95" s="2805"/>
    </row>
    <row r="96" spans="1:26" s="969" customFormat="1" ht="15" customHeight="1" x14ac:dyDescent="0.25">
      <c r="A96" s="989"/>
      <c r="B96" s="912"/>
      <c r="C96" s="912">
        <v>4122</v>
      </c>
      <c r="D96" s="990" t="s">
        <v>2384</v>
      </c>
      <c r="E96" s="838">
        <v>15000</v>
      </c>
      <c r="F96" s="838">
        <v>15000</v>
      </c>
      <c r="G96" s="838">
        <v>15000</v>
      </c>
      <c r="H96" s="838">
        <v>15000</v>
      </c>
      <c r="I96" s="1785">
        <v>0</v>
      </c>
      <c r="J96" s="2803"/>
      <c r="K96" s="2803"/>
      <c r="L96" s="2803"/>
      <c r="M96" s="2806"/>
      <c r="N96" s="2806"/>
      <c r="O96" s="2806"/>
      <c r="P96" s="2806"/>
      <c r="Q96" s="2806"/>
      <c r="R96" s="2810"/>
      <c r="S96" s="2806"/>
      <c r="T96" s="2807"/>
      <c r="U96" s="2805"/>
    </row>
    <row r="97" spans="1:21" s="969" customFormat="1" ht="15" hidden="1" customHeight="1" x14ac:dyDescent="0.25">
      <c r="A97" s="989" t="s">
        <v>12</v>
      </c>
      <c r="B97" s="912"/>
      <c r="C97" s="912">
        <v>4222</v>
      </c>
      <c r="D97" s="990" t="s">
        <v>1241</v>
      </c>
      <c r="E97" s="838">
        <v>0</v>
      </c>
      <c r="F97" s="838">
        <v>0</v>
      </c>
      <c r="G97" s="838">
        <v>0</v>
      </c>
      <c r="H97" s="838">
        <v>0</v>
      </c>
      <c r="I97" s="1785">
        <v>0</v>
      </c>
      <c r="J97" s="2803"/>
      <c r="K97" s="2803"/>
      <c r="L97" s="2803"/>
      <c r="M97" s="2806"/>
      <c r="N97" s="2806"/>
      <c r="O97" s="2806"/>
      <c r="P97" s="2806"/>
      <c r="Q97" s="2806"/>
      <c r="R97" s="2810"/>
      <c r="S97" s="2806"/>
      <c r="T97" s="2807"/>
      <c r="U97" s="2805"/>
    </row>
    <row r="98" spans="1:21" s="969" customFormat="1" ht="15" hidden="1" customHeight="1" x14ac:dyDescent="0.25">
      <c r="A98" s="989"/>
      <c r="B98" s="912"/>
      <c r="C98" s="912">
        <v>4216</v>
      </c>
      <c r="D98" s="990" t="s">
        <v>1974</v>
      </c>
      <c r="E98" s="838">
        <v>0</v>
      </c>
      <c r="F98" s="838">
        <v>0</v>
      </c>
      <c r="G98" s="838">
        <v>0</v>
      </c>
      <c r="H98" s="838">
        <v>0</v>
      </c>
      <c r="I98" s="1785">
        <v>0</v>
      </c>
      <c r="J98" s="2803"/>
      <c r="K98" s="2803"/>
      <c r="L98" s="2803"/>
      <c r="M98" s="2806"/>
      <c r="N98" s="2806"/>
      <c r="O98" s="2806"/>
      <c r="P98" s="2806"/>
      <c r="Q98" s="2806"/>
      <c r="R98" s="2810"/>
      <c r="S98" s="2806"/>
      <c r="T98" s="2807"/>
      <c r="U98" s="2805"/>
    </row>
    <row r="99" spans="1:21" s="969" customFormat="1" ht="15" hidden="1" customHeight="1" x14ac:dyDescent="0.25">
      <c r="A99" s="989" t="s">
        <v>12</v>
      </c>
      <c r="B99" s="912"/>
      <c r="C99" s="912" t="s">
        <v>36</v>
      </c>
      <c r="D99" s="990" t="s">
        <v>1153</v>
      </c>
      <c r="E99" s="167">
        <v>0</v>
      </c>
      <c r="F99" s="167">
        <v>0</v>
      </c>
      <c r="G99" s="167">
        <v>0</v>
      </c>
      <c r="H99" s="167">
        <v>0</v>
      </c>
      <c r="I99" s="1785">
        <v>0</v>
      </c>
      <c r="J99" s="2803"/>
      <c r="K99" s="2803"/>
      <c r="L99" s="2803"/>
      <c r="M99" s="2806"/>
      <c r="N99" s="2806"/>
      <c r="O99" s="2806"/>
      <c r="P99" s="2806"/>
      <c r="Q99" s="2806"/>
      <c r="R99" s="2810"/>
      <c r="S99" s="2806"/>
      <c r="T99" s="2807"/>
      <c r="U99" s="2805"/>
    </row>
    <row r="100" spans="1:21" s="969" customFormat="1" ht="15" hidden="1" customHeight="1" x14ac:dyDescent="0.25">
      <c r="A100" s="989" t="s">
        <v>12</v>
      </c>
      <c r="B100" s="912"/>
      <c r="C100" s="912">
        <v>4216</v>
      </c>
      <c r="D100" s="990" t="s">
        <v>962</v>
      </c>
      <c r="E100" s="838">
        <v>0</v>
      </c>
      <c r="F100" s="838">
        <v>0</v>
      </c>
      <c r="G100" s="838">
        <v>0</v>
      </c>
      <c r="H100" s="838">
        <v>0</v>
      </c>
      <c r="I100" s="1785">
        <v>0</v>
      </c>
      <c r="J100" s="2803"/>
      <c r="K100" s="2803"/>
      <c r="L100" s="2803"/>
      <c r="M100" s="2806"/>
      <c r="N100" s="2806"/>
      <c r="O100" s="2806"/>
      <c r="P100" s="2806"/>
      <c r="Q100" s="2806"/>
      <c r="R100" s="2810"/>
      <c r="S100" s="2806"/>
      <c r="T100" s="2807"/>
      <c r="U100" s="2805"/>
    </row>
    <row r="101" spans="1:21" s="969" customFormat="1" ht="15" hidden="1" customHeight="1" x14ac:dyDescent="0.25">
      <c r="A101" s="989" t="s">
        <v>12</v>
      </c>
      <c r="B101" s="912"/>
      <c r="C101" s="912">
        <v>4216</v>
      </c>
      <c r="D101" s="990" t="s">
        <v>1240</v>
      </c>
      <c r="E101" s="838">
        <v>0</v>
      </c>
      <c r="F101" s="838">
        <v>0</v>
      </c>
      <c r="G101" s="838">
        <v>0</v>
      </c>
      <c r="H101" s="838">
        <v>0</v>
      </c>
      <c r="I101" s="1785">
        <v>0</v>
      </c>
      <c r="J101" s="2803"/>
      <c r="K101" s="2803"/>
      <c r="L101" s="2803"/>
      <c r="M101" s="2806"/>
      <c r="N101" s="2806"/>
      <c r="O101" s="2806"/>
      <c r="P101" s="2806"/>
      <c r="Q101" s="2806"/>
      <c r="R101" s="2810"/>
      <c r="S101" s="2806"/>
      <c r="T101" s="2807"/>
      <c r="U101" s="2805"/>
    </row>
    <row r="102" spans="1:21" s="969" customFormat="1" ht="27" hidden="1" x14ac:dyDescent="0.25">
      <c r="A102" s="989" t="s">
        <v>12</v>
      </c>
      <c r="B102" s="912"/>
      <c r="C102" s="912" t="s">
        <v>36</v>
      </c>
      <c r="D102" s="990" t="s">
        <v>1154</v>
      </c>
      <c r="E102" s="167">
        <v>0</v>
      </c>
      <c r="F102" s="167">
        <v>0</v>
      </c>
      <c r="G102" s="167">
        <v>0</v>
      </c>
      <c r="H102" s="167">
        <v>0</v>
      </c>
      <c r="I102" s="1785">
        <v>0</v>
      </c>
      <c r="J102" s="2803"/>
      <c r="K102" s="2803"/>
      <c r="L102" s="2803"/>
      <c r="M102" s="2806"/>
      <c r="N102" s="2806"/>
      <c r="O102" s="2806"/>
      <c r="P102" s="2806"/>
      <c r="Q102" s="2806"/>
      <c r="R102" s="2810"/>
      <c r="S102" s="2806"/>
      <c r="T102" s="2807"/>
      <c r="U102" s="2805"/>
    </row>
    <row r="103" spans="1:21" s="969" customFormat="1" ht="15" hidden="1" customHeight="1" x14ac:dyDescent="0.25">
      <c r="A103" s="989" t="s">
        <v>12</v>
      </c>
      <c r="B103" s="912"/>
      <c r="C103" s="912" t="s">
        <v>36</v>
      </c>
      <c r="D103" s="990" t="s">
        <v>1155</v>
      </c>
      <c r="E103" s="838">
        <v>0</v>
      </c>
      <c r="F103" s="838">
        <v>0</v>
      </c>
      <c r="G103" s="838">
        <v>0</v>
      </c>
      <c r="H103" s="838">
        <v>0</v>
      </c>
      <c r="I103" s="1785">
        <v>0</v>
      </c>
      <c r="J103" s="2803"/>
      <c r="K103" s="2803"/>
      <c r="L103" s="2803"/>
      <c r="M103" s="2806"/>
      <c r="N103" s="2806"/>
      <c r="O103" s="2806"/>
      <c r="P103" s="2806"/>
      <c r="Q103" s="2806"/>
      <c r="R103" s="2810"/>
      <c r="S103" s="2806"/>
      <c r="T103" s="2807"/>
      <c r="U103" s="2805"/>
    </row>
    <row r="104" spans="1:21" s="2806" customFormat="1" ht="15" customHeight="1" thickBot="1" x14ac:dyDescent="0.3">
      <c r="A104" s="991" t="s">
        <v>12</v>
      </c>
      <c r="B104" s="992"/>
      <c r="C104" s="992">
        <v>4122</v>
      </c>
      <c r="D104" s="993" t="s">
        <v>37</v>
      </c>
      <c r="E104" s="173">
        <v>1916100</v>
      </c>
      <c r="F104" s="173">
        <v>1916100</v>
      </c>
      <c r="G104" s="173">
        <v>1412500</v>
      </c>
      <c r="H104" s="173">
        <v>1744000</v>
      </c>
      <c r="I104" s="173">
        <v>1744000</v>
      </c>
      <c r="J104" s="2803"/>
      <c r="K104" s="2803"/>
      <c r="L104" s="2803"/>
      <c r="Q104" s="2806">
        <v>2021</v>
      </c>
      <c r="R104" s="2810">
        <v>2022</v>
      </c>
      <c r="T104" s="2803"/>
    </row>
    <row r="105" spans="1:21" s="2828" customFormat="1" ht="15" customHeight="1" thickBot="1" x14ac:dyDescent="0.3">
      <c r="A105" s="997" t="s">
        <v>187</v>
      </c>
      <c r="B105" s="998"/>
      <c r="C105" s="998"/>
      <c r="D105" s="999"/>
      <c r="E105" s="1788">
        <v>249201230</v>
      </c>
      <c r="F105" s="1788">
        <v>262757681</v>
      </c>
      <c r="G105" s="1788">
        <v>271783081</v>
      </c>
      <c r="H105" s="1788">
        <v>283416308</v>
      </c>
      <c r="I105" s="1788">
        <f>SUM(I7:I104)</f>
        <v>271321741</v>
      </c>
      <c r="J105" s="2803"/>
      <c r="K105" s="2803"/>
      <c r="L105" s="2803"/>
      <c r="M105" s="2803"/>
      <c r="N105" s="2806"/>
      <c r="O105" s="2806"/>
      <c r="P105" s="2806"/>
      <c r="Q105" s="2806"/>
      <c r="R105" s="2810"/>
      <c r="S105" s="2806"/>
      <c r="T105" s="2807"/>
      <c r="U105" s="2805"/>
    </row>
    <row r="106" spans="1:21" ht="15" customHeight="1" thickBot="1" x14ac:dyDescent="0.3">
      <c r="A106" s="951"/>
      <c r="B106" s="951"/>
      <c r="C106" s="951"/>
      <c r="D106" s="1000"/>
      <c r="E106" s="1367"/>
      <c r="F106" s="1367"/>
      <c r="G106" s="1367"/>
      <c r="H106" s="1367"/>
      <c r="I106" s="1367"/>
      <c r="O106" s="1001"/>
      <c r="P106" s="1001"/>
      <c r="Q106" s="1001"/>
      <c r="R106" s="1002"/>
    </row>
    <row r="107" spans="1:21" s="2828" customFormat="1" ht="16.5" customHeight="1" thickBot="1" x14ac:dyDescent="0.3">
      <c r="A107" s="3056" t="s">
        <v>186</v>
      </c>
      <c r="B107" s="3057"/>
      <c r="C107" s="3057"/>
      <c r="D107" s="3058"/>
      <c r="E107" s="1788">
        <v>87024229</v>
      </c>
      <c r="F107" s="1788">
        <v>54877883</v>
      </c>
      <c r="G107" s="1788">
        <v>54877883</v>
      </c>
      <c r="H107" s="1788">
        <v>54877507</v>
      </c>
      <c r="I107" s="1788">
        <f>SUM(I108:I112)</f>
        <v>63877507</v>
      </c>
      <c r="J107" s="2803"/>
      <c r="K107" s="2803"/>
      <c r="L107" s="2803"/>
      <c r="M107" s="2806"/>
      <c r="N107" s="2806"/>
      <c r="O107" s="2806"/>
      <c r="P107" s="2806"/>
      <c r="Q107" s="2806"/>
      <c r="R107" s="2810"/>
      <c r="S107" s="2806"/>
      <c r="T107" s="2807"/>
      <c r="U107" s="2805"/>
    </row>
    <row r="108" spans="1:21" s="2830" customFormat="1" x14ac:dyDescent="0.25">
      <c r="A108" s="1730"/>
      <c r="B108" s="1731"/>
      <c r="C108" s="2889" t="s">
        <v>38</v>
      </c>
      <c r="D108" s="1732" t="s">
        <v>2468</v>
      </c>
      <c r="E108" s="1789">
        <v>20000000</v>
      </c>
      <c r="F108" s="1789">
        <v>13900000</v>
      </c>
      <c r="G108" s="1789">
        <v>13900000</v>
      </c>
      <c r="H108" s="1789">
        <v>13900000</v>
      </c>
      <c r="I108" s="1789">
        <v>13900000</v>
      </c>
      <c r="J108" s="2829"/>
      <c r="K108" s="2829"/>
      <c r="L108" s="2829"/>
      <c r="R108" s="2831"/>
      <c r="T108" s="2829"/>
    </row>
    <row r="109" spans="1:21" s="2834" customFormat="1" x14ac:dyDescent="0.25">
      <c r="A109" s="1003"/>
      <c r="B109" s="1004"/>
      <c r="C109" s="2890" t="s">
        <v>38</v>
      </c>
      <c r="D109" s="1005" t="s">
        <v>39</v>
      </c>
      <c r="E109" s="1790">
        <v>0</v>
      </c>
      <c r="F109" s="1790">
        <v>0</v>
      </c>
      <c r="G109" s="1790">
        <v>0</v>
      </c>
      <c r="H109" s="1790">
        <v>0</v>
      </c>
      <c r="I109" s="1790">
        <v>0</v>
      </c>
      <c r="J109" s="2829"/>
      <c r="K109" s="2829"/>
      <c r="L109" s="2829"/>
      <c r="M109" s="2830"/>
      <c r="N109" s="2830"/>
      <c r="O109" s="2830"/>
      <c r="P109" s="2830"/>
      <c r="Q109" s="2830"/>
      <c r="R109" s="2831"/>
      <c r="S109" s="2830"/>
      <c r="T109" s="2832"/>
      <c r="U109" s="2833"/>
    </row>
    <row r="110" spans="1:21" s="2899" customFormat="1" x14ac:dyDescent="0.25">
      <c r="A110" s="2893"/>
      <c r="B110" s="2894"/>
      <c r="C110" s="2895">
        <v>8123</v>
      </c>
      <c r="D110" s="2896" t="s">
        <v>2474</v>
      </c>
      <c r="E110" s="2897">
        <v>67024229</v>
      </c>
      <c r="F110" s="2897">
        <v>40977883</v>
      </c>
      <c r="G110" s="2897">
        <v>40977883</v>
      </c>
      <c r="H110" s="2897">
        <v>33417507</v>
      </c>
      <c r="I110" s="2897">
        <f>33417507</f>
        <v>33417507</v>
      </c>
      <c r="J110" s="2898"/>
      <c r="K110" s="2898"/>
      <c r="L110" s="2898"/>
      <c r="R110" s="2900"/>
      <c r="T110" s="2898"/>
    </row>
    <row r="111" spans="1:21" s="2899" customFormat="1" x14ac:dyDescent="0.25">
      <c r="A111" s="2893"/>
      <c r="B111" s="2894"/>
      <c r="C111" s="2895">
        <v>8123</v>
      </c>
      <c r="D111" s="2896" t="s">
        <v>2871</v>
      </c>
      <c r="E111" s="2897"/>
      <c r="F111" s="2897"/>
      <c r="G111" s="2897"/>
      <c r="H111" s="2897">
        <v>7560000</v>
      </c>
      <c r="I111" s="2897">
        <f>7560000</f>
        <v>7560000</v>
      </c>
      <c r="J111" s="2898"/>
      <c r="K111" s="2898"/>
      <c r="L111" s="2898"/>
      <c r="R111" s="2900"/>
      <c r="T111" s="2898"/>
    </row>
    <row r="112" spans="1:21" s="2899" customFormat="1" ht="14.25" thickBot="1" x14ac:dyDescent="0.3">
      <c r="A112" s="2893"/>
      <c r="B112" s="2894"/>
      <c r="C112" s="2895">
        <v>8123</v>
      </c>
      <c r="D112" s="2896" t="s">
        <v>2577</v>
      </c>
      <c r="E112" s="2897"/>
      <c r="F112" s="2897"/>
      <c r="G112" s="2897"/>
      <c r="H112" s="2897"/>
      <c r="I112" s="2897">
        <v>9000000</v>
      </c>
      <c r="J112" s="2898"/>
      <c r="K112" s="2898"/>
      <c r="L112" s="2898"/>
      <c r="R112" s="2900"/>
      <c r="T112" s="2898"/>
    </row>
    <row r="113" spans="1:21" s="969" customFormat="1" ht="20.25" customHeight="1" thickBot="1" x14ac:dyDescent="0.3">
      <c r="A113" s="3050" t="s">
        <v>62</v>
      </c>
      <c r="B113" s="3051"/>
      <c r="C113" s="3051"/>
      <c r="D113" s="3052"/>
      <c r="E113" s="332">
        <v>336225459</v>
      </c>
      <c r="F113" s="332">
        <v>317635564</v>
      </c>
      <c r="G113" s="332">
        <v>326660964</v>
      </c>
      <c r="H113" s="332">
        <v>338293815</v>
      </c>
      <c r="I113" s="332">
        <f>+I105+I107</f>
        <v>335199248</v>
      </c>
      <c r="J113" s="2803"/>
      <c r="K113" s="2803"/>
      <c r="L113" s="2803"/>
      <c r="M113" s="2806"/>
      <c r="N113" s="2806"/>
      <c r="O113" s="2806"/>
      <c r="P113" s="2806"/>
      <c r="Q113" s="2806"/>
      <c r="R113" s="2810"/>
      <c r="S113" s="2806"/>
      <c r="T113" s="2807"/>
      <c r="U113" s="2805"/>
    </row>
    <row r="114" spans="1:21" ht="15" customHeight="1" x14ac:dyDescent="0.25">
      <c r="A114" s="981"/>
      <c r="B114" s="981"/>
      <c r="C114" s="981"/>
      <c r="D114" s="982"/>
      <c r="E114" s="1783"/>
      <c r="F114" s="1783"/>
      <c r="G114" s="1783"/>
      <c r="H114" s="1783"/>
      <c r="I114" s="1783"/>
      <c r="O114" s="1001"/>
      <c r="P114" s="1001"/>
      <c r="Q114" s="1001"/>
      <c r="R114" s="1002"/>
    </row>
    <row r="115" spans="1:21" ht="12.75" customHeight="1" x14ac:dyDescent="0.25">
      <c r="A115" s="952" t="s">
        <v>544</v>
      </c>
      <c r="B115" s="981"/>
      <c r="C115" s="981"/>
      <c r="D115" s="982"/>
      <c r="E115" s="329"/>
      <c r="F115" s="329"/>
      <c r="G115" s="329"/>
      <c r="H115" s="329"/>
      <c r="I115" s="329"/>
    </row>
    <row r="116" spans="1:21" ht="12.75" customHeight="1" x14ac:dyDescent="0.25">
      <c r="J116" s="2803"/>
      <c r="K116" s="2803"/>
      <c r="L116" s="2803"/>
      <c r="M116" s="2803"/>
      <c r="N116" s="2835"/>
      <c r="O116" s="2835"/>
      <c r="P116" s="2835"/>
      <c r="Q116" s="2835"/>
    </row>
    <row r="117" spans="1:21" ht="12.75" customHeight="1" x14ac:dyDescent="0.25">
      <c r="J117" s="2803"/>
      <c r="K117" s="2803"/>
      <c r="L117" s="2803"/>
      <c r="M117" s="2803"/>
      <c r="N117" s="2835"/>
      <c r="O117" s="2835"/>
      <c r="P117" s="2835"/>
      <c r="Q117" s="2835"/>
    </row>
  </sheetData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13:D113"/>
    <mergeCell ref="A5:D5"/>
    <mergeCell ref="A107:D107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76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M81"/>
  <sheetViews>
    <sheetView topLeftCell="A3" zoomScale="80" zoomScaleNormal="80" workbookViewId="0">
      <pane xSplit="7" ySplit="5" topLeftCell="AW61" activePane="bottomRight" state="frozen"/>
      <selection activeCell="A3" sqref="A3"/>
      <selection pane="topRight" activeCell="H3" sqref="H3"/>
      <selection pane="bottomLeft" activeCell="A8" sqref="A8"/>
      <selection pane="bottomRight" activeCell="AY80" sqref="AY79:AY80"/>
    </sheetView>
  </sheetViews>
  <sheetFormatPr defaultColWidth="9" defaultRowHeight="13.5" outlineLevelRow="1" outlineLevelCol="4" x14ac:dyDescent="0.25"/>
  <cols>
    <col min="1" max="1" width="8" style="436" customWidth="1"/>
    <col min="2" max="2" width="37.28515625" style="320" customWidth="1"/>
    <col min="3" max="3" width="16.7109375" style="320" hidden="1" customWidth="1" outlineLevel="4"/>
    <col min="4" max="4" width="13.85546875" style="320" hidden="1" customWidth="1" outlineLevel="4"/>
    <col min="5" max="5" width="15" style="320" hidden="1" customWidth="1" outlineLevel="4"/>
    <col min="6" max="6" width="14.7109375" style="320" customWidth="1" outlineLevel="4"/>
    <col min="7" max="7" width="15.85546875" style="333" customWidth="1"/>
    <col min="8" max="8" width="10.7109375" style="322" bestFit="1" customWidth="1"/>
    <col min="9" max="9" width="14.7109375" style="322" bestFit="1" customWidth="1"/>
    <col min="10" max="10" width="15" style="322" bestFit="1" customWidth="1"/>
    <col min="11" max="11" width="15" style="322" customWidth="1"/>
    <col min="12" max="12" width="12" style="322" bestFit="1" customWidth="1"/>
    <col min="13" max="13" width="17.7109375" style="322" customWidth="1"/>
    <col min="14" max="14" width="12.85546875" style="322" bestFit="1" customWidth="1"/>
    <col min="15" max="16" width="8.42578125" style="322" bestFit="1" customWidth="1"/>
    <col min="17" max="17" width="11.7109375" style="322" bestFit="1" customWidth="1"/>
    <col min="18" max="18" width="11.7109375" style="323" bestFit="1" customWidth="1" outlineLevel="1"/>
    <col min="19" max="19" width="8.42578125" style="323" bestFit="1" customWidth="1" outlineLevel="1"/>
    <col min="20" max="20" width="12.85546875" style="322" bestFit="1" customWidth="1"/>
    <col min="21" max="21" width="11.7109375" style="322" bestFit="1" customWidth="1"/>
    <col min="22" max="22" width="12.85546875" style="322" customWidth="1"/>
    <col min="23" max="23" width="12.85546875" style="322" bestFit="1" customWidth="1"/>
    <col min="24" max="24" width="14.7109375" style="322" bestFit="1" customWidth="1"/>
    <col min="25" max="25" width="13.5703125" style="322" customWidth="1"/>
    <col min="26" max="26" width="10.28515625" style="322" customWidth="1"/>
    <col min="27" max="27" width="12.85546875" style="322" bestFit="1" customWidth="1"/>
    <col min="28" max="28" width="13" style="322" customWidth="1"/>
    <col min="29" max="29" width="11.7109375" style="322" customWidth="1"/>
    <col min="30" max="30" width="12.28515625" style="322" customWidth="1"/>
    <col min="31" max="31" width="13.28515625" style="322" customWidth="1"/>
    <col min="32" max="32" width="12.28515625" style="323" customWidth="1" outlineLevel="1"/>
    <col min="33" max="33" width="4.140625" style="323" bestFit="1" customWidth="1" outlineLevel="1"/>
    <col min="34" max="34" width="10.7109375" style="322" bestFit="1" customWidth="1"/>
    <col min="35" max="35" width="10.7109375" style="323" bestFit="1" customWidth="1" outlineLevel="1"/>
    <col min="36" max="36" width="11" style="323" customWidth="1" outlineLevel="1"/>
    <col min="37" max="37" width="12.140625" style="322" customWidth="1"/>
    <col min="38" max="38" width="13.5703125" style="323" customWidth="1" outlineLevel="1"/>
    <col min="39" max="39" width="4.140625" style="323" bestFit="1" customWidth="1" outlineLevel="1"/>
    <col min="40" max="41" width="10.7109375" style="322" bestFit="1" customWidth="1"/>
    <col min="42" max="42" width="6.28515625" style="322" bestFit="1" customWidth="1"/>
    <col min="43" max="43" width="10.28515625" style="322" customWidth="1"/>
    <col min="44" max="44" width="10" style="323" customWidth="1" outlineLevel="1"/>
    <col min="45" max="45" width="7.42578125" style="323" bestFit="1" customWidth="1" outlineLevel="1"/>
    <col min="46" max="46" width="11.7109375" style="322" bestFit="1" customWidth="1"/>
    <col min="47" max="47" width="10.7109375" style="323" bestFit="1" customWidth="1" outlineLevel="1"/>
    <col min="48" max="48" width="4.140625" style="323" bestFit="1" customWidth="1" outlineLevel="1"/>
    <col min="49" max="49" width="9.7109375" style="322" customWidth="1"/>
    <col min="50" max="50" width="9.5703125" style="323" customWidth="1" outlineLevel="1"/>
    <col min="51" max="51" width="9.85546875" style="323" customWidth="1" outlineLevel="1"/>
    <col min="52" max="52" width="10.7109375" style="322" bestFit="1" customWidth="1"/>
    <col min="53" max="53" width="10.7109375" style="323" bestFit="1" customWidth="1" outlineLevel="1"/>
    <col min="54" max="54" width="4.140625" style="323" bestFit="1" customWidth="1" outlineLevel="1"/>
    <col min="55" max="55" width="14" style="322" customWidth="1"/>
    <col min="56" max="56" width="13.5703125" style="323" customWidth="1" outlineLevel="1"/>
    <col min="57" max="57" width="4.140625" style="323" bestFit="1" customWidth="1" outlineLevel="1"/>
    <col min="58" max="58" width="12.42578125" style="322" customWidth="1"/>
    <col min="59" max="59" width="12.5703125" style="323" customWidth="1" outlineLevel="1"/>
    <col min="60" max="60" width="4.140625" style="323" bestFit="1" customWidth="1" outlineLevel="1"/>
    <col min="61" max="61" width="10.5703125" style="322" customWidth="1"/>
    <col min="62" max="62" width="9.5703125" style="323" customWidth="1" outlineLevel="1"/>
    <col min="63" max="63" width="4.140625" style="323" bestFit="1" customWidth="1" outlineLevel="1"/>
    <col min="64" max="64" width="8.42578125" style="322" bestFit="1" customWidth="1"/>
    <col min="65" max="65" width="8.42578125" style="323" bestFit="1" customWidth="1" outlineLevel="1"/>
    <col min="66" max="66" width="7.42578125" style="323" bestFit="1" customWidth="1" outlineLevel="1"/>
    <col min="67" max="67" width="11.7109375" style="322" bestFit="1" customWidth="1"/>
    <col min="68" max="68" width="8.42578125" style="323" bestFit="1" customWidth="1" outlineLevel="1"/>
    <col min="69" max="69" width="7.42578125" style="323" bestFit="1" customWidth="1" outlineLevel="1"/>
    <col min="70" max="70" width="10.7109375" style="322" bestFit="1" customWidth="1"/>
    <col min="71" max="71" width="10.7109375" style="323" bestFit="1" customWidth="1" outlineLevel="1"/>
    <col min="72" max="72" width="7.42578125" style="323" bestFit="1" customWidth="1" outlineLevel="1"/>
    <col min="73" max="73" width="10.7109375" style="322" bestFit="1" customWidth="1"/>
    <col min="74" max="74" width="10.7109375" style="323" bestFit="1" customWidth="1" outlineLevel="1"/>
    <col min="75" max="75" width="4.140625" style="323" bestFit="1" customWidth="1" outlineLevel="1"/>
    <col min="76" max="76" width="14" style="322" bestFit="1" customWidth="1"/>
    <col min="77" max="77" width="9.5703125" style="322" bestFit="1" customWidth="1"/>
    <col min="78" max="78" width="8.42578125" style="323" bestFit="1" customWidth="1" outlineLevel="1"/>
    <col min="79" max="79" width="7.42578125" style="323" bestFit="1" customWidth="1" outlineLevel="1"/>
    <col min="80" max="81" width="10.7109375" style="322" bestFit="1" customWidth="1"/>
    <col min="82" max="82" width="10.7109375" style="323" bestFit="1" customWidth="1" outlineLevel="1"/>
    <col min="83" max="83" width="8.42578125" style="323" bestFit="1" customWidth="1" outlineLevel="1"/>
    <col min="84" max="84" width="11.7109375" style="322" bestFit="1" customWidth="1"/>
    <col min="85" max="85" width="11.7109375" style="323" bestFit="1" customWidth="1" outlineLevel="1"/>
    <col min="86" max="86" width="10.7109375" style="323" bestFit="1" customWidth="1" outlineLevel="1"/>
    <col min="87" max="87" width="18.42578125" style="322" bestFit="1" customWidth="1"/>
    <col min="88" max="88" width="11.7109375" style="322" bestFit="1" customWidth="1"/>
    <col min="89" max="89" width="10.7109375" style="323" bestFit="1" customWidth="1" outlineLevel="2"/>
    <col min="90" max="90" width="4.140625" style="323" bestFit="1" customWidth="1" outlineLevel="2"/>
    <col min="91" max="91" width="14" style="322" bestFit="1" customWidth="1"/>
    <col min="92" max="92" width="10.7109375" style="323" bestFit="1" customWidth="1" outlineLevel="2"/>
    <col min="93" max="93" width="4.140625" style="323" bestFit="1" customWidth="1" outlineLevel="2"/>
    <col min="94" max="94" width="20.5703125" style="322" bestFit="1" customWidth="1"/>
    <col min="95" max="95" width="11.7109375" style="323" bestFit="1" customWidth="1" outlineLevel="2"/>
    <col min="96" max="96" width="4.140625" style="323" bestFit="1" customWidth="1" outlineLevel="2"/>
    <col min="97" max="97" width="11.7109375" style="322" bestFit="1" customWidth="1"/>
    <col min="98" max="98" width="8.42578125" style="323" bestFit="1" customWidth="1" outlineLevel="2"/>
    <col min="99" max="99" width="4.140625" style="323" bestFit="1" customWidth="1" outlineLevel="2"/>
    <col min="100" max="100" width="19.42578125" style="322" bestFit="1" customWidth="1"/>
    <col min="101" max="101" width="10.7109375" style="323" bestFit="1" customWidth="1" outlineLevel="1"/>
    <col min="102" max="102" width="8.42578125" style="323" bestFit="1" customWidth="1" outlineLevel="1"/>
    <col min="103" max="103" width="14" style="322" bestFit="1" customWidth="1"/>
    <col min="104" max="104" width="12.85546875" style="322" bestFit="1" customWidth="1"/>
    <col min="105" max="105" width="7.42578125" style="323" bestFit="1" customWidth="1" outlineLevel="1"/>
    <col min="106" max="106" width="10.7109375" style="323" bestFit="1" customWidth="1" outlineLevel="1"/>
    <col min="107" max="107" width="12.85546875" style="322" bestFit="1" customWidth="1"/>
    <col min="108" max="108" width="10.7109375" style="323" bestFit="1" customWidth="1" outlineLevel="1"/>
    <col min="109" max="109" width="4.140625" style="323" bestFit="1" customWidth="1" outlineLevel="1"/>
    <col min="110" max="110" width="19.42578125" style="322" bestFit="1" customWidth="1"/>
    <col min="111" max="111" width="6.28515625" style="323" bestFit="1" customWidth="1" outlineLevel="1"/>
    <col min="112" max="112" width="7.42578125" style="323" bestFit="1" customWidth="1" outlineLevel="1"/>
    <col min="113" max="113" width="15" style="322" bestFit="1" customWidth="1"/>
    <col min="114" max="114" width="10.7109375" style="322" bestFit="1" customWidth="1"/>
    <col min="115" max="115" width="8.42578125" style="323" bestFit="1" customWidth="1" outlineLevel="1"/>
    <col min="116" max="116" width="4.140625" style="323" bestFit="1" customWidth="1" outlineLevel="1"/>
    <col min="117" max="117" width="10.7109375" style="323" bestFit="1" customWidth="1" outlineLevel="1"/>
    <col min="118" max="118" width="8.42578125" style="322" bestFit="1" customWidth="1"/>
    <col min="119" max="119" width="10.7109375" style="322" bestFit="1" customWidth="1"/>
    <col min="120" max="120" width="12.85546875" style="322" bestFit="1" customWidth="1"/>
    <col min="121" max="121" width="10.7109375" style="322" bestFit="1" customWidth="1"/>
    <col min="122" max="122" width="11.7109375" style="322" bestFit="1" customWidth="1"/>
    <col min="123" max="123" width="14" style="322" bestFit="1" customWidth="1"/>
    <col min="124" max="124" width="8.42578125" style="322" bestFit="1" customWidth="1"/>
    <col min="125" max="125" width="10.7109375" style="322" bestFit="1" customWidth="1"/>
    <col min="126" max="126" width="6.28515625" style="323" bestFit="1" customWidth="1" outlineLevel="1"/>
    <col min="127" max="127" width="4.140625" style="323" bestFit="1" customWidth="1" outlineLevel="1"/>
    <col min="128" max="128" width="10.7109375" style="322" bestFit="1" customWidth="1"/>
    <col min="129" max="129" width="12.85546875" style="322" bestFit="1" customWidth="1"/>
    <col min="130" max="130" width="6.28515625" style="322" bestFit="1" customWidth="1"/>
    <col min="131" max="131" width="12.5703125" style="320" bestFit="1" customWidth="1"/>
    <col min="132" max="132" width="9" style="434" customWidth="1"/>
    <col min="133" max="133" width="7.28515625" style="435" customWidth="1"/>
    <col min="134" max="134" width="14.28515625" style="322" customWidth="1"/>
    <col min="135" max="135" width="15" style="435" bestFit="1" customWidth="1"/>
    <col min="136" max="136" width="14.28515625" style="322" customWidth="1"/>
    <col min="137" max="137" width="9" style="320" customWidth="1"/>
    <col min="138" max="138" width="10.85546875" style="320" bestFit="1" customWidth="1"/>
    <col min="139" max="141" width="9" style="320"/>
    <col min="142" max="142" width="9.85546875" style="320" bestFit="1" customWidth="1"/>
    <col min="143" max="16384" width="9" style="320"/>
  </cols>
  <sheetData>
    <row r="1" spans="1:143" ht="16.5" customHeight="1" x14ac:dyDescent="0.25">
      <c r="A1" s="265"/>
      <c r="B1" s="109"/>
      <c r="C1" s="109"/>
      <c r="D1" s="109"/>
      <c r="E1" s="109"/>
      <c r="F1" s="109"/>
      <c r="G1" s="18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80"/>
      <c r="S1" s="180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80"/>
      <c r="AG1" s="180"/>
      <c r="AH1" s="109"/>
      <c r="AI1" s="180"/>
      <c r="AJ1" s="180"/>
      <c r="AK1" s="109"/>
      <c r="AL1" s="180"/>
      <c r="AM1" s="180"/>
      <c r="AN1" s="109"/>
      <c r="AO1" s="109"/>
      <c r="AP1" s="109"/>
      <c r="AQ1" s="109"/>
      <c r="AR1" s="180"/>
      <c r="AS1" s="180"/>
      <c r="AT1" s="109"/>
      <c r="AU1" s="180"/>
      <c r="AV1" s="180"/>
      <c r="AW1" s="109"/>
      <c r="AX1" s="180"/>
      <c r="AY1" s="180"/>
      <c r="AZ1" s="109"/>
      <c r="BA1" s="180"/>
      <c r="BB1" s="180"/>
      <c r="BC1" s="109"/>
      <c r="BD1" s="180"/>
      <c r="BE1" s="180"/>
      <c r="BF1" s="109"/>
      <c r="BG1" s="180"/>
      <c r="BH1" s="180"/>
      <c r="BI1" s="109"/>
      <c r="BJ1" s="180"/>
      <c r="BK1" s="180"/>
      <c r="BL1" s="109"/>
      <c r="BM1" s="180"/>
      <c r="BN1" s="180"/>
      <c r="BO1" s="109"/>
      <c r="BP1" s="180"/>
      <c r="BQ1" s="180"/>
      <c r="BR1" s="109"/>
      <c r="BS1" s="180"/>
      <c r="BT1" s="180"/>
      <c r="BU1" s="109"/>
      <c r="BV1" s="180"/>
      <c r="BW1" s="180"/>
      <c r="BX1" s="109"/>
      <c r="BY1" s="109"/>
      <c r="BZ1" s="180"/>
      <c r="CA1" s="180"/>
      <c r="CB1" s="109"/>
      <c r="CC1" s="109"/>
      <c r="CD1" s="180"/>
      <c r="CE1" s="180"/>
      <c r="CF1" s="109"/>
      <c r="CG1" s="180"/>
      <c r="CH1" s="180"/>
      <c r="CI1" s="109"/>
      <c r="CJ1" s="109"/>
      <c r="CK1" s="180"/>
      <c r="CL1" s="180"/>
      <c r="CM1" s="109"/>
      <c r="CN1" s="180"/>
      <c r="CO1" s="180"/>
      <c r="CP1" s="109"/>
      <c r="CQ1" s="180"/>
      <c r="CR1" s="180"/>
      <c r="CS1" s="109"/>
      <c r="CT1" s="180"/>
      <c r="CU1" s="180"/>
      <c r="CV1" s="109"/>
      <c r="CW1" s="180"/>
      <c r="CX1" s="180"/>
      <c r="CY1" s="109"/>
      <c r="CZ1" s="109"/>
      <c r="DA1" s="180"/>
      <c r="DB1" s="180"/>
      <c r="DC1" s="109"/>
      <c r="DD1" s="180"/>
      <c r="DE1" s="180"/>
      <c r="DF1" s="109"/>
      <c r="DG1" s="180"/>
      <c r="DH1" s="180"/>
      <c r="DI1" s="109"/>
      <c r="DJ1" s="109"/>
      <c r="DK1" s="180"/>
      <c r="DL1" s="180"/>
      <c r="DM1" s="180"/>
      <c r="DN1" s="109"/>
      <c r="DO1" s="109"/>
      <c r="DP1" s="109"/>
      <c r="DQ1" s="109"/>
      <c r="DR1" s="109"/>
      <c r="DS1" s="109"/>
      <c r="DT1" s="109"/>
      <c r="DU1" s="109"/>
      <c r="DV1" s="180"/>
      <c r="DW1" s="180"/>
      <c r="DX1" s="109"/>
      <c r="DY1" s="109"/>
      <c r="DZ1" s="109"/>
      <c r="EA1" s="109"/>
      <c r="EB1" s="337"/>
      <c r="EC1" s="338"/>
      <c r="ED1" s="109"/>
      <c r="EE1" s="338"/>
      <c r="EF1" s="109"/>
    </row>
    <row r="2" spans="1:143" x14ac:dyDescent="0.25">
      <c r="A2" s="265"/>
      <c r="B2" s="109"/>
      <c r="C2" s="109"/>
      <c r="D2" s="109"/>
      <c r="E2" s="109"/>
      <c r="F2" s="109"/>
      <c r="G2" s="306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80"/>
      <c r="S2" s="180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80"/>
      <c r="AG2" s="180"/>
      <c r="AH2" s="109"/>
      <c r="AI2" s="180"/>
      <c r="AJ2" s="180"/>
      <c r="AK2" s="109"/>
      <c r="AL2" s="180"/>
      <c r="AM2" s="180"/>
      <c r="AN2" s="109"/>
      <c r="AO2" s="109"/>
      <c r="AP2" s="109"/>
      <c r="AQ2" s="109"/>
      <c r="AR2" s="180"/>
      <c r="AS2" s="180"/>
      <c r="AT2" s="109"/>
      <c r="AU2" s="180"/>
      <c r="AV2" s="180"/>
      <c r="AW2" s="109"/>
      <c r="AX2" s="180"/>
      <c r="AY2" s="180"/>
      <c r="AZ2" s="109"/>
      <c r="BA2" s="180"/>
      <c r="BB2" s="180"/>
      <c r="BC2" s="109"/>
      <c r="BD2" s="180"/>
      <c r="BE2" s="180"/>
      <c r="BF2" s="109"/>
      <c r="BG2" s="180"/>
      <c r="BH2" s="180"/>
      <c r="BI2" s="109"/>
      <c r="BJ2" s="180"/>
      <c r="BK2" s="180"/>
      <c r="BL2" s="109"/>
      <c r="BM2" s="180"/>
      <c r="BN2" s="180"/>
      <c r="BO2" s="109"/>
      <c r="BP2" s="180"/>
      <c r="BQ2" s="180"/>
      <c r="BR2" s="109"/>
      <c r="BS2" s="180"/>
      <c r="BT2" s="180"/>
      <c r="BU2" s="109"/>
      <c r="BV2" s="180"/>
      <c r="BW2" s="180"/>
      <c r="BX2" s="109"/>
      <c r="BY2" s="109"/>
      <c r="BZ2" s="180"/>
      <c r="CA2" s="180"/>
      <c r="CB2" s="109"/>
      <c r="CC2" s="109"/>
      <c r="CD2" s="180"/>
      <c r="CE2" s="180"/>
      <c r="CF2" s="109"/>
      <c r="CG2" s="180"/>
      <c r="CH2" s="180"/>
      <c r="CI2" s="109"/>
      <c r="CJ2" s="109"/>
      <c r="CK2" s="180"/>
      <c r="CL2" s="180"/>
      <c r="CM2" s="109"/>
      <c r="CN2" s="180"/>
      <c r="CO2" s="180"/>
      <c r="CP2" s="109"/>
      <c r="CQ2" s="180"/>
      <c r="CR2" s="180"/>
      <c r="CS2" s="109"/>
      <c r="CT2" s="180"/>
      <c r="CU2" s="180"/>
      <c r="CV2" s="109"/>
      <c r="CW2" s="180"/>
      <c r="CX2" s="180"/>
      <c r="CY2" s="109"/>
      <c r="CZ2" s="109"/>
      <c r="DA2" s="180"/>
      <c r="DB2" s="180"/>
      <c r="DC2" s="109"/>
      <c r="DD2" s="180"/>
      <c r="DE2" s="180"/>
      <c r="DF2" s="109"/>
      <c r="DG2" s="180"/>
      <c r="DH2" s="180"/>
      <c r="DI2" s="109"/>
      <c r="DJ2" s="109"/>
      <c r="DK2" s="180"/>
      <c r="DL2" s="180"/>
      <c r="DM2" s="180"/>
      <c r="DN2" s="109"/>
      <c r="DO2" s="109"/>
      <c r="DP2" s="109"/>
      <c r="DQ2" s="109"/>
      <c r="DR2" s="109"/>
      <c r="DS2" s="109"/>
      <c r="DT2" s="109"/>
      <c r="DU2" s="109"/>
      <c r="DV2" s="180"/>
      <c r="DW2" s="180"/>
      <c r="DX2" s="109"/>
      <c r="DY2" s="109"/>
      <c r="DZ2" s="109"/>
      <c r="EA2" s="109"/>
      <c r="EB2" s="337"/>
      <c r="EC2" s="338"/>
      <c r="ED2" s="109"/>
      <c r="EE2" s="338"/>
      <c r="EF2" s="109"/>
    </row>
    <row r="3" spans="1:143" ht="16.5" x14ac:dyDescent="0.3">
      <c r="A3" s="112" t="s">
        <v>2160</v>
      </c>
      <c r="B3" s="109"/>
      <c r="C3" s="109"/>
      <c r="D3" s="109"/>
      <c r="E3" s="109"/>
      <c r="F3" s="109"/>
      <c r="G3" s="189"/>
      <c r="H3" s="109"/>
      <c r="I3" s="337"/>
      <c r="J3" s="337"/>
      <c r="K3" s="337"/>
      <c r="L3" s="109"/>
      <c r="M3" s="109"/>
      <c r="N3" s="109"/>
      <c r="O3" s="109"/>
      <c r="P3" s="109"/>
      <c r="Q3" s="109"/>
      <c r="R3" s="180"/>
      <c r="S3" s="180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80"/>
      <c r="AG3" s="180"/>
      <c r="AH3" s="109"/>
      <c r="AI3" s="180"/>
      <c r="AJ3" s="180"/>
      <c r="AK3" s="109"/>
      <c r="AL3" s="180"/>
      <c r="AM3" s="180"/>
      <c r="AN3" s="109"/>
      <c r="AO3" s="109"/>
      <c r="AP3" s="109"/>
      <c r="AQ3" s="109"/>
      <c r="AR3" s="180"/>
      <c r="AS3" s="180"/>
      <c r="AT3" s="109"/>
      <c r="AU3" s="180"/>
      <c r="AV3" s="180"/>
      <c r="AW3" s="109"/>
      <c r="AX3" s="180"/>
      <c r="AY3" s="180"/>
      <c r="AZ3" s="109"/>
      <c r="BA3" s="180"/>
      <c r="BB3" s="180"/>
      <c r="BC3" s="109"/>
      <c r="BD3" s="180"/>
      <c r="BE3" s="180"/>
      <c r="BF3" s="109"/>
      <c r="BG3" s="180"/>
      <c r="BH3" s="180"/>
      <c r="BI3" s="109"/>
      <c r="BJ3" s="180"/>
      <c r="BK3" s="180"/>
      <c r="BL3" s="109"/>
      <c r="BM3" s="180"/>
      <c r="BN3" s="180"/>
      <c r="BO3" s="109"/>
      <c r="BP3" s="180"/>
      <c r="BQ3" s="180"/>
      <c r="BR3" s="109"/>
      <c r="BS3" s="180"/>
      <c r="BT3" s="180"/>
      <c r="BU3" s="109"/>
      <c r="BV3" s="180"/>
      <c r="BW3" s="180"/>
      <c r="BX3" s="109"/>
      <c r="BY3" s="109"/>
      <c r="BZ3" s="180"/>
      <c r="CA3" s="180"/>
      <c r="CB3" s="109"/>
      <c r="CC3" s="109"/>
      <c r="CD3" s="180"/>
      <c r="CE3" s="180"/>
      <c r="CF3" s="109"/>
      <c r="CG3" s="180"/>
      <c r="CH3" s="180"/>
      <c r="CI3" s="109"/>
      <c r="CJ3" s="109"/>
      <c r="CK3" s="180"/>
      <c r="CL3" s="180"/>
      <c r="CM3" s="109"/>
      <c r="CN3" s="180"/>
      <c r="CO3" s="180"/>
      <c r="CP3" s="109"/>
      <c r="CQ3" s="180"/>
      <c r="CR3" s="180"/>
      <c r="CS3" s="109"/>
      <c r="CT3" s="180"/>
      <c r="CU3" s="180"/>
      <c r="CV3" s="109"/>
      <c r="CW3" s="180"/>
      <c r="CX3" s="180"/>
      <c r="CY3" s="109"/>
      <c r="CZ3" s="109"/>
      <c r="DA3" s="180"/>
      <c r="DB3" s="180"/>
      <c r="DC3" s="109"/>
      <c r="DD3" s="180"/>
      <c r="DE3" s="180"/>
      <c r="DF3" s="109"/>
      <c r="DG3" s="180"/>
      <c r="DH3" s="180"/>
      <c r="DI3" s="109"/>
      <c r="DJ3" s="109"/>
      <c r="DK3" s="180"/>
      <c r="DL3" s="180"/>
      <c r="DM3" s="180"/>
      <c r="DN3" s="109"/>
      <c r="DO3" s="109"/>
      <c r="DP3" s="109"/>
      <c r="DQ3" s="109"/>
      <c r="DR3" s="109"/>
      <c r="DS3" s="109"/>
      <c r="DT3" s="109"/>
      <c r="DU3" s="109"/>
      <c r="DV3" s="180"/>
      <c r="DW3" s="180"/>
      <c r="DX3" s="109"/>
      <c r="DY3" s="109"/>
      <c r="DZ3" s="109"/>
      <c r="EA3" s="109"/>
      <c r="EB3" s="337"/>
      <c r="EC3" s="338"/>
      <c r="ED3" s="109"/>
      <c r="EE3" s="338"/>
      <c r="EF3" s="109"/>
    </row>
    <row r="4" spans="1:143" x14ac:dyDescent="0.25">
      <c r="A4" s="265"/>
      <c r="B4" s="109"/>
      <c r="C4" s="109"/>
      <c r="D4" s="109"/>
      <c r="E4" s="109"/>
      <c r="F4" s="109"/>
      <c r="G4" s="189"/>
      <c r="H4" s="109"/>
      <c r="I4" s="337"/>
      <c r="J4" s="337"/>
      <c r="K4" s="337"/>
      <c r="L4" s="109"/>
      <c r="M4" s="109"/>
      <c r="N4" s="337"/>
      <c r="O4" s="337"/>
      <c r="P4" s="337"/>
      <c r="Q4" s="337"/>
      <c r="R4" s="180"/>
      <c r="S4" s="180"/>
      <c r="T4" s="337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80"/>
      <c r="AG4" s="180"/>
      <c r="AH4" s="109"/>
      <c r="AI4" s="180"/>
      <c r="AJ4" s="180"/>
      <c r="AK4" s="109"/>
      <c r="AL4" s="180"/>
      <c r="AM4" s="180"/>
      <c r="AN4" s="109"/>
      <c r="AO4" s="109"/>
      <c r="AP4" s="109"/>
      <c r="AQ4" s="109"/>
      <c r="AR4" s="180"/>
      <c r="AS4" s="180"/>
      <c r="AT4" s="109"/>
      <c r="AU4" s="180"/>
      <c r="AV4" s="180"/>
      <c r="AW4" s="109"/>
      <c r="AX4" s="180"/>
      <c r="AY4" s="180"/>
      <c r="AZ4" s="109"/>
      <c r="BA4" s="180"/>
      <c r="BB4" s="180"/>
      <c r="BC4" s="109"/>
      <c r="BD4" s="180"/>
      <c r="BE4" s="180"/>
      <c r="BF4" s="109"/>
      <c r="BG4" s="180"/>
      <c r="BH4" s="180"/>
      <c r="BI4" s="109"/>
      <c r="BJ4" s="180"/>
      <c r="BK4" s="180"/>
      <c r="BL4" s="109"/>
      <c r="BM4" s="180"/>
      <c r="BN4" s="180"/>
      <c r="BO4" s="109"/>
      <c r="BP4" s="180"/>
      <c r="BQ4" s="180"/>
      <c r="BR4" s="109"/>
      <c r="BS4" s="180"/>
      <c r="BT4" s="180"/>
      <c r="BU4" s="109"/>
      <c r="BV4" s="180"/>
      <c r="BW4" s="180"/>
      <c r="BX4" s="109"/>
      <c r="BY4" s="109"/>
      <c r="BZ4" s="180"/>
      <c r="CA4" s="180"/>
      <c r="CB4" s="109"/>
      <c r="CC4" s="109"/>
      <c r="CD4" s="180"/>
      <c r="CE4" s="180"/>
      <c r="CF4" s="109"/>
      <c r="CG4" s="180"/>
      <c r="CH4" s="180"/>
      <c r="CI4" s="109"/>
      <c r="CJ4" s="109"/>
      <c r="CK4" s="180"/>
      <c r="CL4" s="180"/>
      <c r="CM4" s="109"/>
      <c r="CN4" s="180"/>
      <c r="CO4" s="180"/>
      <c r="CP4" s="109"/>
      <c r="CQ4" s="180"/>
      <c r="CR4" s="180"/>
      <c r="CS4" s="109"/>
      <c r="CT4" s="180"/>
      <c r="CU4" s="180"/>
      <c r="CV4" s="109"/>
      <c r="CW4" s="180"/>
      <c r="CX4" s="180"/>
      <c r="CY4" s="109"/>
      <c r="CZ4" s="109"/>
      <c r="DA4" s="180"/>
      <c r="DB4" s="180"/>
      <c r="DC4" s="109"/>
      <c r="DD4" s="180"/>
      <c r="DE4" s="180"/>
      <c r="DF4" s="109"/>
      <c r="DG4" s="180"/>
      <c r="DH4" s="180"/>
      <c r="DI4" s="109"/>
      <c r="DJ4" s="109"/>
      <c r="DK4" s="180"/>
      <c r="DL4" s="180"/>
      <c r="DM4" s="180"/>
      <c r="DN4" s="109"/>
      <c r="DO4" s="109"/>
      <c r="DP4" s="109"/>
      <c r="DQ4" s="109"/>
      <c r="DR4" s="109"/>
      <c r="DS4" s="109"/>
      <c r="DT4" s="109"/>
      <c r="DU4" s="109"/>
      <c r="DV4" s="180"/>
      <c r="DW4" s="180"/>
      <c r="DX4" s="109"/>
      <c r="DY4" s="109"/>
      <c r="DZ4" s="109"/>
      <c r="EA4" s="109"/>
      <c r="EB4" s="337"/>
      <c r="EC4" s="338"/>
      <c r="ED4" s="109"/>
      <c r="EE4" s="338"/>
      <c r="EF4" s="109"/>
    </row>
    <row r="5" spans="1:143" ht="17.25" thickBot="1" x14ac:dyDescent="0.35">
      <c r="A5" s="1677"/>
      <c r="B5" s="109"/>
      <c r="C5" s="109"/>
      <c r="D5" s="109"/>
      <c r="E5" s="109"/>
      <c r="F5" s="109"/>
      <c r="G5" s="341"/>
      <c r="H5" s="342"/>
      <c r="I5" s="334"/>
      <c r="J5" s="334"/>
      <c r="K5" s="334"/>
      <c r="L5" s="334"/>
      <c r="M5" s="334"/>
      <c r="N5" s="334"/>
      <c r="O5" s="334"/>
      <c r="P5" s="334"/>
      <c r="Q5" s="334"/>
      <c r="R5" s="291"/>
      <c r="S5" s="291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291"/>
      <c r="AG5" s="291"/>
      <c r="AH5" s="334"/>
      <c r="AI5" s="291"/>
      <c r="AJ5" s="291"/>
      <c r="AK5" s="334"/>
      <c r="AL5" s="291"/>
      <c r="AM5" s="291"/>
      <c r="AN5" s="334"/>
      <c r="AO5" s="334"/>
      <c r="AP5" s="334"/>
      <c r="AQ5" s="334"/>
      <c r="AR5" s="291"/>
      <c r="AS5" s="291"/>
      <c r="AT5" s="334"/>
      <c r="AU5" s="291"/>
      <c r="AV5" s="291"/>
      <c r="AW5" s="334"/>
      <c r="AX5" s="291"/>
      <c r="AY5" s="291"/>
      <c r="AZ5" s="334"/>
      <c r="BA5" s="291"/>
      <c r="BB5" s="291"/>
      <c r="BC5" s="334"/>
      <c r="BD5" s="291"/>
      <c r="BE5" s="291"/>
      <c r="BF5" s="334"/>
      <c r="BG5" s="291"/>
      <c r="BH5" s="291"/>
      <c r="BI5" s="334"/>
      <c r="BJ5" s="291"/>
      <c r="BK5" s="291"/>
      <c r="BL5" s="334"/>
      <c r="BM5" s="291"/>
      <c r="BN5" s="291"/>
      <c r="BO5" s="334"/>
      <c r="BP5" s="291"/>
      <c r="BQ5" s="291"/>
      <c r="BR5" s="334"/>
      <c r="BS5" s="291"/>
      <c r="BT5" s="291"/>
      <c r="BU5" s="334"/>
      <c r="BV5" s="291"/>
      <c r="BW5" s="291"/>
      <c r="BX5" s="334"/>
      <c r="BY5" s="334"/>
      <c r="BZ5" s="291"/>
      <c r="CA5" s="291"/>
      <c r="CB5" s="334"/>
      <c r="CC5" s="334"/>
      <c r="CD5" s="291"/>
      <c r="CE5" s="291"/>
      <c r="CF5" s="334"/>
      <c r="CG5" s="291"/>
      <c r="CH5" s="291"/>
      <c r="CI5" s="334"/>
      <c r="CJ5" s="334"/>
      <c r="CK5" s="291"/>
      <c r="CL5" s="291"/>
      <c r="CM5" s="334"/>
      <c r="CN5" s="291"/>
      <c r="CO5" s="291"/>
      <c r="CP5" s="334"/>
      <c r="CQ5" s="291"/>
      <c r="CR5" s="291"/>
      <c r="CS5" s="334"/>
      <c r="CT5" s="291"/>
      <c r="CU5" s="291"/>
      <c r="CV5" s="334"/>
      <c r="CW5" s="291"/>
      <c r="CX5" s="291"/>
      <c r="CY5" s="334"/>
      <c r="CZ5" s="334"/>
      <c r="DA5" s="291"/>
      <c r="DB5" s="291"/>
      <c r="DC5" s="334"/>
      <c r="DD5" s="291"/>
      <c r="DE5" s="291"/>
      <c r="DF5" s="334"/>
      <c r="DG5" s="291"/>
      <c r="DH5" s="291"/>
      <c r="DI5" s="334"/>
      <c r="DJ5" s="334"/>
      <c r="DK5" s="291"/>
      <c r="DL5" s="291"/>
      <c r="DM5" s="291"/>
      <c r="DN5" s="334"/>
      <c r="DO5" s="334"/>
      <c r="DP5" s="334"/>
      <c r="DQ5" s="334"/>
      <c r="DR5" s="334"/>
      <c r="DS5" s="334"/>
      <c r="DT5" s="334"/>
      <c r="DU5" s="334"/>
      <c r="DV5" s="291"/>
      <c r="DW5" s="291"/>
      <c r="DX5" s="334"/>
      <c r="DY5" s="334"/>
      <c r="DZ5" s="334"/>
      <c r="EA5" s="109"/>
      <c r="EB5" s="337"/>
      <c r="EC5" s="338"/>
      <c r="ED5" s="334" t="s">
        <v>705</v>
      </c>
      <c r="EE5" s="338"/>
      <c r="EF5" s="334" t="s">
        <v>705</v>
      </c>
    </row>
    <row r="6" spans="1:143" ht="34.5" customHeight="1" thickBot="1" x14ac:dyDescent="0.3">
      <c r="A6" s="343" t="s">
        <v>10</v>
      </c>
      <c r="B6" s="343" t="s">
        <v>0</v>
      </c>
      <c r="C6" s="344" t="s">
        <v>2159</v>
      </c>
      <c r="D6" s="344" t="s">
        <v>1985</v>
      </c>
      <c r="E6" s="344" t="s">
        <v>2495</v>
      </c>
      <c r="F6" s="344" t="s">
        <v>2566</v>
      </c>
      <c r="G6" s="344" t="s">
        <v>2896</v>
      </c>
      <c r="H6" s="345" t="s">
        <v>128</v>
      </c>
      <c r="I6" s="345" t="s">
        <v>129</v>
      </c>
      <c r="J6" s="345" t="s">
        <v>761</v>
      </c>
      <c r="K6" s="117" t="s">
        <v>2493</v>
      </c>
      <c r="L6" s="345" t="s">
        <v>130</v>
      </c>
      <c r="M6" s="117" t="s">
        <v>1987</v>
      </c>
      <c r="N6" s="345" t="s">
        <v>747</v>
      </c>
      <c r="O6" s="345" t="s">
        <v>871</v>
      </c>
      <c r="P6" s="345" t="s">
        <v>871</v>
      </c>
      <c r="Q6" s="345" t="s">
        <v>356</v>
      </c>
      <c r="R6" s="346" t="s">
        <v>878</v>
      </c>
      <c r="S6" s="347" t="s">
        <v>247</v>
      </c>
      <c r="T6" s="345" t="s">
        <v>872</v>
      </c>
      <c r="U6" s="348" t="s">
        <v>247</v>
      </c>
      <c r="V6" s="349" t="s">
        <v>131</v>
      </c>
      <c r="W6" s="1706" t="s">
        <v>2351</v>
      </c>
      <c r="X6" s="345" t="s">
        <v>132</v>
      </c>
      <c r="Y6" s="345" t="s">
        <v>133</v>
      </c>
      <c r="Z6" s="345" t="s">
        <v>134</v>
      </c>
      <c r="AA6" s="345" t="s">
        <v>1252</v>
      </c>
      <c r="AB6" s="345" t="s">
        <v>190</v>
      </c>
      <c r="AC6" s="345" t="s">
        <v>135</v>
      </c>
      <c r="AD6" s="345" t="s">
        <v>136</v>
      </c>
      <c r="AE6" s="345" t="s">
        <v>137</v>
      </c>
      <c r="AF6" s="346" t="s">
        <v>876</v>
      </c>
      <c r="AG6" s="350" t="s">
        <v>247</v>
      </c>
      <c r="AH6" s="345" t="s">
        <v>138</v>
      </c>
      <c r="AI6" s="346" t="s">
        <v>501</v>
      </c>
      <c r="AJ6" s="350" t="s">
        <v>247</v>
      </c>
      <c r="AK6" s="345" t="s">
        <v>139</v>
      </c>
      <c r="AL6" s="346" t="s">
        <v>876</v>
      </c>
      <c r="AM6" s="350" t="s">
        <v>247</v>
      </c>
      <c r="AN6" s="345" t="s">
        <v>140</v>
      </c>
      <c r="AO6" s="345" t="s">
        <v>141</v>
      </c>
      <c r="AP6" s="345" t="s">
        <v>142</v>
      </c>
      <c r="AQ6" s="345" t="s">
        <v>143</v>
      </c>
      <c r="AR6" s="346" t="s">
        <v>501</v>
      </c>
      <c r="AS6" s="350" t="s">
        <v>247</v>
      </c>
      <c r="AT6" s="345" t="s">
        <v>293</v>
      </c>
      <c r="AU6" s="346" t="s">
        <v>876</v>
      </c>
      <c r="AV6" s="350" t="s">
        <v>247</v>
      </c>
      <c r="AW6" s="345" t="s">
        <v>1178</v>
      </c>
      <c r="AX6" s="346" t="s">
        <v>876</v>
      </c>
      <c r="AY6" s="350" t="s">
        <v>247</v>
      </c>
      <c r="AZ6" s="345" t="s">
        <v>1179</v>
      </c>
      <c r="BA6" s="346" t="s">
        <v>876</v>
      </c>
      <c r="BB6" s="350" t="s">
        <v>247</v>
      </c>
      <c r="BC6" s="345" t="s">
        <v>144</v>
      </c>
      <c r="BD6" s="346" t="s">
        <v>876</v>
      </c>
      <c r="BE6" s="350" t="s">
        <v>247</v>
      </c>
      <c r="BF6" s="345" t="s">
        <v>1539</v>
      </c>
      <c r="BG6" s="346" t="s">
        <v>1541</v>
      </c>
      <c r="BH6" s="350" t="s">
        <v>247</v>
      </c>
      <c r="BI6" s="345" t="s">
        <v>145</v>
      </c>
      <c r="BJ6" s="346" t="s">
        <v>876</v>
      </c>
      <c r="BK6" s="350" t="s">
        <v>247</v>
      </c>
      <c r="BL6" s="345" t="s">
        <v>146</v>
      </c>
      <c r="BM6" s="346" t="s">
        <v>876</v>
      </c>
      <c r="BN6" s="350" t="s">
        <v>247</v>
      </c>
      <c r="BO6" s="345" t="s">
        <v>713</v>
      </c>
      <c r="BP6" s="346" t="s">
        <v>876</v>
      </c>
      <c r="BQ6" s="350" t="s">
        <v>247</v>
      </c>
      <c r="BR6" s="345" t="s">
        <v>147</v>
      </c>
      <c r="BS6" s="346" t="s">
        <v>876</v>
      </c>
      <c r="BT6" s="350" t="s">
        <v>247</v>
      </c>
      <c r="BU6" s="345" t="s">
        <v>148</v>
      </c>
      <c r="BV6" s="346" t="s">
        <v>876</v>
      </c>
      <c r="BW6" s="350" t="s">
        <v>247</v>
      </c>
      <c r="BX6" s="345" t="s">
        <v>149</v>
      </c>
      <c r="BY6" s="345" t="s">
        <v>340</v>
      </c>
      <c r="BZ6" s="346" t="s">
        <v>876</v>
      </c>
      <c r="CA6" s="350" t="s">
        <v>247</v>
      </c>
      <c r="CB6" s="345" t="s">
        <v>150</v>
      </c>
      <c r="CC6" s="345" t="s">
        <v>151</v>
      </c>
      <c r="CD6" s="346" t="s">
        <v>501</v>
      </c>
      <c r="CE6" s="350" t="s">
        <v>247</v>
      </c>
      <c r="CF6" s="345" t="s">
        <v>152</v>
      </c>
      <c r="CG6" s="346" t="s">
        <v>876</v>
      </c>
      <c r="CH6" s="350" t="s">
        <v>247</v>
      </c>
      <c r="CI6" s="345" t="s">
        <v>748</v>
      </c>
      <c r="CJ6" s="345" t="s">
        <v>749</v>
      </c>
      <c r="CK6" s="346" t="s">
        <v>876</v>
      </c>
      <c r="CL6" s="350" t="s">
        <v>247</v>
      </c>
      <c r="CM6" s="345" t="s">
        <v>750</v>
      </c>
      <c r="CN6" s="346" t="s">
        <v>876</v>
      </c>
      <c r="CO6" s="350" t="s">
        <v>247</v>
      </c>
      <c r="CP6" s="345" t="s">
        <v>751</v>
      </c>
      <c r="CQ6" s="346" t="s">
        <v>501</v>
      </c>
      <c r="CR6" s="350" t="s">
        <v>247</v>
      </c>
      <c r="CS6" s="345" t="s">
        <v>752</v>
      </c>
      <c r="CT6" s="346" t="s">
        <v>501</v>
      </c>
      <c r="CU6" s="350" t="s">
        <v>247</v>
      </c>
      <c r="CV6" s="345" t="s">
        <v>753</v>
      </c>
      <c r="CW6" s="346" t="s">
        <v>2897</v>
      </c>
      <c r="CX6" s="350" t="s">
        <v>247</v>
      </c>
      <c r="CY6" s="345" t="s">
        <v>754</v>
      </c>
      <c r="CZ6" s="345" t="s">
        <v>755</v>
      </c>
      <c r="DA6" s="346" t="s">
        <v>506</v>
      </c>
      <c r="DB6" s="350" t="s">
        <v>247</v>
      </c>
      <c r="DC6" s="345" t="s">
        <v>1187</v>
      </c>
      <c r="DD6" s="346" t="s">
        <v>877</v>
      </c>
      <c r="DE6" s="350" t="s">
        <v>247</v>
      </c>
      <c r="DF6" s="345" t="s">
        <v>756</v>
      </c>
      <c r="DG6" s="346" t="s">
        <v>506</v>
      </c>
      <c r="DH6" s="350" t="s">
        <v>247</v>
      </c>
      <c r="DI6" s="345" t="s">
        <v>757</v>
      </c>
      <c r="DJ6" s="345" t="s">
        <v>758</v>
      </c>
      <c r="DK6" s="346" t="s">
        <v>506</v>
      </c>
      <c r="DL6" s="351" t="s">
        <v>501</v>
      </c>
      <c r="DM6" s="350" t="s">
        <v>247</v>
      </c>
      <c r="DN6" s="345" t="s">
        <v>296</v>
      </c>
      <c r="DO6" s="345" t="s">
        <v>718</v>
      </c>
      <c r="DP6" s="345" t="s">
        <v>719</v>
      </c>
      <c r="DQ6" s="345" t="s">
        <v>857</v>
      </c>
      <c r="DR6" s="345" t="s">
        <v>261</v>
      </c>
      <c r="DS6" s="345" t="s">
        <v>1107</v>
      </c>
      <c r="DT6" s="345" t="s">
        <v>647</v>
      </c>
      <c r="DU6" s="345" t="s">
        <v>159</v>
      </c>
      <c r="DV6" s="346" t="s">
        <v>506</v>
      </c>
      <c r="DW6" s="350" t="s">
        <v>247</v>
      </c>
      <c r="DX6" s="345" t="s">
        <v>160</v>
      </c>
      <c r="DY6" s="345" t="s">
        <v>161</v>
      </c>
      <c r="DZ6" s="345" t="s">
        <v>162</v>
      </c>
      <c r="EA6" s="109"/>
      <c r="EB6" s="337"/>
      <c r="EC6" s="338"/>
      <c r="ED6" s="345" t="s">
        <v>2373</v>
      </c>
      <c r="EE6" s="338"/>
      <c r="EF6" s="345" t="s">
        <v>247</v>
      </c>
    </row>
    <row r="7" spans="1:143" ht="13.5" customHeight="1" thickBot="1" x14ac:dyDescent="0.3">
      <c r="A7" s="352"/>
      <c r="B7" s="353"/>
      <c r="C7" s="354"/>
      <c r="D7" s="354"/>
      <c r="E7" s="354"/>
      <c r="F7" s="354"/>
      <c r="G7" s="646"/>
      <c r="H7" s="355" t="s">
        <v>163</v>
      </c>
      <c r="I7" s="356"/>
      <c r="J7" s="356">
        <v>5213</v>
      </c>
      <c r="K7" s="356">
        <v>6221</v>
      </c>
      <c r="L7" s="356">
        <v>6409</v>
      </c>
      <c r="M7" s="356" t="s">
        <v>1986</v>
      </c>
      <c r="N7" s="356">
        <v>6112</v>
      </c>
      <c r="O7" s="356">
        <v>6115</v>
      </c>
      <c r="P7" s="356">
        <v>6117</v>
      </c>
      <c r="Q7" s="356">
        <v>6171</v>
      </c>
      <c r="R7" s="356"/>
      <c r="S7" s="357"/>
      <c r="T7" s="356" t="s">
        <v>944</v>
      </c>
      <c r="U7" s="358">
        <v>3639</v>
      </c>
      <c r="V7" s="356" t="s">
        <v>164</v>
      </c>
      <c r="W7" s="356" t="s">
        <v>2352</v>
      </c>
      <c r="X7" s="356" t="s">
        <v>165</v>
      </c>
      <c r="Y7" s="356" t="s">
        <v>196</v>
      </c>
      <c r="Z7" s="356">
        <v>3319</v>
      </c>
      <c r="AA7" s="356" t="s">
        <v>1253</v>
      </c>
      <c r="AB7" s="356">
        <v>3314</v>
      </c>
      <c r="AC7" s="356">
        <v>3349</v>
      </c>
      <c r="AD7" s="356" t="s">
        <v>166</v>
      </c>
      <c r="AE7" s="356">
        <v>3612</v>
      </c>
      <c r="AF7" s="356"/>
      <c r="AG7" s="356"/>
      <c r="AH7" s="356" t="s">
        <v>167</v>
      </c>
      <c r="AI7" s="356"/>
      <c r="AJ7" s="356"/>
      <c r="AK7" s="356" t="s">
        <v>168</v>
      </c>
      <c r="AL7" s="356"/>
      <c r="AM7" s="356"/>
      <c r="AN7" s="356">
        <v>5512</v>
      </c>
      <c r="AO7" s="356">
        <v>3519</v>
      </c>
      <c r="AP7" s="356" t="s">
        <v>169</v>
      </c>
      <c r="AQ7" s="356">
        <v>3632</v>
      </c>
      <c r="AR7" s="356"/>
      <c r="AS7" s="356"/>
      <c r="AT7" s="356" t="s">
        <v>170</v>
      </c>
      <c r="AU7" s="356"/>
      <c r="AV7" s="356"/>
      <c r="AW7" s="356" t="s">
        <v>170</v>
      </c>
      <c r="AX7" s="356"/>
      <c r="AY7" s="356"/>
      <c r="AZ7" s="356" t="s">
        <v>170</v>
      </c>
      <c r="BA7" s="356"/>
      <c r="BB7" s="356"/>
      <c r="BC7" s="356">
        <v>3113</v>
      </c>
      <c r="BD7" s="356"/>
      <c r="BE7" s="356"/>
      <c r="BF7" s="356" t="s">
        <v>1540</v>
      </c>
      <c r="BG7" s="356"/>
      <c r="BH7" s="356"/>
      <c r="BI7" s="356">
        <v>3114</v>
      </c>
      <c r="BJ7" s="356"/>
      <c r="BK7" s="356"/>
      <c r="BL7" s="356">
        <v>3421</v>
      </c>
      <c r="BM7" s="356"/>
      <c r="BN7" s="356"/>
      <c r="BO7" s="356" t="s">
        <v>171</v>
      </c>
      <c r="BP7" s="356"/>
      <c r="BQ7" s="356"/>
      <c r="BR7" s="356" t="s">
        <v>172</v>
      </c>
      <c r="BS7" s="356"/>
      <c r="BT7" s="356"/>
      <c r="BU7" s="356" t="s">
        <v>173</v>
      </c>
      <c r="BV7" s="356"/>
      <c r="BW7" s="356"/>
      <c r="BX7" s="356" t="s">
        <v>174</v>
      </c>
      <c r="BY7" s="356" t="s">
        <v>478</v>
      </c>
      <c r="BZ7" s="356"/>
      <c r="CA7" s="356"/>
      <c r="CB7" s="356">
        <v>3635</v>
      </c>
      <c r="CC7" s="356">
        <v>3631</v>
      </c>
      <c r="CD7" s="356"/>
      <c r="CE7" s="356"/>
      <c r="CF7" s="356" t="s">
        <v>175</v>
      </c>
      <c r="CG7" s="356"/>
      <c r="CH7" s="356"/>
      <c r="CI7" s="356" t="s">
        <v>176</v>
      </c>
      <c r="CJ7" s="356">
        <v>2310</v>
      </c>
      <c r="CK7" s="356"/>
      <c r="CL7" s="356"/>
      <c r="CM7" s="356" t="s">
        <v>177</v>
      </c>
      <c r="CN7" s="356"/>
      <c r="CO7" s="356"/>
      <c r="CP7" s="356" t="s">
        <v>178</v>
      </c>
      <c r="CQ7" s="356"/>
      <c r="CR7" s="356"/>
      <c r="CS7" s="356" t="s">
        <v>218</v>
      </c>
      <c r="CT7" s="356"/>
      <c r="CU7" s="356"/>
      <c r="CV7" s="356">
        <v>3633</v>
      </c>
      <c r="CW7" s="356"/>
      <c r="CX7" s="356"/>
      <c r="CY7" s="356">
        <v>1036</v>
      </c>
      <c r="CZ7" s="356">
        <v>3722</v>
      </c>
      <c r="DA7" s="356"/>
      <c r="DB7" s="356"/>
      <c r="DC7" s="356" t="s">
        <v>180</v>
      </c>
      <c r="DD7" s="356"/>
      <c r="DE7" s="356"/>
      <c r="DF7" s="356">
        <v>3729</v>
      </c>
      <c r="DG7" s="356"/>
      <c r="DH7" s="356"/>
      <c r="DI7" s="356">
        <v>3744</v>
      </c>
      <c r="DJ7" s="356">
        <v>3749</v>
      </c>
      <c r="DK7" s="356"/>
      <c r="DL7" s="356"/>
      <c r="DM7" s="356"/>
      <c r="DN7" s="356" t="s">
        <v>295</v>
      </c>
      <c r="DO7" s="356" t="s">
        <v>716</v>
      </c>
      <c r="DP7" s="356" t="s">
        <v>717</v>
      </c>
      <c r="DQ7" s="356" t="s">
        <v>1146</v>
      </c>
      <c r="DR7" s="356" t="s">
        <v>262</v>
      </c>
      <c r="DS7" s="356" t="s">
        <v>1108</v>
      </c>
      <c r="DT7" s="356" t="s">
        <v>648</v>
      </c>
      <c r="DU7" s="356" t="s">
        <v>181</v>
      </c>
      <c r="DV7" s="356"/>
      <c r="DW7" s="356"/>
      <c r="DX7" s="356" t="s">
        <v>182</v>
      </c>
      <c r="DY7" s="356" t="s">
        <v>183</v>
      </c>
      <c r="DZ7" s="359" t="s">
        <v>184</v>
      </c>
      <c r="EA7" s="109"/>
      <c r="EB7" s="337"/>
      <c r="EC7" s="338"/>
      <c r="ED7" s="360" t="s">
        <v>184</v>
      </c>
      <c r="EE7" s="338"/>
      <c r="EF7" s="360" t="s">
        <v>184</v>
      </c>
    </row>
    <row r="8" spans="1:143" ht="17.25" customHeight="1" outlineLevel="1" x14ac:dyDescent="0.25">
      <c r="A8" s="238">
        <v>5011</v>
      </c>
      <c r="B8" s="205" t="s">
        <v>64</v>
      </c>
      <c r="C8" s="361">
        <v>28253000</v>
      </c>
      <c r="D8" s="361">
        <v>28253000</v>
      </c>
      <c r="E8" s="361">
        <v>28483000</v>
      </c>
      <c r="F8" s="361">
        <v>28483000</v>
      </c>
      <c r="G8" s="361">
        <f>SUM(H8:Q8)+SUM(U8:AE8)+AH8+AK8+SUM(AN8:AQ8)+AT8+BC8+BI8+BL8+BO8+BR8+BU8+BX8+BY8+CB8+CC8+CF8+SUM(CI8:CJ8)+CS8+CV8+CY8+CZ8+DC8+DF8+DI8+DJ8+SUM(DN8:DZ8)+CM8+CP8+T8</f>
        <v>28483000</v>
      </c>
      <c r="H8" s="362"/>
      <c r="I8" s="363"/>
      <c r="J8" s="363"/>
      <c r="K8" s="363"/>
      <c r="L8" s="363"/>
      <c r="M8" s="363"/>
      <c r="N8" s="363">
        <f>+'[1] návrh RO 3. 2024'!$B$19</f>
        <v>0</v>
      </c>
      <c r="O8" s="363">
        <f>+'[1] návrh RO 3. 2024'!$B$18</f>
        <v>0</v>
      </c>
      <c r="P8" s="363">
        <f>+'[1] návrh RO 3. 2024'!$B$18</f>
        <v>0</v>
      </c>
      <c r="Q8" s="363">
        <f>+R8+S8</f>
        <v>18001000</v>
      </c>
      <c r="R8" s="364">
        <f>+'[1] návrh RO 3. 2024'!$B$3+'[1] návrh RO 3. 2024'!$B$13+'[1] návrh RO 3. 2024'!$B$14+'[1] návrh RO 3. 2024'!$B$16+'[1] návrh RO 3. 2024'!$B$17</f>
        <v>18001000</v>
      </c>
      <c r="S8" s="365"/>
      <c r="T8" s="363">
        <f>+'[1] návrh RO 3. 2024'!$B$15</f>
        <v>1923000</v>
      </c>
      <c r="U8" s="366"/>
      <c r="V8" s="363">
        <f>+'[1] návrh RO 3. 2024'!$B$6</f>
        <v>1700000</v>
      </c>
      <c r="W8" s="363"/>
      <c r="X8" s="363"/>
      <c r="Y8" s="363">
        <f>+'[1] návrh RO 3. 2024'!$B$4</f>
        <v>5349000</v>
      </c>
      <c r="Z8" s="363">
        <f>+'[1] návrh RO 3. 2024'!$B$7</f>
        <v>0</v>
      </c>
      <c r="AA8" s="363"/>
      <c r="AB8" s="363">
        <f>+'[1] návrh RO 3. 2024'!$B$8</f>
        <v>1510000</v>
      </c>
      <c r="AC8" s="363">
        <f>+'[1] návrh RO 3. 2024'!$B$9</f>
        <v>0</v>
      </c>
      <c r="AD8" s="363"/>
      <c r="AE8" s="363"/>
      <c r="AF8" s="364"/>
      <c r="AG8" s="364"/>
      <c r="AH8" s="363">
        <v>0</v>
      </c>
      <c r="AI8" s="364"/>
      <c r="AJ8" s="364"/>
      <c r="AK8" s="363"/>
      <c r="AL8" s="364"/>
      <c r="AM8" s="364"/>
      <c r="AN8" s="363">
        <f>+'[1] návrh RO 3. 2024'!$B$5</f>
        <v>0</v>
      </c>
      <c r="AO8" s="363"/>
      <c r="AP8" s="363"/>
      <c r="AQ8" s="363"/>
      <c r="AR8" s="364"/>
      <c r="AS8" s="364"/>
      <c r="AT8" s="363"/>
      <c r="AU8" s="364"/>
      <c r="AV8" s="364"/>
      <c r="AW8" s="363"/>
      <c r="AX8" s="364"/>
      <c r="AY8" s="364"/>
      <c r="AZ8" s="363"/>
      <c r="BA8" s="364"/>
      <c r="BB8" s="364"/>
      <c r="BC8" s="363"/>
      <c r="BD8" s="364"/>
      <c r="BE8" s="364"/>
      <c r="BF8" s="363">
        <v>0</v>
      </c>
      <c r="BG8" s="364"/>
      <c r="BH8" s="364"/>
      <c r="BI8" s="363">
        <v>0</v>
      </c>
      <c r="BJ8" s="364">
        <f>+'[1] návrh RO 3. 2024'!$B$12</f>
        <v>0</v>
      </c>
      <c r="BK8" s="364"/>
      <c r="BL8" s="363"/>
      <c r="BM8" s="364"/>
      <c r="BN8" s="364"/>
      <c r="BO8" s="363"/>
      <c r="BP8" s="364"/>
      <c r="BQ8" s="364"/>
      <c r="BR8" s="363"/>
      <c r="BS8" s="364"/>
      <c r="BT8" s="364"/>
      <c r="BU8" s="363"/>
      <c r="BV8" s="364"/>
      <c r="BW8" s="364"/>
      <c r="BX8" s="363"/>
      <c r="BY8" s="363"/>
      <c r="BZ8" s="364"/>
      <c r="CA8" s="364"/>
      <c r="CB8" s="363"/>
      <c r="CC8" s="363"/>
      <c r="CD8" s="364"/>
      <c r="CE8" s="364"/>
      <c r="CF8" s="363"/>
      <c r="CG8" s="364"/>
      <c r="CH8" s="364"/>
      <c r="CI8" s="363"/>
      <c r="CJ8" s="363"/>
      <c r="CK8" s="364"/>
      <c r="CL8" s="364"/>
      <c r="CM8" s="363"/>
      <c r="CN8" s="364"/>
      <c r="CO8" s="364"/>
      <c r="CP8" s="363"/>
      <c r="CQ8" s="364"/>
      <c r="CR8" s="364"/>
      <c r="CS8" s="363"/>
      <c r="CT8" s="364"/>
      <c r="CU8" s="364"/>
      <c r="CV8" s="363"/>
      <c r="CW8" s="364"/>
      <c r="CX8" s="364"/>
      <c r="CY8" s="363"/>
      <c r="CZ8" s="363"/>
      <c r="DA8" s="364"/>
      <c r="DB8" s="364"/>
      <c r="DC8" s="363"/>
      <c r="DD8" s="364"/>
      <c r="DE8" s="364"/>
      <c r="DF8" s="363"/>
      <c r="DG8" s="364"/>
      <c r="DH8" s="364"/>
      <c r="DI8" s="363"/>
      <c r="DJ8" s="363"/>
      <c r="DK8" s="364"/>
      <c r="DL8" s="364"/>
      <c r="DM8" s="364"/>
      <c r="DN8" s="363"/>
      <c r="DO8" s="363"/>
      <c r="DP8" s="363"/>
      <c r="DQ8" s="363"/>
      <c r="DR8" s="363"/>
      <c r="DS8" s="363"/>
      <c r="DT8" s="363"/>
      <c r="DU8" s="363"/>
      <c r="DV8" s="364"/>
      <c r="DW8" s="364"/>
      <c r="DX8" s="363"/>
      <c r="DY8" s="363"/>
      <c r="DZ8" s="367"/>
      <c r="EA8" s="190">
        <f t="shared" ref="EA8" si="0">+H8+I8+J8+L8+N8+O8+Q8+T8+U8+V8+X8+Y8+Z8+AB8+AC8+AD8+AE8+AH8+AK8+AN8+AO8+AP8+AQ8+AT8+BC8+BI8+BL8+BO8+BR8+BU8+BX8+BY8+CB8+CC8+CF8+CI8+CJ8+CM8+CP8+CS8+CV8+CY8+CZ8+DC8+DF8+DI8+DJ8+DN8+DO8+DP8+DQ8+DR8+DT8+DU8+DX8+DY8+DZ8+BF8+AZ8+AW8+AA8</f>
        <v>28483000</v>
      </c>
      <c r="EB8" s="337">
        <f t="shared" ref="EB8" si="1">EA8-G8</f>
        <v>0</v>
      </c>
      <c r="EC8" s="338"/>
      <c r="ED8" s="368">
        <f>+G8-EF8</f>
        <v>28483000</v>
      </c>
      <c r="EE8" s="338">
        <f>+EF8-U8</f>
        <v>0</v>
      </c>
      <c r="EF8" s="368">
        <f>+S8+AG8+AJ8++AM8+AS8+AV8+BE8+BK8+BN8+BQ8+BT8+BW8+CA8+CE8+CH8+CL8+CX8+DB8+DE8+DH8+DM8</f>
        <v>0</v>
      </c>
      <c r="EH8" s="322"/>
      <c r="EL8" s="322"/>
      <c r="EM8" s="322"/>
    </row>
    <row r="9" spans="1:143" ht="17.25" customHeight="1" outlineLevel="1" x14ac:dyDescent="0.25">
      <c r="A9" s="238">
        <v>5021</v>
      </c>
      <c r="B9" s="205" t="s">
        <v>65</v>
      </c>
      <c r="C9" s="369">
        <v>1822000</v>
      </c>
      <c r="D9" s="369">
        <v>1959000</v>
      </c>
      <c r="E9" s="369">
        <v>1959000</v>
      </c>
      <c r="F9" s="369">
        <v>1959000</v>
      </c>
      <c r="G9" s="369">
        <f t="shared" ref="G9:G14" si="2">SUM(H9:Q9)+SUM(U9:AE9)+AH9+AK9+SUM(AN9:AQ9)+AT9+BC9+BI9+BL9+BO9+BR9+BU9+BX9+BY9+CB9+CC9+CF9+SUM(CI9:CJ9)+CS9+CV9+CY9+CZ9+DC9+DF9+DI9+DJ9+SUM(DN9:DZ9)+CM9+CP9+T9</f>
        <v>2257237</v>
      </c>
      <c r="H9" s="234"/>
      <c r="I9" s="155"/>
      <c r="J9" s="155"/>
      <c r="K9" s="155"/>
      <c r="L9" s="155"/>
      <c r="M9" s="155"/>
      <c r="N9" s="155">
        <f>+'[1] návrh RO 3. 2024'!$C$19+'[1] návrh RO 3. 2024'!$D$23</f>
        <v>0</v>
      </c>
      <c r="O9" s="155">
        <f>+'[1] návrh RO 3. 2024'!$C$18+'[1] návrh RO 3. 2024'!$D$18+'[2]Volby_6115 '!$B$4</f>
        <v>164807</v>
      </c>
      <c r="P9" s="155">
        <f>+'[1] návrh RO 3. 2024'!$D$19</f>
        <v>133430</v>
      </c>
      <c r="Q9" s="155">
        <f t="shared" ref="Q9:Q15" si="3">+R9+S9</f>
        <v>1537000</v>
      </c>
      <c r="R9" s="370">
        <f>+'[1] návrh RO 3. 2024'!$C$3+'[1] návrh RO 3. 2024'!$D$3+'[1] návrh RO 3. 2024'!$C$13+'[1] návrh RO 3. 2024'!$C$14+'[1] návrh RO 3. 2024'!$D$13+'[1] návrh RO 3. 2024'!$D$14+'[1] návrh RO 3. 2024'!$C$16+'[1] návrh RO 3. 2024'!$C$17+'[1] návrh RO 3. 2024'!$D$16+'[1] návrh RO 3. 2024'!$D$17</f>
        <v>1537000</v>
      </c>
      <c r="S9" s="371"/>
      <c r="T9" s="155">
        <f>+'[1] návrh RO 3. 2024'!$C$15+'[1] návrh RO 3. 2024'!$D$15</f>
        <v>0</v>
      </c>
      <c r="U9" s="372"/>
      <c r="V9" s="155">
        <f>+'[1] návrh RO 3. 2024'!$C$6+'[1] návrh RO 3. 2024'!$D$6</f>
        <v>0</v>
      </c>
      <c r="W9" s="155"/>
      <c r="X9" s="155"/>
      <c r="Y9" s="155">
        <f>+'[1] návrh RO 3. 2024'!$C$4+'[1] návrh RO 3. 2024'!$D$4</f>
        <v>0</v>
      </c>
      <c r="Z9" s="155">
        <f>+'[1] návrh RO 3. 2024'!$C$7+'[1] návrh RO 3. 2024'!$D$7</f>
        <v>12000</v>
      </c>
      <c r="AA9" s="155"/>
      <c r="AB9" s="155">
        <f>+'[1] návrh RO 3. 2024'!$C$8+'[1] návrh RO 3. 2024'!$D$8</f>
        <v>50000</v>
      </c>
      <c r="AC9" s="155">
        <f>+'[1] návrh RO 3. 2024'!$C$9+'[1] návrh RO 3. 2024'!$D$9</f>
        <v>240000</v>
      </c>
      <c r="AD9" s="155"/>
      <c r="AE9" s="155"/>
      <c r="AF9" s="370"/>
      <c r="AG9" s="370"/>
      <c r="AH9" s="155">
        <v>0</v>
      </c>
      <c r="AI9" s="370"/>
      <c r="AJ9" s="370"/>
      <c r="AK9" s="155"/>
      <c r="AL9" s="370"/>
      <c r="AM9" s="370"/>
      <c r="AN9" s="155">
        <f>+'[1] návrh RO 3. 2024'!$C$5+'[1] návrh RO 3. 2024'!$D$5</f>
        <v>120000</v>
      </c>
      <c r="AO9" s="155"/>
      <c r="AP9" s="155"/>
      <c r="AQ9" s="155"/>
      <c r="AR9" s="370"/>
      <c r="AS9" s="370"/>
      <c r="AT9" s="155"/>
      <c r="AU9" s="370"/>
      <c r="AV9" s="370"/>
      <c r="AW9" s="155"/>
      <c r="AX9" s="370"/>
      <c r="AY9" s="370"/>
      <c r="AZ9" s="155"/>
      <c r="BA9" s="370"/>
      <c r="BB9" s="370"/>
      <c r="BC9" s="155"/>
      <c r="BD9" s="370"/>
      <c r="BE9" s="370"/>
      <c r="BF9" s="155">
        <v>0</v>
      </c>
      <c r="BG9" s="370"/>
      <c r="BH9" s="370"/>
      <c r="BI9" s="155">
        <v>0</v>
      </c>
      <c r="BJ9" s="370">
        <f>+'[1] návrh RO 3. 2024'!$C$12+'[1] návrh RO 3. 2024'!$D$12</f>
        <v>0</v>
      </c>
      <c r="BK9" s="370"/>
      <c r="BL9" s="155"/>
      <c r="BM9" s="370"/>
      <c r="BN9" s="370"/>
      <c r="BO9" s="155"/>
      <c r="BP9" s="370"/>
      <c r="BQ9" s="370"/>
      <c r="BR9" s="155"/>
      <c r="BS9" s="370"/>
      <c r="BT9" s="370"/>
      <c r="BU9" s="155"/>
      <c r="BV9" s="370"/>
      <c r="BW9" s="370"/>
      <c r="BX9" s="155"/>
      <c r="BY9" s="155"/>
      <c r="BZ9" s="370"/>
      <c r="CA9" s="370"/>
      <c r="CB9" s="155"/>
      <c r="CC9" s="155"/>
      <c r="CD9" s="370"/>
      <c r="CE9" s="370"/>
      <c r="CF9" s="155"/>
      <c r="CG9" s="370"/>
      <c r="CH9" s="370"/>
      <c r="CI9" s="155"/>
      <c r="CJ9" s="155"/>
      <c r="CK9" s="370"/>
      <c r="CL9" s="370"/>
      <c r="CM9" s="155"/>
      <c r="CN9" s="370"/>
      <c r="CO9" s="370"/>
      <c r="CP9" s="155"/>
      <c r="CQ9" s="370"/>
      <c r="CR9" s="370"/>
      <c r="CS9" s="155"/>
      <c r="CT9" s="370"/>
      <c r="CU9" s="370"/>
      <c r="CV9" s="155"/>
      <c r="CW9" s="370"/>
      <c r="CX9" s="370"/>
      <c r="CY9" s="155"/>
      <c r="CZ9" s="155"/>
      <c r="DA9" s="370"/>
      <c r="DB9" s="370"/>
      <c r="DC9" s="155"/>
      <c r="DD9" s="370"/>
      <c r="DE9" s="370"/>
      <c r="DF9" s="155"/>
      <c r="DG9" s="370"/>
      <c r="DH9" s="370"/>
      <c r="DI9" s="155"/>
      <c r="DJ9" s="155"/>
      <c r="DK9" s="370"/>
      <c r="DL9" s="370"/>
      <c r="DM9" s="370"/>
      <c r="DN9" s="155"/>
      <c r="DO9" s="155"/>
      <c r="DP9" s="155"/>
      <c r="DQ9" s="155"/>
      <c r="DR9" s="155"/>
      <c r="DS9" s="155"/>
      <c r="DT9" s="155"/>
      <c r="DU9" s="155"/>
      <c r="DV9" s="370"/>
      <c r="DW9" s="370"/>
      <c r="DX9" s="155"/>
      <c r="DY9" s="155"/>
      <c r="DZ9" s="373"/>
      <c r="EA9" s="190">
        <f t="shared" ref="EA9:EA15" si="4">+H9+I9+J9+L9+N9+O9+Q9+T9+U9+V9+X9+Y9+Z9+AB9+AC9+AD9+AE9+AH9+AK9+AN9+AO9+AP9+AQ9+AT9+BC9+BI9+BL9+BO9+BR9+BU9+BX9+BY9+CB9+CC9+CF9+CI9+CJ9+CM9+CP9+CS9+CV9+CY9+CZ9+DC9+DF9+DI9+DJ9+DN9+DO9+DP9+DQ9+DR9+DT9+DU9+DX9+DY9+DZ9+BF9+AZ9+AW9+AA9</f>
        <v>2123807</v>
      </c>
      <c r="EB9" s="337">
        <f t="shared" ref="EB9:EB15" si="5">EA9-G9</f>
        <v>-133430</v>
      </c>
      <c r="EC9" s="338"/>
      <c r="ED9" s="369">
        <f t="shared" ref="ED9:ED15" si="6">+G9-EF9</f>
        <v>2257237</v>
      </c>
      <c r="EE9" s="338">
        <f t="shared" ref="EE9:EE72" si="7">+EF9-U9</f>
        <v>0</v>
      </c>
      <c r="EF9" s="369">
        <f t="shared" ref="EF9:EF15" si="8">+S9+AG9+AJ9++AM9+AS9+AV9+BE9+BK9+BN9+BQ9+BT9+BW9+CA9+CE9+CH9+CL9+CX9+DB9+DE9+DH9+DM9</f>
        <v>0</v>
      </c>
      <c r="EH9" s="322"/>
      <c r="EL9" s="322"/>
      <c r="EM9" s="322"/>
    </row>
    <row r="10" spans="1:143" ht="17.25" customHeight="1" outlineLevel="1" x14ac:dyDescent="0.25">
      <c r="A10" s="238">
        <v>5023</v>
      </c>
      <c r="B10" s="205" t="s">
        <v>477</v>
      </c>
      <c r="C10" s="369">
        <v>3030000</v>
      </c>
      <c r="D10" s="369">
        <v>3310000</v>
      </c>
      <c r="E10" s="369">
        <v>3310000</v>
      </c>
      <c r="F10" s="369">
        <v>3310000</v>
      </c>
      <c r="G10" s="369">
        <f t="shared" si="2"/>
        <v>3310000</v>
      </c>
      <c r="H10" s="234" t="s">
        <v>581</v>
      </c>
      <c r="I10" s="155"/>
      <c r="J10" s="155"/>
      <c r="K10" s="155"/>
      <c r="L10" s="155"/>
      <c r="M10" s="155"/>
      <c r="N10" s="155">
        <f>+'[1] návrh RO 3. 2024'!$E$20</f>
        <v>3310000</v>
      </c>
      <c r="O10" s="155">
        <f>+'[1] návrh RO 3. 2024'!$E$18</f>
        <v>0</v>
      </c>
      <c r="P10" s="155">
        <f>+'[1] návrh RO 3. 2024'!$E$18</f>
        <v>0</v>
      </c>
      <c r="Q10" s="155">
        <f t="shared" si="3"/>
        <v>0</v>
      </c>
      <c r="R10" s="370">
        <f>+'[1] návrh RO 3. 2024'!$E$16+'[1] návrh RO 3. 2024'!$E$17+'[1] návrh RO 3. 2024'!$E$13+'[1] návrh RO 3. 2024'!$E$14+'[1] návrh RO 3. 2024'!$E$3</f>
        <v>0</v>
      </c>
      <c r="S10" s="371"/>
      <c r="T10" s="155">
        <f>+'[1] návrh RO 3. 2024'!$E$15</f>
        <v>0</v>
      </c>
      <c r="U10" s="372"/>
      <c r="V10" s="363">
        <f>+'[1] návrh RO 3. 2024'!$E$6</f>
        <v>0</v>
      </c>
      <c r="W10" s="363"/>
      <c r="X10" s="155"/>
      <c r="Y10" s="363">
        <f>+'[1] návrh RO 3. 2024'!$E$4</f>
        <v>0</v>
      </c>
      <c r="Z10" s="363">
        <f>+'[1] návrh RO 3. 2024'!$E$7</f>
        <v>0</v>
      </c>
      <c r="AA10" s="363"/>
      <c r="AB10" s="363">
        <f>+'[1] návrh RO 3. 2024'!$E$8</f>
        <v>0</v>
      </c>
      <c r="AC10" s="363">
        <f>+'[1] návrh RO 3. 2024'!$E$9</f>
        <v>0</v>
      </c>
      <c r="AD10" s="155"/>
      <c r="AE10" s="155"/>
      <c r="AF10" s="370"/>
      <c r="AG10" s="370"/>
      <c r="AH10" s="363">
        <v>0</v>
      </c>
      <c r="AI10" s="370"/>
      <c r="AJ10" s="370"/>
      <c r="AK10" s="155"/>
      <c r="AL10" s="370"/>
      <c r="AM10" s="370"/>
      <c r="AN10" s="363">
        <f>+'[1] návrh RO 3. 2024'!$E$5</f>
        <v>0</v>
      </c>
      <c r="AO10" s="155"/>
      <c r="AP10" s="155"/>
      <c r="AQ10" s="155"/>
      <c r="AR10" s="370"/>
      <c r="AS10" s="370"/>
      <c r="AT10" s="155"/>
      <c r="AU10" s="370"/>
      <c r="AV10" s="370"/>
      <c r="AW10" s="155"/>
      <c r="AX10" s="370"/>
      <c r="AY10" s="370"/>
      <c r="AZ10" s="155"/>
      <c r="BA10" s="370"/>
      <c r="BB10" s="370"/>
      <c r="BC10" s="155"/>
      <c r="BD10" s="370"/>
      <c r="BE10" s="370"/>
      <c r="BF10" s="363">
        <v>0</v>
      </c>
      <c r="BG10" s="370"/>
      <c r="BH10" s="370"/>
      <c r="BI10" s="363">
        <v>0</v>
      </c>
      <c r="BJ10" s="370">
        <f>+'[1] návrh RO 3. 2024'!$E$12</f>
        <v>0</v>
      </c>
      <c r="BK10" s="370"/>
      <c r="BL10" s="155"/>
      <c r="BM10" s="370"/>
      <c r="BN10" s="370"/>
      <c r="BO10" s="155"/>
      <c r="BP10" s="370"/>
      <c r="BQ10" s="370"/>
      <c r="BR10" s="155"/>
      <c r="BS10" s="370"/>
      <c r="BT10" s="370"/>
      <c r="BU10" s="155"/>
      <c r="BV10" s="370"/>
      <c r="BW10" s="370"/>
      <c r="BX10" s="155"/>
      <c r="BY10" s="155"/>
      <c r="BZ10" s="370"/>
      <c r="CA10" s="370"/>
      <c r="CB10" s="155"/>
      <c r="CC10" s="155"/>
      <c r="CD10" s="370"/>
      <c r="CE10" s="370"/>
      <c r="CF10" s="155"/>
      <c r="CG10" s="370"/>
      <c r="CH10" s="370"/>
      <c r="CI10" s="155"/>
      <c r="CJ10" s="155"/>
      <c r="CK10" s="370"/>
      <c r="CL10" s="370"/>
      <c r="CM10" s="155"/>
      <c r="CN10" s="370"/>
      <c r="CO10" s="370"/>
      <c r="CP10" s="155"/>
      <c r="CQ10" s="370"/>
      <c r="CR10" s="370"/>
      <c r="CS10" s="155"/>
      <c r="CT10" s="370"/>
      <c r="CU10" s="370"/>
      <c r="CV10" s="155"/>
      <c r="CW10" s="370"/>
      <c r="CX10" s="370"/>
      <c r="CY10" s="155"/>
      <c r="CZ10" s="155"/>
      <c r="DA10" s="370"/>
      <c r="DB10" s="370"/>
      <c r="DC10" s="155"/>
      <c r="DD10" s="370"/>
      <c r="DE10" s="370"/>
      <c r="DF10" s="155"/>
      <c r="DG10" s="370"/>
      <c r="DH10" s="370"/>
      <c r="DI10" s="155"/>
      <c r="DJ10" s="155"/>
      <c r="DK10" s="370"/>
      <c r="DL10" s="370"/>
      <c r="DM10" s="370"/>
      <c r="DN10" s="155"/>
      <c r="DO10" s="155"/>
      <c r="DP10" s="155"/>
      <c r="DQ10" s="155"/>
      <c r="DR10" s="155"/>
      <c r="DS10" s="155"/>
      <c r="DT10" s="155"/>
      <c r="DU10" s="155"/>
      <c r="DV10" s="370"/>
      <c r="DW10" s="370"/>
      <c r="DX10" s="155"/>
      <c r="DY10" s="155"/>
      <c r="DZ10" s="373"/>
      <c r="EA10" s="190">
        <f>+N10</f>
        <v>3310000</v>
      </c>
      <c r="EB10" s="337">
        <f t="shared" si="5"/>
        <v>0</v>
      </c>
      <c r="EC10" s="338"/>
      <c r="ED10" s="369">
        <f t="shared" si="6"/>
        <v>3310000</v>
      </c>
      <c r="EE10" s="338">
        <f t="shared" si="7"/>
        <v>0</v>
      </c>
      <c r="EF10" s="369">
        <f t="shared" si="8"/>
        <v>0</v>
      </c>
      <c r="EH10" s="322"/>
      <c r="EL10" s="322"/>
      <c r="EM10" s="322"/>
    </row>
    <row r="11" spans="1:143" ht="17.25" customHeight="1" outlineLevel="1" x14ac:dyDescent="0.25">
      <c r="A11" s="238">
        <v>5024</v>
      </c>
      <c r="B11" s="205" t="s">
        <v>733</v>
      </c>
      <c r="C11" s="369">
        <v>0</v>
      </c>
      <c r="D11" s="369">
        <v>0</v>
      </c>
      <c r="E11" s="369">
        <v>0</v>
      </c>
      <c r="F11" s="369">
        <v>94000</v>
      </c>
      <c r="G11" s="369">
        <f t="shared" si="2"/>
        <v>94000</v>
      </c>
      <c r="H11" s="234"/>
      <c r="I11" s="155"/>
      <c r="J11" s="155"/>
      <c r="K11" s="155"/>
      <c r="L11" s="155"/>
      <c r="M11" s="155"/>
      <c r="N11" s="155">
        <f>+'[1] návrh RO 3. 2024'!$F$20</f>
        <v>94000</v>
      </c>
      <c r="O11" s="155">
        <f>+'[1] návrh RO 3. 2024'!$F$18</f>
        <v>0</v>
      </c>
      <c r="P11" s="155">
        <f>+'[1] návrh RO 3. 2024'!$F$18</f>
        <v>0</v>
      </c>
      <c r="Q11" s="155">
        <f t="shared" si="3"/>
        <v>0</v>
      </c>
      <c r="R11" s="370">
        <f>+'[1] návrh RO 3. 2024'!$F$3+'[1] návrh RO 3. 2024'!$F$13+'[1] návrh RO 3. 2024'!$F$14+'[1] návrh RO 3. 2024'!$F$16+'[1] návrh RO 3. 2024'!$F$17</f>
        <v>0</v>
      </c>
      <c r="S11" s="371"/>
      <c r="T11" s="155">
        <f>+'[1] návrh RO 3. 2024'!$F$15</f>
        <v>0</v>
      </c>
      <c r="U11" s="372"/>
      <c r="V11" s="363">
        <f>+'[1] návrh RO 3. 2024'!$F$6</f>
        <v>0</v>
      </c>
      <c r="W11" s="363"/>
      <c r="X11" s="155"/>
      <c r="Y11" s="363">
        <f>+'[1] návrh RO 3. 2024'!$F$4</f>
        <v>0</v>
      </c>
      <c r="Z11" s="363">
        <f>+'[1] návrh RO 3. 2024'!$F$7</f>
        <v>0</v>
      </c>
      <c r="AA11" s="363"/>
      <c r="AB11" s="363">
        <f>+'[1] návrh RO 3. 2024'!$F$8</f>
        <v>0</v>
      </c>
      <c r="AC11" s="363">
        <f>+'[1] návrh RO 3. 2024'!$F$9</f>
        <v>0</v>
      </c>
      <c r="AD11" s="155"/>
      <c r="AE11" s="155"/>
      <c r="AF11" s="370"/>
      <c r="AG11" s="370"/>
      <c r="AH11" s="363">
        <v>0</v>
      </c>
      <c r="AI11" s="370"/>
      <c r="AJ11" s="370"/>
      <c r="AK11" s="155"/>
      <c r="AL11" s="370"/>
      <c r="AM11" s="370"/>
      <c r="AN11" s="363">
        <f>+'[1] návrh RO 3. 2024'!$F$5</f>
        <v>0</v>
      </c>
      <c r="AO11" s="155"/>
      <c r="AP11" s="155"/>
      <c r="AQ11" s="155"/>
      <c r="AR11" s="370"/>
      <c r="AS11" s="370"/>
      <c r="AT11" s="155"/>
      <c r="AU11" s="370"/>
      <c r="AV11" s="370"/>
      <c r="AW11" s="155"/>
      <c r="AX11" s="370"/>
      <c r="AY11" s="370"/>
      <c r="AZ11" s="155"/>
      <c r="BA11" s="370"/>
      <c r="BB11" s="370"/>
      <c r="BC11" s="155"/>
      <c r="BD11" s="370"/>
      <c r="BE11" s="370"/>
      <c r="BF11" s="363">
        <v>0</v>
      </c>
      <c r="BG11" s="370"/>
      <c r="BH11" s="370"/>
      <c r="BI11" s="363">
        <v>0</v>
      </c>
      <c r="BJ11" s="370">
        <f>+'[1] návrh RO 3. 2024'!$F$12</f>
        <v>0</v>
      </c>
      <c r="BK11" s="370"/>
      <c r="BL11" s="155"/>
      <c r="BM11" s="370"/>
      <c r="BN11" s="370"/>
      <c r="BO11" s="155"/>
      <c r="BP11" s="370"/>
      <c r="BQ11" s="370"/>
      <c r="BR11" s="155"/>
      <c r="BS11" s="370"/>
      <c r="BT11" s="370"/>
      <c r="BU11" s="155"/>
      <c r="BV11" s="370"/>
      <c r="BW11" s="370"/>
      <c r="BX11" s="155"/>
      <c r="BY11" s="155"/>
      <c r="BZ11" s="370"/>
      <c r="CA11" s="370"/>
      <c r="CB11" s="155"/>
      <c r="CC11" s="155"/>
      <c r="CD11" s="370"/>
      <c r="CE11" s="370"/>
      <c r="CF11" s="155"/>
      <c r="CG11" s="370"/>
      <c r="CH11" s="370"/>
      <c r="CI11" s="155"/>
      <c r="CJ11" s="155"/>
      <c r="CK11" s="370"/>
      <c r="CL11" s="370"/>
      <c r="CM11" s="155"/>
      <c r="CN11" s="370"/>
      <c r="CO11" s="370"/>
      <c r="CP11" s="155"/>
      <c r="CQ11" s="370"/>
      <c r="CR11" s="370"/>
      <c r="CS11" s="155"/>
      <c r="CT11" s="370"/>
      <c r="CU11" s="370"/>
      <c r="CV11" s="155"/>
      <c r="CW11" s="370"/>
      <c r="CX11" s="370"/>
      <c r="CY11" s="155"/>
      <c r="CZ11" s="155"/>
      <c r="DA11" s="370"/>
      <c r="DB11" s="370"/>
      <c r="DC11" s="155"/>
      <c r="DD11" s="370"/>
      <c r="DE11" s="370"/>
      <c r="DF11" s="155"/>
      <c r="DG11" s="370"/>
      <c r="DH11" s="370"/>
      <c r="DI11" s="155"/>
      <c r="DJ11" s="155"/>
      <c r="DK11" s="370"/>
      <c r="DL11" s="370"/>
      <c r="DM11" s="370"/>
      <c r="DN11" s="155"/>
      <c r="DO11" s="155"/>
      <c r="DP11" s="155"/>
      <c r="DQ11" s="155"/>
      <c r="DR11" s="155"/>
      <c r="DS11" s="155"/>
      <c r="DT11" s="155"/>
      <c r="DU11" s="155"/>
      <c r="DV11" s="370"/>
      <c r="DW11" s="370"/>
      <c r="DX11" s="155"/>
      <c r="DY11" s="155"/>
      <c r="DZ11" s="373"/>
      <c r="EA11" s="190">
        <f t="shared" si="4"/>
        <v>94000</v>
      </c>
      <c r="EB11" s="337">
        <f t="shared" si="5"/>
        <v>0</v>
      </c>
      <c r="EC11" s="338"/>
      <c r="ED11" s="369">
        <f t="shared" si="6"/>
        <v>94000</v>
      </c>
      <c r="EE11" s="338">
        <f t="shared" si="7"/>
        <v>0</v>
      </c>
      <c r="EF11" s="369">
        <f t="shared" si="8"/>
        <v>0</v>
      </c>
      <c r="EH11" s="322"/>
      <c r="EL11" s="322"/>
      <c r="EM11" s="322"/>
    </row>
    <row r="12" spans="1:143" ht="17.25" customHeight="1" outlineLevel="1" x14ac:dyDescent="0.25">
      <c r="A12" s="238">
        <v>5029</v>
      </c>
      <c r="B12" s="205" t="s">
        <v>66</v>
      </c>
      <c r="C12" s="369">
        <v>30000</v>
      </c>
      <c r="D12" s="369">
        <v>30000</v>
      </c>
      <c r="E12" s="369">
        <v>30000</v>
      </c>
      <c r="F12" s="369">
        <v>30000</v>
      </c>
      <c r="G12" s="369">
        <f>SUM(H12:Q12)+SUM(U12:AE12)+AH12+AK12+SUM(AN12:AQ12)+AT12+BC12+BI12+BL12+BO12+BR12+BU12+BX12+BY12+CB12+CC12+CF12+SUM(CI12:CJ12)+CS12+CV12+CY12+CZ12+DC12+DF12+DI12+DJ12+SUM(DN12:DZ12)+CM12+CP12+T12</f>
        <v>30000</v>
      </c>
      <c r="H12" s="234"/>
      <c r="I12" s="155"/>
      <c r="J12" s="155"/>
      <c r="K12" s="155"/>
      <c r="L12" s="155"/>
      <c r="M12" s="155"/>
      <c r="N12" s="155">
        <f>+'[1] návrh RO 3. 2024'!$G$19</f>
        <v>0</v>
      </c>
      <c r="O12" s="155">
        <f>+'[1] návrh RO 3. 2024'!$G$18</f>
        <v>0</v>
      </c>
      <c r="P12" s="155">
        <f>+'[1] návrh RO 3. 2024'!$G$18</f>
        <v>0</v>
      </c>
      <c r="Q12" s="155">
        <f t="shared" si="3"/>
        <v>0</v>
      </c>
      <c r="R12" s="370">
        <f>+'[1] návrh RO 3. 2024'!$G$3+'[1] návrh RO 3. 2024'!$G$13+'[1] návrh RO 3. 2024'!$G$14+'[1] návrh RO 3. 2024'!$G$16+'[1] návrh RO 3. 2024'!$G$17</f>
        <v>0</v>
      </c>
      <c r="S12" s="371"/>
      <c r="T12" s="155">
        <f>+'[1] návrh RO 3. 2024'!$G$15</f>
        <v>0</v>
      </c>
      <c r="U12" s="372"/>
      <c r="V12" s="363">
        <f>+'[1] návrh RO 3. 2024'!$G$6</f>
        <v>0</v>
      </c>
      <c r="W12" s="363"/>
      <c r="X12" s="155"/>
      <c r="Y12" s="363">
        <f>+'[1] návrh RO 3. 2024'!$G$4</f>
        <v>0</v>
      </c>
      <c r="Z12" s="363">
        <f>+'[1] návrh RO 3. 2024'!$G$7</f>
        <v>0</v>
      </c>
      <c r="AA12" s="363"/>
      <c r="AB12" s="363">
        <f>+'[1] návrh RO 3. 2024'!$G$8</f>
        <v>0</v>
      </c>
      <c r="AC12" s="363">
        <f>+'[1] návrh RO 3. 2024'!$G$9</f>
        <v>0</v>
      </c>
      <c r="AD12" s="155"/>
      <c r="AE12" s="155"/>
      <c r="AF12" s="370"/>
      <c r="AG12" s="370"/>
      <c r="AH12" s="363">
        <v>0</v>
      </c>
      <c r="AI12" s="370"/>
      <c r="AJ12" s="370"/>
      <c r="AK12" s="155"/>
      <c r="AL12" s="370"/>
      <c r="AM12" s="370"/>
      <c r="AN12" s="363">
        <f>+'[1] návrh RO 3. 2024'!$G$5</f>
        <v>30000</v>
      </c>
      <c r="AO12" s="155"/>
      <c r="AP12" s="155"/>
      <c r="AQ12" s="155"/>
      <c r="AR12" s="370"/>
      <c r="AS12" s="370"/>
      <c r="AT12" s="155"/>
      <c r="AU12" s="370"/>
      <c r="AV12" s="370"/>
      <c r="AW12" s="155"/>
      <c r="AX12" s="370"/>
      <c r="AY12" s="370"/>
      <c r="AZ12" s="155"/>
      <c r="BA12" s="370"/>
      <c r="BB12" s="370"/>
      <c r="BC12" s="155"/>
      <c r="BD12" s="370"/>
      <c r="BE12" s="370"/>
      <c r="BF12" s="363">
        <v>0</v>
      </c>
      <c r="BG12" s="370"/>
      <c r="BH12" s="370"/>
      <c r="BI12" s="363">
        <v>0</v>
      </c>
      <c r="BJ12" s="370">
        <f>+'[1] návrh RO 3. 2024'!$G$12</f>
        <v>0</v>
      </c>
      <c r="BK12" s="370"/>
      <c r="BL12" s="155"/>
      <c r="BM12" s="370"/>
      <c r="BN12" s="370"/>
      <c r="BO12" s="155"/>
      <c r="BP12" s="370"/>
      <c r="BQ12" s="370"/>
      <c r="BR12" s="155"/>
      <c r="BS12" s="370"/>
      <c r="BT12" s="370"/>
      <c r="BU12" s="155"/>
      <c r="BV12" s="370"/>
      <c r="BW12" s="370"/>
      <c r="BX12" s="155"/>
      <c r="BY12" s="155"/>
      <c r="BZ12" s="370"/>
      <c r="CA12" s="370"/>
      <c r="CB12" s="155"/>
      <c r="CC12" s="155"/>
      <c r="CD12" s="370"/>
      <c r="CE12" s="370"/>
      <c r="CF12" s="155"/>
      <c r="CG12" s="370"/>
      <c r="CH12" s="370"/>
      <c r="CI12" s="155"/>
      <c r="CJ12" s="155"/>
      <c r="CK12" s="370"/>
      <c r="CL12" s="370"/>
      <c r="CM12" s="155"/>
      <c r="CN12" s="370"/>
      <c r="CO12" s="370"/>
      <c r="CP12" s="155"/>
      <c r="CQ12" s="370"/>
      <c r="CR12" s="370"/>
      <c r="CS12" s="155"/>
      <c r="CT12" s="370"/>
      <c r="CU12" s="370"/>
      <c r="CV12" s="155"/>
      <c r="CW12" s="370"/>
      <c r="CX12" s="370"/>
      <c r="CY12" s="155"/>
      <c r="CZ12" s="155"/>
      <c r="DA12" s="370"/>
      <c r="DB12" s="370"/>
      <c r="DC12" s="155"/>
      <c r="DD12" s="370"/>
      <c r="DE12" s="370"/>
      <c r="DF12" s="155"/>
      <c r="DG12" s="370"/>
      <c r="DH12" s="370"/>
      <c r="DI12" s="155"/>
      <c r="DJ12" s="155"/>
      <c r="DK12" s="370"/>
      <c r="DL12" s="370"/>
      <c r="DM12" s="370"/>
      <c r="DN12" s="155"/>
      <c r="DO12" s="155"/>
      <c r="DP12" s="155"/>
      <c r="DQ12" s="155"/>
      <c r="DR12" s="155"/>
      <c r="DS12" s="155"/>
      <c r="DT12" s="155"/>
      <c r="DU12" s="155"/>
      <c r="DV12" s="370"/>
      <c r="DW12" s="370"/>
      <c r="DX12" s="155"/>
      <c r="DY12" s="155"/>
      <c r="DZ12" s="373"/>
      <c r="EA12" s="190">
        <f t="shared" si="4"/>
        <v>30000</v>
      </c>
      <c r="EB12" s="337">
        <f t="shared" si="5"/>
        <v>0</v>
      </c>
      <c r="EC12" s="338"/>
      <c r="ED12" s="369">
        <f t="shared" si="6"/>
        <v>30000</v>
      </c>
      <c r="EE12" s="338">
        <f t="shared" si="7"/>
        <v>0</v>
      </c>
      <c r="EF12" s="369">
        <f t="shared" si="8"/>
        <v>0</v>
      </c>
      <c r="EH12" s="322"/>
      <c r="EL12" s="322"/>
      <c r="EM12" s="322"/>
    </row>
    <row r="13" spans="1:143" ht="17.25" customHeight="1" outlineLevel="1" x14ac:dyDescent="0.25">
      <c r="A13" s="238">
        <v>5031</v>
      </c>
      <c r="B13" s="205" t="s">
        <v>67</v>
      </c>
      <c r="C13" s="369">
        <v>8185750</v>
      </c>
      <c r="D13" s="369">
        <v>8285750</v>
      </c>
      <c r="E13" s="369">
        <v>8343250</v>
      </c>
      <c r="F13" s="369">
        <v>8343250</v>
      </c>
      <c r="G13" s="369">
        <f t="shared" si="2"/>
        <v>8365320</v>
      </c>
      <c r="H13" s="234"/>
      <c r="I13" s="155"/>
      <c r="J13" s="155"/>
      <c r="K13" s="155"/>
      <c r="L13" s="155"/>
      <c r="M13" s="155"/>
      <c r="N13" s="155">
        <f>+'[1] návrh RO 3. 2024'!$H$20</f>
        <v>827500</v>
      </c>
      <c r="O13" s="155">
        <f>+'[1] návrh RO 3. 2024'!$H$18</f>
        <v>13837</v>
      </c>
      <c r="P13" s="155">
        <f>+'[1] návrh RO 3. 2024'!$H$19</f>
        <v>8233</v>
      </c>
      <c r="Q13" s="155">
        <f t="shared" si="3"/>
        <v>4862250</v>
      </c>
      <c r="R13" s="370">
        <f>+'[1] návrh RO 3. 2024'!$H$3+'[1] návrh RO 3. 2024'!$H$13+'[1] návrh RO 3. 2024'!$H$14+'[1] návrh RO 3. 2024'!$H$16+'[1] návrh RO 3. 2024'!$H$17</f>
        <v>4862250</v>
      </c>
      <c r="S13" s="371"/>
      <c r="T13" s="155">
        <f>+'[1] návrh RO 3. 2024'!$H$15</f>
        <v>480750</v>
      </c>
      <c r="U13" s="372"/>
      <c r="V13" s="363">
        <f>+'[1] návrh RO 3. 2024'!$H$6</f>
        <v>425000</v>
      </c>
      <c r="W13" s="363"/>
      <c r="X13" s="155"/>
      <c r="Y13" s="363">
        <f>+'[1] návrh RO 3. 2024'!$H$4</f>
        <v>1337250</v>
      </c>
      <c r="Z13" s="363">
        <f>+'[1] návrh RO 3. 2024'!$H$7</f>
        <v>3000</v>
      </c>
      <c r="AA13" s="363"/>
      <c r="AB13" s="363">
        <f>+'[1] návrh RO 3. 2024'!$H$8</f>
        <v>377500</v>
      </c>
      <c r="AC13" s="363">
        <f>+'[1] návrh RO 3. 2024'!$H$9</f>
        <v>0</v>
      </c>
      <c r="AD13" s="155"/>
      <c r="AE13" s="155"/>
      <c r="AF13" s="370"/>
      <c r="AG13" s="370"/>
      <c r="AH13" s="363">
        <v>0</v>
      </c>
      <c r="AI13" s="370"/>
      <c r="AJ13" s="370"/>
      <c r="AK13" s="155"/>
      <c r="AL13" s="370"/>
      <c r="AM13" s="370"/>
      <c r="AN13" s="363">
        <f>+'[1] návrh RO 3. 2024'!$H$5</f>
        <v>30000</v>
      </c>
      <c r="AO13" s="155"/>
      <c r="AP13" s="155"/>
      <c r="AQ13" s="155"/>
      <c r="AR13" s="370"/>
      <c r="AS13" s="370"/>
      <c r="AT13" s="155"/>
      <c r="AU13" s="370"/>
      <c r="AV13" s="370"/>
      <c r="AW13" s="155"/>
      <c r="AX13" s="370"/>
      <c r="AY13" s="370"/>
      <c r="AZ13" s="155"/>
      <c r="BA13" s="370"/>
      <c r="BB13" s="370"/>
      <c r="BC13" s="155"/>
      <c r="BD13" s="370"/>
      <c r="BE13" s="370"/>
      <c r="BF13" s="363">
        <v>0</v>
      </c>
      <c r="BG13" s="370"/>
      <c r="BH13" s="370"/>
      <c r="BI13" s="363">
        <v>0</v>
      </c>
      <c r="BJ13" s="370">
        <f>+'[1] návrh RO 3. 2024'!$H$12</f>
        <v>0</v>
      </c>
      <c r="BK13" s="370"/>
      <c r="BL13" s="155"/>
      <c r="BM13" s="370"/>
      <c r="BN13" s="370"/>
      <c r="BO13" s="155"/>
      <c r="BP13" s="370"/>
      <c r="BQ13" s="370"/>
      <c r="BR13" s="155"/>
      <c r="BS13" s="370"/>
      <c r="BT13" s="370"/>
      <c r="BU13" s="155"/>
      <c r="BV13" s="370"/>
      <c r="BW13" s="370"/>
      <c r="BX13" s="155"/>
      <c r="BY13" s="155"/>
      <c r="BZ13" s="370"/>
      <c r="CA13" s="370"/>
      <c r="CB13" s="155"/>
      <c r="CC13" s="155"/>
      <c r="CD13" s="370"/>
      <c r="CE13" s="370"/>
      <c r="CF13" s="155"/>
      <c r="CG13" s="370"/>
      <c r="CH13" s="370"/>
      <c r="CI13" s="155"/>
      <c r="CJ13" s="155"/>
      <c r="CK13" s="370"/>
      <c r="CL13" s="370"/>
      <c r="CM13" s="155"/>
      <c r="CN13" s="370"/>
      <c r="CO13" s="370"/>
      <c r="CP13" s="155"/>
      <c r="CQ13" s="370"/>
      <c r="CR13" s="370"/>
      <c r="CS13" s="155"/>
      <c r="CT13" s="370"/>
      <c r="CU13" s="370"/>
      <c r="CV13" s="155"/>
      <c r="CW13" s="370"/>
      <c r="CX13" s="370"/>
      <c r="CY13" s="155"/>
      <c r="CZ13" s="155"/>
      <c r="DA13" s="370"/>
      <c r="DB13" s="370"/>
      <c r="DC13" s="155"/>
      <c r="DD13" s="370"/>
      <c r="DE13" s="370"/>
      <c r="DF13" s="155"/>
      <c r="DG13" s="370"/>
      <c r="DH13" s="370"/>
      <c r="DI13" s="155"/>
      <c r="DJ13" s="155"/>
      <c r="DK13" s="370"/>
      <c r="DL13" s="370"/>
      <c r="DM13" s="370"/>
      <c r="DN13" s="155"/>
      <c r="DO13" s="155"/>
      <c r="DP13" s="155"/>
      <c r="DQ13" s="155"/>
      <c r="DR13" s="155"/>
      <c r="DS13" s="155"/>
      <c r="DT13" s="155"/>
      <c r="DU13" s="155"/>
      <c r="DV13" s="370"/>
      <c r="DW13" s="370"/>
      <c r="DX13" s="155"/>
      <c r="DY13" s="155"/>
      <c r="DZ13" s="373"/>
      <c r="EA13" s="190">
        <f t="shared" si="4"/>
        <v>8357087</v>
      </c>
      <c r="EB13" s="337">
        <f t="shared" si="5"/>
        <v>-8233</v>
      </c>
      <c r="EC13" s="338"/>
      <c r="ED13" s="369">
        <f t="shared" si="6"/>
        <v>8365320</v>
      </c>
      <c r="EE13" s="338">
        <f t="shared" si="7"/>
        <v>0</v>
      </c>
      <c r="EF13" s="369">
        <f t="shared" si="8"/>
        <v>0</v>
      </c>
      <c r="EH13" s="322"/>
      <c r="EL13" s="322"/>
      <c r="EM13" s="322"/>
    </row>
    <row r="14" spans="1:143" ht="17.25" customHeight="1" outlineLevel="1" x14ac:dyDescent="0.25">
      <c r="A14" s="238">
        <v>5032</v>
      </c>
      <c r="B14" s="205" t="s">
        <v>68</v>
      </c>
      <c r="C14" s="369">
        <v>2946870</v>
      </c>
      <c r="D14" s="369">
        <v>2982870</v>
      </c>
      <c r="E14" s="369">
        <v>3003570</v>
      </c>
      <c r="F14" s="369">
        <v>3003570</v>
      </c>
      <c r="G14" s="369">
        <f t="shared" si="2"/>
        <v>3011578</v>
      </c>
      <c r="H14" s="234"/>
      <c r="I14" s="155"/>
      <c r="J14" s="155"/>
      <c r="K14" s="155"/>
      <c r="L14" s="155"/>
      <c r="M14" s="155"/>
      <c r="N14" s="155">
        <f>+'[1] návrh RO 3. 2024'!$I$20</f>
        <v>297900</v>
      </c>
      <c r="O14" s="155">
        <f>+'[1] návrh RO 3. 2024'!$I$18</f>
        <v>5022</v>
      </c>
      <c r="P14" s="155">
        <f>+'[1] návrh RO 3. 2024'!$I$19</f>
        <v>2986</v>
      </c>
      <c r="Q14" s="155">
        <f t="shared" si="3"/>
        <v>1750410</v>
      </c>
      <c r="R14" s="370">
        <f>+'[1] návrh RO 3. 2024'!$I$16+'[1] návrh RO 3. 2024'!$I$17+'[1] návrh RO 3. 2024'!$I$13+'[1] návrh RO 3. 2024'!$I$14+'[1] návrh RO 3. 2024'!$I$3</f>
        <v>1750410</v>
      </c>
      <c r="S14" s="371"/>
      <c r="T14" s="155">
        <f>+'[1] návrh RO 3. 2024'!$I$15</f>
        <v>173070</v>
      </c>
      <c r="U14" s="372"/>
      <c r="V14" s="363">
        <f>+'[1] návrh RO 3. 2024'!$I$6</f>
        <v>153000</v>
      </c>
      <c r="W14" s="363"/>
      <c r="X14" s="155"/>
      <c r="Y14" s="363">
        <f>+'[1] návrh RO 3. 2024'!$I$4</f>
        <v>481410</v>
      </c>
      <c r="Z14" s="363">
        <f>+'[1] návrh RO 3. 2024'!$I$7</f>
        <v>1080</v>
      </c>
      <c r="AA14" s="363"/>
      <c r="AB14" s="363">
        <f>+'[1] návrh RO 3. 2024'!$I$8</f>
        <v>135900</v>
      </c>
      <c r="AC14" s="363">
        <f>+'[1] návrh RO 3. 2024'!$I$9</f>
        <v>0</v>
      </c>
      <c r="AD14" s="155"/>
      <c r="AE14" s="155"/>
      <c r="AF14" s="370"/>
      <c r="AG14" s="370"/>
      <c r="AH14" s="363">
        <v>0</v>
      </c>
      <c r="AI14" s="370"/>
      <c r="AJ14" s="370"/>
      <c r="AK14" s="155"/>
      <c r="AL14" s="370"/>
      <c r="AM14" s="370"/>
      <c r="AN14" s="363">
        <f>+'[1] návrh RO 3. 2024'!$I$5</f>
        <v>10800</v>
      </c>
      <c r="AO14" s="155"/>
      <c r="AP14" s="155"/>
      <c r="AQ14" s="155"/>
      <c r="AR14" s="370"/>
      <c r="AS14" s="370"/>
      <c r="AT14" s="155"/>
      <c r="AU14" s="370"/>
      <c r="AV14" s="370"/>
      <c r="AW14" s="155"/>
      <c r="AX14" s="370"/>
      <c r="AY14" s="370"/>
      <c r="AZ14" s="155"/>
      <c r="BA14" s="370"/>
      <c r="BB14" s="370"/>
      <c r="BC14" s="155"/>
      <c r="BD14" s="370"/>
      <c r="BE14" s="370"/>
      <c r="BF14" s="363">
        <v>0</v>
      </c>
      <c r="BG14" s="370"/>
      <c r="BH14" s="370"/>
      <c r="BI14" s="363">
        <v>0</v>
      </c>
      <c r="BJ14" s="370">
        <f>+'[1] návrh RO 3. 2024'!$I$12</f>
        <v>0</v>
      </c>
      <c r="BK14" s="370"/>
      <c r="BL14" s="155"/>
      <c r="BM14" s="370"/>
      <c r="BN14" s="370"/>
      <c r="BO14" s="155"/>
      <c r="BP14" s="370"/>
      <c r="BQ14" s="370"/>
      <c r="BR14" s="155"/>
      <c r="BS14" s="370"/>
      <c r="BT14" s="370"/>
      <c r="BU14" s="155"/>
      <c r="BV14" s="370"/>
      <c r="BW14" s="370"/>
      <c r="BX14" s="155"/>
      <c r="BY14" s="155"/>
      <c r="BZ14" s="370"/>
      <c r="CA14" s="370"/>
      <c r="CB14" s="155"/>
      <c r="CC14" s="155"/>
      <c r="CD14" s="370"/>
      <c r="CE14" s="370"/>
      <c r="CF14" s="155"/>
      <c r="CG14" s="370"/>
      <c r="CH14" s="370"/>
      <c r="CI14" s="155"/>
      <c r="CJ14" s="155"/>
      <c r="CK14" s="370"/>
      <c r="CL14" s="370"/>
      <c r="CM14" s="155"/>
      <c r="CN14" s="370"/>
      <c r="CO14" s="370"/>
      <c r="CP14" s="155"/>
      <c r="CQ14" s="370"/>
      <c r="CR14" s="370"/>
      <c r="CS14" s="155"/>
      <c r="CT14" s="370"/>
      <c r="CU14" s="370"/>
      <c r="CV14" s="155"/>
      <c r="CW14" s="370"/>
      <c r="CX14" s="370"/>
      <c r="CY14" s="155"/>
      <c r="CZ14" s="155"/>
      <c r="DA14" s="370"/>
      <c r="DB14" s="370"/>
      <c r="DC14" s="155"/>
      <c r="DD14" s="370"/>
      <c r="DE14" s="370"/>
      <c r="DF14" s="155"/>
      <c r="DG14" s="370"/>
      <c r="DH14" s="370"/>
      <c r="DI14" s="155"/>
      <c r="DJ14" s="155"/>
      <c r="DK14" s="370"/>
      <c r="DL14" s="370"/>
      <c r="DM14" s="370"/>
      <c r="DN14" s="155"/>
      <c r="DO14" s="155"/>
      <c r="DP14" s="155"/>
      <c r="DQ14" s="155"/>
      <c r="DR14" s="155"/>
      <c r="DS14" s="155"/>
      <c r="DT14" s="155"/>
      <c r="DU14" s="155"/>
      <c r="DV14" s="370"/>
      <c r="DW14" s="370"/>
      <c r="DX14" s="155"/>
      <c r="DY14" s="155"/>
      <c r="DZ14" s="373"/>
      <c r="EA14" s="190">
        <f t="shared" si="4"/>
        <v>3008592</v>
      </c>
      <c r="EB14" s="337">
        <f t="shared" si="5"/>
        <v>-2986</v>
      </c>
      <c r="EC14" s="338"/>
      <c r="ED14" s="369">
        <f t="shared" si="6"/>
        <v>3011578</v>
      </c>
      <c r="EE14" s="338">
        <f t="shared" si="7"/>
        <v>0</v>
      </c>
      <c r="EF14" s="369">
        <f t="shared" si="8"/>
        <v>0</v>
      </c>
      <c r="EH14" s="322"/>
      <c r="EL14" s="322"/>
      <c r="EM14" s="322"/>
    </row>
    <row r="15" spans="1:143" ht="17.25" customHeight="1" outlineLevel="1" x14ac:dyDescent="0.25">
      <c r="A15" s="238">
        <v>5038</v>
      </c>
      <c r="B15" s="205" t="s">
        <v>69</v>
      </c>
      <c r="C15" s="369">
        <v>137520.6</v>
      </c>
      <c r="D15" s="369">
        <v>139200.59999999998</v>
      </c>
      <c r="E15" s="369">
        <v>140166.6</v>
      </c>
      <c r="F15" s="369">
        <v>140166.6</v>
      </c>
      <c r="G15" s="369">
        <f>SUM(H15:Q15)+SUM(U15:AE15)+AH15+AK15+SUM(AN15:AQ15)+AT15+BC15+BI15+BL15+BO15+BR15+BU15+BX15+BY15+CB15+CC15+CF15+SUM(CI15:CJ15)+CS15+CV15+CY15+CZ15+DC15+DF15+DI15+DJ15+SUM(DN15:DZ15)+CM15+CP15+T15</f>
        <v>140166.6</v>
      </c>
      <c r="H15" s="234"/>
      <c r="I15" s="155"/>
      <c r="J15" s="155"/>
      <c r="K15" s="155"/>
      <c r="L15" s="155"/>
      <c r="M15" s="155"/>
      <c r="N15" s="155">
        <f>+'[1] návrh RO 3. 2024'!$J$20</f>
        <v>13902</v>
      </c>
      <c r="O15" s="155">
        <f>+'[1] návrh RO 3. 2024'!$J$18</f>
        <v>0</v>
      </c>
      <c r="P15" s="155">
        <f>+'[1] návrh RO 3. 2024'!$J$18</f>
        <v>0</v>
      </c>
      <c r="Q15" s="155">
        <f t="shared" si="3"/>
        <v>81685.799999999988</v>
      </c>
      <c r="R15" s="370">
        <f>+'[1] návrh RO 3. 2024'!$J$3+'[1] návrh RO 3. 2024'!$J$13+'[1] návrh RO 3. 2024'!$J$14+'[1] návrh RO 3. 2024'!$J$16+'[1] návrh RO 3. 2024'!$J$17</f>
        <v>81685.799999999988</v>
      </c>
      <c r="S15" s="371"/>
      <c r="T15" s="155">
        <f>+'[1] návrh RO 3. 2024'!$J$15</f>
        <v>8076.5999999999995</v>
      </c>
      <c r="U15" s="372"/>
      <c r="V15" s="363">
        <f>+'[1] návrh RO 3. 2024'!$J$6</f>
        <v>7140</v>
      </c>
      <c r="W15" s="363"/>
      <c r="X15" s="155"/>
      <c r="Y15" s="363">
        <f>+'[1] návrh RO 3. 2024'!$J$4</f>
        <v>22465.8</v>
      </c>
      <c r="Z15" s="363">
        <f>+'[1] návrh RO 3. 2024'!$J$7</f>
        <v>50.4</v>
      </c>
      <c r="AA15" s="363"/>
      <c r="AB15" s="363">
        <f>+'[1] návrh RO 3. 2024'!$J$8</f>
        <v>6342</v>
      </c>
      <c r="AC15" s="363">
        <f>+'[1] návrh RO 3. 2024'!$J$9</f>
        <v>0</v>
      </c>
      <c r="AD15" s="155"/>
      <c r="AE15" s="155"/>
      <c r="AF15" s="370"/>
      <c r="AG15" s="370"/>
      <c r="AH15" s="363">
        <v>0</v>
      </c>
      <c r="AI15" s="370"/>
      <c r="AJ15" s="370"/>
      <c r="AK15" s="155"/>
      <c r="AL15" s="370"/>
      <c r="AM15" s="370"/>
      <c r="AN15" s="363">
        <f>+'[1] návrh RO 3. 2024'!$J$5</f>
        <v>503.99999999999994</v>
      </c>
      <c r="AO15" s="155"/>
      <c r="AP15" s="155"/>
      <c r="AQ15" s="155"/>
      <c r="AR15" s="370"/>
      <c r="AS15" s="370"/>
      <c r="AT15" s="155"/>
      <c r="AU15" s="370"/>
      <c r="AV15" s="370"/>
      <c r="AW15" s="155"/>
      <c r="AX15" s="370"/>
      <c r="AY15" s="370"/>
      <c r="AZ15" s="155"/>
      <c r="BA15" s="370"/>
      <c r="BB15" s="370"/>
      <c r="BC15" s="155"/>
      <c r="BD15" s="370"/>
      <c r="BE15" s="370"/>
      <c r="BF15" s="363">
        <v>0</v>
      </c>
      <c r="BG15" s="370"/>
      <c r="BH15" s="370"/>
      <c r="BI15" s="363">
        <v>0</v>
      </c>
      <c r="BJ15" s="370">
        <f>+'[1] návrh RO 3. 2024'!$J$12</f>
        <v>0</v>
      </c>
      <c r="BK15" s="370"/>
      <c r="BL15" s="155"/>
      <c r="BM15" s="370"/>
      <c r="BN15" s="370"/>
      <c r="BO15" s="155"/>
      <c r="BP15" s="370"/>
      <c r="BQ15" s="370"/>
      <c r="BR15" s="155"/>
      <c r="BS15" s="370"/>
      <c r="BT15" s="370"/>
      <c r="BU15" s="155"/>
      <c r="BV15" s="370"/>
      <c r="BW15" s="370"/>
      <c r="BX15" s="155"/>
      <c r="BY15" s="155"/>
      <c r="BZ15" s="370"/>
      <c r="CA15" s="370"/>
      <c r="CB15" s="155"/>
      <c r="CC15" s="155"/>
      <c r="CD15" s="370"/>
      <c r="CE15" s="370"/>
      <c r="CF15" s="155"/>
      <c r="CG15" s="370"/>
      <c r="CH15" s="370"/>
      <c r="CI15" s="155"/>
      <c r="CJ15" s="155"/>
      <c r="CK15" s="370"/>
      <c r="CL15" s="370"/>
      <c r="CM15" s="155"/>
      <c r="CN15" s="370"/>
      <c r="CO15" s="370"/>
      <c r="CP15" s="155"/>
      <c r="CQ15" s="370"/>
      <c r="CR15" s="370"/>
      <c r="CS15" s="155"/>
      <c r="CT15" s="370"/>
      <c r="CU15" s="370"/>
      <c r="CV15" s="155"/>
      <c r="CW15" s="370"/>
      <c r="CX15" s="370"/>
      <c r="CY15" s="155"/>
      <c r="CZ15" s="155"/>
      <c r="DA15" s="370"/>
      <c r="DB15" s="370"/>
      <c r="DC15" s="155"/>
      <c r="DD15" s="370"/>
      <c r="DE15" s="370"/>
      <c r="DF15" s="155"/>
      <c r="DG15" s="370"/>
      <c r="DH15" s="370"/>
      <c r="DI15" s="155"/>
      <c r="DJ15" s="155"/>
      <c r="DK15" s="370"/>
      <c r="DL15" s="370"/>
      <c r="DM15" s="370"/>
      <c r="DN15" s="155"/>
      <c r="DO15" s="155"/>
      <c r="DP15" s="155"/>
      <c r="DQ15" s="155"/>
      <c r="DR15" s="155"/>
      <c r="DS15" s="155"/>
      <c r="DT15" s="155"/>
      <c r="DU15" s="155"/>
      <c r="DV15" s="370"/>
      <c r="DW15" s="370"/>
      <c r="DX15" s="155"/>
      <c r="DY15" s="155"/>
      <c r="DZ15" s="373"/>
      <c r="EA15" s="190">
        <f t="shared" si="4"/>
        <v>140166.59999999998</v>
      </c>
      <c r="EB15" s="337">
        <f t="shared" si="5"/>
        <v>0</v>
      </c>
      <c r="EC15" s="338"/>
      <c r="ED15" s="369">
        <f t="shared" si="6"/>
        <v>140166.6</v>
      </c>
      <c r="EE15" s="338">
        <f t="shared" si="7"/>
        <v>0</v>
      </c>
      <c r="EF15" s="369">
        <f t="shared" si="8"/>
        <v>0</v>
      </c>
      <c r="EH15" s="322"/>
      <c r="EL15" s="322"/>
      <c r="EM15" s="322"/>
    </row>
    <row r="16" spans="1:143" ht="15.75" customHeight="1" thickBot="1" x14ac:dyDescent="0.3">
      <c r="A16" s="213" t="s">
        <v>70</v>
      </c>
      <c r="B16" s="214" t="s">
        <v>121</v>
      </c>
      <c r="C16" s="374">
        <v>44405140.600000001</v>
      </c>
      <c r="D16" s="374">
        <v>44959820.600000001</v>
      </c>
      <c r="E16" s="374">
        <v>45268986.600000001</v>
      </c>
      <c r="F16" s="374">
        <v>45362986.600000001</v>
      </c>
      <c r="G16" s="374">
        <f t="shared" ref="G16:S16" si="9">SUM(G8:G15)</f>
        <v>45691301.600000001</v>
      </c>
      <c r="H16" s="219">
        <f t="shared" si="9"/>
        <v>0</v>
      </c>
      <c r="I16" s="217">
        <f t="shared" si="9"/>
        <v>0</v>
      </c>
      <c r="J16" s="217">
        <f t="shared" si="9"/>
        <v>0</v>
      </c>
      <c r="K16" s="217">
        <f t="shared" si="9"/>
        <v>0</v>
      </c>
      <c r="L16" s="217">
        <f t="shared" si="9"/>
        <v>0</v>
      </c>
      <c r="M16" s="217">
        <f t="shared" si="9"/>
        <v>0</v>
      </c>
      <c r="N16" s="217">
        <f t="shared" si="9"/>
        <v>4543302</v>
      </c>
      <c r="O16" s="217">
        <f t="shared" ref="O16:P16" si="10">SUM(O8:O15)</f>
        <v>183666</v>
      </c>
      <c r="P16" s="217">
        <f t="shared" si="10"/>
        <v>144649</v>
      </c>
      <c r="Q16" s="217">
        <f t="shared" si="9"/>
        <v>26232345.800000001</v>
      </c>
      <c r="R16" s="375">
        <f t="shared" si="9"/>
        <v>26232345.800000001</v>
      </c>
      <c r="S16" s="376">
        <f t="shared" si="9"/>
        <v>0</v>
      </c>
      <c r="T16" s="217">
        <f t="shared" ref="T16" si="11">SUM(T8:T15)</f>
        <v>2584896.6</v>
      </c>
      <c r="U16" s="377">
        <f t="shared" ref="U16:AE16" si="12">SUM(U8:U15)</f>
        <v>0</v>
      </c>
      <c r="V16" s="217">
        <f t="shared" si="12"/>
        <v>2285140</v>
      </c>
      <c r="W16" s="217">
        <f t="shared" ref="W16" si="13">SUM(W8:W15)</f>
        <v>0</v>
      </c>
      <c r="X16" s="217">
        <f t="shared" si="12"/>
        <v>0</v>
      </c>
      <c r="Y16" s="217">
        <f t="shared" si="12"/>
        <v>7190125.7999999998</v>
      </c>
      <c r="Z16" s="217">
        <f>SUM(Z9:Z15)</f>
        <v>16130.4</v>
      </c>
      <c r="AA16" s="217">
        <f t="shared" ref="AA16" si="14">SUM(AA8:AA15)</f>
        <v>0</v>
      </c>
      <c r="AB16" s="217">
        <f t="shared" si="12"/>
        <v>2079742</v>
      </c>
      <c r="AC16" s="217">
        <f t="shared" si="12"/>
        <v>240000</v>
      </c>
      <c r="AD16" s="217">
        <f t="shared" si="12"/>
        <v>0</v>
      </c>
      <c r="AE16" s="217">
        <f t="shared" si="12"/>
        <v>0</v>
      </c>
      <c r="AF16" s="375">
        <f t="shared" ref="AF16:DB16" si="15">SUM(AF8:AF15)</f>
        <v>0</v>
      </c>
      <c r="AG16" s="375">
        <f t="shared" si="15"/>
        <v>0</v>
      </c>
      <c r="AH16" s="217">
        <f t="shared" si="15"/>
        <v>0</v>
      </c>
      <c r="AI16" s="375">
        <f t="shared" si="15"/>
        <v>0</v>
      </c>
      <c r="AJ16" s="375">
        <f t="shared" si="15"/>
        <v>0</v>
      </c>
      <c r="AK16" s="217">
        <f t="shared" si="15"/>
        <v>0</v>
      </c>
      <c r="AL16" s="375">
        <f t="shared" si="15"/>
        <v>0</v>
      </c>
      <c r="AM16" s="375">
        <f t="shared" si="15"/>
        <v>0</v>
      </c>
      <c r="AN16" s="217">
        <f t="shared" si="15"/>
        <v>191304</v>
      </c>
      <c r="AO16" s="217">
        <f t="shared" si="15"/>
        <v>0</v>
      </c>
      <c r="AP16" s="217">
        <f t="shared" si="15"/>
        <v>0</v>
      </c>
      <c r="AQ16" s="217">
        <f t="shared" si="15"/>
        <v>0</v>
      </c>
      <c r="AR16" s="375">
        <f t="shared" si="15"/>
        <v>0</v>
      </c>
      <c r="AS16" s="375">
        <f t="shared" si="15"/>
        <v>0</v>
      </c>
      <c r="AT16" s="217">
        <f t="shared" si="15"/>
        <v>0</v>
      </c>
      <c r="AU16" s="375">
        <f t="shared" si="15"/>
        <v>0</v>
      </c>
      <c r="AV16" s="375">
        <f t="shared" si="15"/>
        <v>0</v>
      </c>
      <c r="AW16" s="217">
        <f t="shared" ref="AW16:AY16" si="16">SUM(AW8:AW15)</f>
        <v>0</v>
      </c>
      <c r="AX16" s="375">
        <f t="shared" si="16"/>
        <v>0</v>
      </c>
      <c r="AY16" s="375">
        <f t="shared" si="16"/>
        <v>0</v>
      </c>
      <c r="AZ16" s="217">
        <f t="shared" ref="AZ16:BB16" si="17">SUM(AZ8:AZ15)</f>
        <v>0</v>
      </c>
      <c r="BA16" s="375">
        <f t="shared" si="17"/>
        <v>0</v>
      </c>
      <c r="BB16" s="375">
        <f t="shared" si="17"/>
        <v>0</v>
      </c>
      <c r="BC16" s="217">
        <f t="shared" si="15"/>
        <v>0</v>
      </c>
      <c r="BD16" s="375">
        <f t="shared" si="15"/>
        <v>0</v>
      </c>
      <c r="BE16" s="375">
        <f t="shared" si="15"/>
        <v>0</v>
      </c>
      <c r="BF16" s="217">
        <f t="shared" ref="BF16:BH16" si="18">SUM(BF8:BF15)</f>
        <v>0</v>
      </c>
      <c r="BG16" s="375">
        <f t="shared" si="18"/>
        <v>0</v>
      </c>
      <c r="BH16" s="375">
        <f t="shared" si="18"/>
        <v>0</v>
      </c>
      <c r="BI16" s="217">
        <f t="shared" si="15"/>
        <v>0</v>
      </c>
      <c r="BJ16" s="375">
        <f t="shared" si="15"/>
        <v>0</v>
      </c>
      <c r="BK16" s="375">
        <f t="shared" si="15"/>
        <v>0</v>
      </c>
      <c r="BL16" s="217">
        <f t="shared" si="15"/>
        <v>0</v>
      </c>
      <c r="BM16" s="375">
        <f t="shared" si="15"/>
        <v>0</v>
      </c>
      <c r="BN16" s="375">
        <f t="shared" si="15"/>
        <v>0</v>
      </c>
      <c r="BO16" s="217">
        <f t="shared" si="15"/>
        <v>0</v>
      </c>
      <c r="BP16" s="375">
        <f t="shared" si="15"/>
        <v>0</v>
      </c>
      <c r="BQ16" s="375">
        <f t="shared" si="15"/>
        <v>0</v>
      </c>
      <c r="BR16" s="217">
        <f t="shared" si="15"/>
        <v>0</v>
      </c>
      <c r="BS16" s="375">
        <f t="shared" si="15"/>
        <v>0</v>
      </c>
      <c r="BT16" s="375">
        <f t="shared" si="15"/>
        <v>0</v>
      </c>
      <c r="BU16" s="217">
        <f t="shared" si="15"/>
        <v>0</v>
      </c>
      <c r="BV16" s="375">
        <f t="shared" si="15"/>
        <v>0</v>
      </c>
      <c r="BW16" s="375">
        <f t="shared" si="15"/>
        <v>0</v>
      </c>
      <c r="BX16" s="217">
        <f t="shared" si="15"/>
        <v>0</v>
      </c>
      <c r="BY16" s="217">
        <f t="shared" si="15"/>
        <v>0</v>
      </c>
      <c r="BZ16" s="375">
        <f t="shared" si="15"/>
        <v>0</v>
      </c>
      <c r="CA16" s="375">
        <f t="shared" si="15"/>
        <v>0</v>
      </c>
      <c r="CB16" s="217">
        <f t="shared" si="15"/>
        <v>0</v>
      </c>
      <c r="CC16" s="217">
        <f t="shared" si="15"/>
        <v>0</v>
      </c>
      <c r="CD16" s="375">
        <f t="shared" si="15"/>
        <v>0</v>
      </c>
      <c r="CE16" s="375">
        <f t="shared" si="15"/>
        <v>0</v>
      </c>
      <c r="CF16" s="217">
        <f t="shared" si="15"/>
        <v>0</v>
      </c>
      <c r="CG16" s="375">
        <f t="shared" si="15"/>
        <v>0</v>
      </c>
      <c r="CH16" s="375">
        <f t="shared" si="15"/>
        <v>0</v>
      </c>
      <c r="CI16" s="217">
        <f t="shared" si="15"/>
        <v>0</v>
      </c>
      <c r="CJ16" s="217">
        <f t="shared" si="15"/>
        <v>0</v>
      </c>
      <c r="CK16" s="375">
        <f t="shared" si="15"/>
        <v>0</v>
      </c>
      <c r="CL16" s="375">
        <f t="shared" si="15"/>
        <v>0</v>
      </c>
      <c r="CM16" s="217">
        <f t="shared" si="15"/>
        <v>0</v>
      </c>
      <c r="CN16" s="375">
        <f t="shared" si="15"/>
        <v>0</v>
      </c>
      <c r="CO16" s="375">
        <f t="shared" si="15"/>
        <v>0</v>
      </c>
      <c r="CP16" s="217">
        <f t="shared" si="15"/>
        <v>0</v>
      </c>
      <c r="CQ16" s="375">
        <f t="shared" ref="CQ16:CR16" si="19">SUM(CQ8:CQ15)</f>
        <v>0</v>
      </c>
      <c r="CR16" s="375">
        <f t="shared" si="19"/>
        <v>0</v>
      </c>
      <c r="CS16" s="217">
        <f t="shared" si="15"/>
        <v>0</v>
      </c>
      <c r="CT16" s="375">
        <f t="shared" si="15"/>
        <v>0</v>
      </c>
      <c r="CU16" s="375">
        <f t="shared" si="15"/>
        <v>0</v>
      </c>
      <c r="CV16" s="217">
        <f t="shared" si="15"/>
        <v>0</v>
      </c>
      <c r="CW16" s="375">
        <f t="shared" si="15"/>
        <v>0</v>
      </c>
      <c r="CX16" s="375">
        <f t="shared" si="15"/>
        <v>0</v>
      </c>
      <c r="CY16" s="217">
        <f t="shared" si="15"/>
        <v>0</v>
      </c>
      <c r="CZ16" s="217">
        <f t="shared" si="15"/>
        <v>0</v>
      </c>
      <c r="DA16" s="375">
        <f t="shared" si="15"/>
        <v>0</v>
      </c>
      <c r="DB16" s="375">
        <f t="shared" si="15"/>
        <v>0</v>
      </c>
      <c r="DC16" s="217">
        <f t="shared" ref="DC16:DZ16" si="20">SUM(DC8:DC15)</f>
        <v>0</v>
      </c>
      <c r="DD16" s="375">
        <f t="shared" si="20"/>
        <v>0</v>
      </c>
      <c r="DE16" s="375">
        <f t="shared" si="20"/>
        <v>0</v>
      </c>
      <c r="DF16" s="217">
        <f t="shared" si="20"/>
        <v>0</v>
      </c>
      <c r="DG16" s="375">
        <f t="shared" si="20"/>
        <v>0</v>
      </c>
      <c r="DH16" s="375">
        <f t="shared" si="20"/>
        <v>0</v>
      </c>
      <c r="DI16" s="217">
        <f t="shared" si="20"/>
        <v>0</v>
      </c>
      <c r="DJ16" s="217">
        <f t="shared" si="20"/>
        <v>0</v>
      </c>
      <c r="DK16" s="375">
        <f t="shared" si="20"/>
        <v>0</v>
      </c>
      <c r="DL16" s="375">
        <f t="shared" si="20"/>
        <v>0</v>
      </c>
      <c r="DM16" s="375">
        <f t="shared" si="20"/>
        <v>0</v>
      </c>
      <c r="DN16" s="217">
        <f t="shared" si="20"/>
        <v>0</v>
      </c>
      <c r="DO16" s="217">
        <f t="shared" si="20"/>
        <v>0</v>
      </c>
      <c r="DP16" s="217">
        <f t="shared" si="20"/>
        <v>0</v>
      </c>
      <c r="DQ16" s="217">
        <f t="shared" ref="DQ16" si="21">SUM(DQ8:DQ15)</f>
        <v>0</v>
      </c>
      <c r="DR16" s="217">
        <f t="shared" si="20"/>
        <v>0</v>
      </c>
      <c r="DS16" s="217">
        <f t="shared" si="20"/>
        <v>0</v>
      </c>
      <c r="DT16" s="217">
        <f t="shared" si="20"/>
        <v>0</v>
      </c>
      <c r="DU16" s="217">
        <f t="shared" si="20"/>
        <v>0</v>
      </c>
      <c r="DV16" s="375">
        <f t="shared" ref="DV16:DW16" si="22">SUM(DV8:DV15)</f>
        <v>0</v>
      </c>
      <c r="DW16" s="375">
        <f t="shared" si="22"/>
        <v>0</v>
      </c>
      <c r="DX16" s="217">
        <f t="shared" si="20"/>
        <v>0</v>
      </c>
      <c r="DY16" s="217">
        <f t="shared" si="20"/>
        <v>0</v>
      </c>
      <c r="DZ16" s="378">
        <f t="shared" si="20"/>
        <v>0</v>
      </c>
      <c r="EA16" s="190"/>
      <c r="EB16" s="337"/>
      <c r="EC16" s="338"/>
      <c r="ED16" s="374">
        <f>SUM(ED8:ED15)</f>
        <v>45691301.600000001</v>
      </c>
      <c r="EE16" s="338">
        <f t="shared" si="7"/>
        <v>0</v>
      </c>
      <c r="EF16" s="374">
        <f>SUM(EF8:EF15)</f>
        <v>0</v>
      </c>
      <c r="EH16" s="322"/>
    </row>
    <row r="17" spans="1:138" ht="13.5" hidden="1" customHeight="1" x14ac:dyDescent="0.25">
      <c r="A17" s="222">
        <v>5178</v>
      </c>
      <c r="B17" s="205" t="s">
        <v>71</v>
      </c>
      <c r="C17" s="368">
        <v>0</v>
      </c>
      <c r="D17" s="368">
        <v>0</v>
      </c>
      <c r="E17" s="368">
        <v>0</v>
      </c>
      <c r="F17" s="368">
        <v>0</v>
      </c>
      <c r="G17" s="368">
        <f t="shared" ref="G17:G18" si="23">SUM(H17:Q17)+SUM(V17:AE17)+AH17+AK17+SUM(AN17:AQ17)+AT17+BC17+BI17+BL17+BO17+BR17+BU17+BX17+BY17+CB17+CC17+CF17+SUM(CI17:CJ17)+CS17+CV17+CY17+CZ17+DC17+DF17+DI17+DJ17+SUM(DN17:DZ17)+CM17+CP17</f>
        <v>0</v>
      </c>
      <c r="H17" s="362"/>
      <c r="I17" s="363"/>
      <c r="J17" s="363"/>
      <c r="K17" s="363"/>
      <c r="L17" s="363"/>
      <c r="M17" s="363"/>
      <c r="N17" s="363"/>
      <c r="O17" s="363"/>
      <c r="P17" s="363"/>
      <c r="Q17" s="363">
        <f>+R17+S17</f>
        <v>0</v>
      </c>
      <c r="R17" s="364"/>
      <c r="S17" s="365"/>
      <c r="T17" s="363"/>
      <c r="U17" s="379"/>
      <c r="V17" s="363"/>
      <c r="W17" s="363"/>
      <c r="X17" s="363"/>
      <c r="Y17" s="363"/>
      <c r="Z17" s="363"/>
      <c r="AA17" s="363"/>
      <c r="AB17" s="363"/>
      <c r="AC17" s="363"/>
      <c r="AD17" s="363"/>
      <c r="AE17" s="363">
        <f>+AF17+AG17</f>
        <v>0</v>
      </c>
      <c r="AF17" s="364"/>
      <c r="AG17" s="364"/>
      <c r="AH17" s="363">
        <f>+AI17+AJ17</f>
        <v>0</v>
      </c>
      <c r="AI17" s="364"/>
      <c r="AJ17" s="364"/>
      <c r="AK17" s="363">
        <f>+AL17+AM17</f>
        <v>0</v>
      </c>
      <c r="AL17" s="364"/>
      <c r="AM17" s="364"/>
      <c r="AN17" s="363"/>
      <c r="AO17" s="363"/>
      <c r="AP17" s="363"/>
      <c r="AQ17" s="363">
        <f>+AR17+AS17</f>
        <v>0</v>
      </c>
      <c r="AR17" s="364"/>
      <c r="AS17" s="364"/>
      <c r="AT17" s="363">
        <f>+AU17+AV17</f>
        <v>0</v>
      </c>
      <c r="AU17" s="364"/>
      <c r="AV17" s="364"/>
      <c r="AW17" s="363">
        <f>+AX17+AY17</f>
        <v>0</v>
      </c>
      <c r="AX17" s="364"/>
      <c r="AY17" s="364"/>
      <c r="AZ17" s="363">
        <f>+BA17+BB17</f>
        <v>0</v>
      </c>
      <c r="BA17" s="364"/>
      <c r="BB17" s="364"/>
      <c r="BC17" s="363">
        <f>+BD17+BE17</f>
        <v>0</v>
      </c>
      <c r="BD17" s="364"/>
      <c r="BE17" s="364"/>
      <c r="BF17" s="363">
        <f>+BG17+BH17</f>
        <v>0</v>
      </c>
      <c r="BG17" s="364"/>
      <c r="BH17" s="364"/>
      <c r="BI17" s="363">
        <f>+BJ17+BK17</f>
        <v>0</v>
      </c>
      <c r="BJ17" s="364"/>
      <c r="BK17" s="364"/>
      <c r="BL17" s="363">
        <f>+BM17+BN17</f>
        <v>0</v>
      </c>
      <c r="BM17" s="364"/>
      <c r="BN17" s="364"/>
      <c r="BO17" s="363">
        <f>+BP17+BQ17</f>
        <v>0</v>
      </c>
      <c r="BP17" s="364"/>
      <c r="BQ17" s="364"/>
      <c r="BR17" s="363">
        <f>+BS17+BT17</f>
        <v>0</v>
      </c>
      <c r="BS17" s="364"/>
      <c r="BT17" s="364"/>
      <c r="BU17" s="363">
        <f>+BV17+BW17</f>
        <v>0</v>
      </c>
      <c r="BV17" s="364"/>
      <c r="BW17" s="364"/>
      <c r="BX17" s="363"/>
      <c r="BY17" s="363">
        <f>+BZ17+CA17</f>
        <v>0</v>
      </c>
      <c r="BZ17" s="364"/>
      <c r="CA17" s="364"/>
      <c r="CB17" s="363"/>
      <c r="CC17" s="363">
        <f>+CD17+CE17</f>
        <v>0</v>
      </c>
      <c r="CD17" s="364"/>
      <c r="CE17" s="364"/>
      <c r="CF17" s="363">
        <f>+CG17+CH17</f>
        <v>0</v>
      </c>
      <c r="CG17" s="364"/>
      <c r="CH17" s="364"/>
      <c r="CI17" s="363"/>
      <c r="CJ17" s="363">
        <f>+CK17+CL17</f>
        <v>0</v>
      </c>
      <c r="CK17" s="364"/>
      <c r="CL17" s="364"/>
      <c r="CM17" s="363"/>
      <c r="CN17" s="364"/>
      <c r="CO17" s="364"/>
      <c r="CP17" s="363"/>
      <c r="CQ17" s="364"/>
      <c r="CR17" s="364"/>
      <c r="CS17" s="363"/>
      <c r="CT17" s="364"/>
      <c r="CU17" s="364"/>
      <c r="CV17" s="363">
        <f>+CW17+CX17</f>
        <v>0</v>
      </c>
      <c r="CW17" s="364"/>
      <c r="CX17" s="364"/>
      <c r="CY17" s="363"/>
      <c r="CZ17" s="363">
        <f>+DA17+DB17</f>
        <v>0</v>
      </c>
      <c r="DA17" s="364"/>
      <c r="DB17" s="364"/>
      <c r="DC17" s="363">
        <f>+DD17+DE17</f>
        <v>0</v>
      </c>
      <c r="DD17" s="364"/>
      <c r="DE17" s="364"/>
      <c r="DF17" s="363">
        <f>+DG17+DH17</f>
        <v>0</v>
      </c>
      <c r="DG17" s="364"/>
      <c r="DH17" s="364"/>
      <c r="DI17" s="363"/>
      <c r="DJ17" s="363">
        <f>+DK17+DL17+DM17</f>
        <v>0</v>
      </c>
      <c r="DK17" s="364"/>
      <c r="DL17" s="364"/>
      <c r="DM17" s="364"/>
      <c r="DN17" s="363"/>
      <c r="DO17" s="363"/>
      <c r="DP17" s="363"/>
      <c r="DQ17" s="363"/>
      <c r="DR17" s="363"/>
      <c r="DS17" s="363"/>
      <c r="DT17" s="363"/>
      <c r="DU17" s="363"/>
      <c r="DV17" s="364"/>
      <c r="DW17" s="364"/>
      <c r="DX17" s="363"/>
      <c r="DY17" s="363"/>
      <c r="DZ17" s="367"/>
      <c r="EA17" s="190">
        <f>+H17+I17+J17+L17+N17+O17+Q17+T17+U17+V17+X17+Y17+Z17+AB17+AC17+AD17+AE17+AH17+AK17+AN17+AO17+AP17+AQ17+AT17+BC17+BI17+BL17+BO17+BR17+BU17+BX17+BY17+CB17+CC17+CF17+CI17+CJ17+CM17+CP17+CS17+CV17+CY17+CZ17+DC17+DF17+DI17+DJ17+DN17+DO17+DP17+DQ17+DR17+DT17+DU17+DX17+DY17+DZ17-U17</f>
        <v>0</v>
      </c>
      <c r="EB17" s="337">
        <f t="shared" ref="EB17:EB39" si="24">EA17-G17</f>
        <v>0</v>
      </c>
      <c r="EC17" s="338"/>
      <c r="ED17" s="368">
        <f t="shared" ref="ED17:EF50" si="25">+Q17+AE17+AH17++AK17+AQ17+AT17+BC17+BI17+BL17+BO17+BR17+BU17+BY17+CC17+CF17+CJ17+CV17+CZ17+DC17+DF17+DK17</f>
        <v>0</v>
      </c>
      <c r="EE17" s="338">
        <f t="shared" si="7"/>
        <v>0</v>
      </c>
      <c r="EF17" s="368">
        <f t="shared" si="25"/>
        <v>0</v>
      </c>
      <c r="EH17" s="322"/>
    </row>
    <row r="18" spans="1:138" ht="13.5" hidden="1" customHeight="1" x14ac:dyDescent="0.25">
      <c r="A18" s="222">
        <v>5132</v>
      </c>
      <c r="B18" s="205" t="s">
        <v>72</v>
      </c>
      <c r="C18" s="369">
        <v>0</v>
      </c>
      <c r="D18" s="369">
        <v>0</v>
      </c>
      <c r="E18" s="369">
        <v>0</v>
      </c>
      <c r="F18" s="369">
        <v>0</v>
      </c>
      <c r="G18" s="369">
        <f t="shared" si="23"/>
        <v>0</v>
      </c>
      <c r="H18" s="234"/>
      <c r="I18" s="155"/>
      <c r="J18" s="155"/>
      <c r="K18" s="155"/>
      <c r="L18" s="155"/>
      <c r="M18" s="155"/>
      <c r="N18" s="155"/>
      <c r="O18" s="155"/>
      <c r="P18" s="155"/>
      <c r="Q18" s="155">
        <f t="shared" ref="Q18:Q51" si="26">+R18+S18</f>
        <v>0</v>
      </c>
      <c r="R18" s="370"/>
      <c r="S18" s="371"/>
      <c r="T18" s="155"/>
      <c r="U18" s="380"/>
      <c r="V18" s="155"/>
      <c r="W18" s="155"/>
      <c r="X18" s="155"/>
      <c r="Y18" s="155"/>
      <c r="Z18" s="155"/>
      <c r="AA18" s="155"/>
      <c r="AB18" s="155"/>
      <c r="AC18" s="155"/>
      <c r="AD18" s="155"/>
      <c r="AE18" s="155">
        <f t="shared" ref="AE18:AE50" si="27">+AF18+AG18</f>
        <v>0</v>
      </c>
      <c r="AF18" s="370"/>
      <c r="AG18" s="370"/>
      <c r="AH18" s="155">
        <f t="shared" ref="AH18:AH50" si="28">+AI18+AJ18</f>
        <v>0</v>
      </c>
      <c r="AI18" s="370"/>
      <c r="AJ18" s="370"/>
      <c r="AK18" s="155">
        <f t="shared" ref="AK18:AK50" si="29">+AL18+AM18</f>
        <v>0</v>
      </c>
      <c r="AL18" s="370"/>
      <c r="AM18" s="370"/>
      <c r="AN18" s="155"/>
      <c r="AO18" s="155"/>
      <c r="AP18" s="155"/>
      <c r="AQ18" s="155">
        <f t="shared" ref="AQ18:AQ50" si="30">+AR18+AS18</f>
        <v>0</v>
      </c>
      <c r="AR18" s="370"/>
      <c r="AS18" s="370"/>
      <c r="AT18" s="155">
        <f t="shared" ref="AT18:AT50" si="31">+AU18+AV18</f>
        <v>0</v>
      </c>
      <c r="AU18" s="370"/>
      <c r="AV18" s="370"/>
      <c r="AW18" s="155">
        <f t="shared" ref="AW18:AW22" si="32">+AX18+AY18</f>
        <v>0</v>
      </c>
      <c r="AX18" s="370"/>
      <c r="AY18" s="370"/>
      <c r="AZ18" s="155">
        <f t="shared" ref="AZ18:AZ22" si="33">+BA18+BB18</f>
        <v>0</v>
      </c>
      <c r="BA18" s="370"/>
      <c r="BB18" s="370"/>
      <c r="BC18" s="155">
        <f t="shared" ref="BC18:BC50" si="34">+BD18+BE18</f>
        <v>0</v>
      </c>
      <c r="BD18" s="370"/>
      <c r="BE18" s="370"/>
      <c r="BF18" s="155">
        <f t="shared" ref="BF18:BF46" si="35">+BG18+BH18</f>
        <v>0</v>
      </c>
      <c r="BG18" s="370"/>
      <c r="BH18" s="370"/>
      <c r="BI18" s="155">
        <f t="shared" ref="BI18:BI50" si="36">+BJ18+BK18</f>
        <v>0</v>
      </c>
      <c r="BJ18" s="370"/>
      <c r="BK18" s="370"/>
      <c r="BL18" s="155">
        <f t="shared" ref="BL18:BL50" si="37">+BM18+BN18</f>
        <v>0</v>
      </c>
      <c r="BM18" s="370"/>
      <c r="BN18" s="370"/>
      <c r="BO18" s="155">
        <f t="shared" ref="BO18:BO50" si="38">+BP18+BQ18</f>
        <v>0</v>
      </c>
      <c r="BP18" s="370"/>
      <c r="BQ18" s="370"/>
      <c r="BR18" s="155">
        <f t="shared" ref="BR18:BR50" si="39">+BS18+BT18</f>
        <v>0</v>
      </c>
      <c r="BS18" s="370"/>
      <c r="BT18" s="370"/>
      <c r="BU18" s="155">
        <f t="shared" ref="BU18:BU50" si="40">+BV18+BW18</f>
        <v>0</v>
      </c>
      <c r="BV18" s="370"/>
      <c r="BW18" s="370"/>
      <c r="BX18" s="155"/>
      <c r="BY18" s="155">
        <f t="shared" ref="BY18:BY50" si="41">+BZ18+CA18</f>
        <v>0</v>
      </c>
      <c r="BZ18" s="370"/>
      <c r="CA18" s="370"/>
      <c r="CB18" s="155"/>
      <c r="CC18" s="155">
        <f t="shared" ref="CC18:CC50" si="42">+CD18+CE18</f>
        <v>0</v>
      </c>
      <c r="CD18" s="370"/>
      <c r="CE18" s="370"/>
      <c r="CF18" s="155">
        <f t="shared" ref="CF18:CF50" si="43">+CG18+CH18</f>
        <v>0</v>
      </c>
      <c r="CG18" s="370"/>
      <c r="CH18" s="370"/>
      <c r="CI18" s="155"/>
      <c r="CJ18" s="155">
        <f t="shared" ref="CJ18:CJ50" si="44">+CK18+CL18</f>
        <v>0</v>
      </c>
      <c r="CK18" s="370"/>
      <c r="CL18" s="370"/>
      <c r="CM18" s="155"/>
      <c r="CN18" s="370"/>
      <c r="CO18" s="370"/>
      <c r="CP18" s="155"/>
      <c r="CQ18" s="370"/>
      <c r="CR18" s="370"/>
      <c r="CS18" s="155"/>
      <c r="CT18" s="370"/>
      <c r="CU18" s="370"/>
      <c r="CV18" s="155">
        <f t="shared" ref="CV18:CV50" si="45">+CW18+CX18</f>
        <v>0</v>
      </c>
      <c r="CW18" s="370"/>
      <c r="CX18" s="370"/>
      <c r="CY18" s="155"/>
      <c r="CZ18" s="155">
        <f t="shared" ref="CZ18:CZ50" si="46">+DA18+DB18</f>
        <v>0</v>
      </c>
      <c r="DA18" s="370"/>
      <c r="DB18" s="370"/>
      <c r="DC18" s="155">
        <f t="shared" ref="DC18:DC50" si="47">+DD18+DE18</f>
        <v>0</v>
      </c>
      <c r="DD18" s="370"/>
      <c r="DE18" s="370"/>
      <c r="DF18" s="155">
        <f t="shared" ref="DF18:DF50" si="48">+DG18+DH18</f>
        <v>0</v>
      </c>
      <c r="DG18" s="370"/>
      <c r="DH18" s="370"/>
      <c r="DI18" s="155"/>
      <c r="DJ18" s="155">
        <f t="shared" ref="DJ18:DJ50" si="49">+DK18+DL18+DM18</f>
        <v>0</v>
      </c>
      <c r="DK18" s="370"/>
      <c r="DL18" s="370"/>
      <c r="DM18" s="370"/>
      <c r="DN18" s="155"/>
      <c r="DO18" s="155"/>
      <c r="DP18" s="155"/>
      <c r="DQ18" s="155"/>
      <c r="DR18" s="155"/>
      <c r="DS18" s="155"/>
      <c r="DT18" s="155"/>
      <c r="DU18" s="155"/>
      <c r="DV18" s="370"/>
      <c r="DW18" s="370"/>
      <c r="DX18" s="155"/>
      <c r="DY18" s="155"/>
      <c r="DZ18" s="373"/>
      <c r="EA18" s="190">
        <f t="shared" ref="EA18:EA73" si="50">+H18+I18+J18+L18+N18+O18+Q18+T18+U18+V18+X18+Y18+Z18+AB18+AC18+AD18+AE18+AH18+AK18+AN18+AO18+AP18+AQ18+AT18+BC18+BI18+BL18+BO18+BR18+BU18+BX18+BY18+CB18+CC18+CF18+CI18+CJ18+CM18+CP18+CS18+CV18+CY18+CZ18+DC18+DF18+DI18+DJ18+DN18+DO18+DP18+DQ18+DR18+DT18+DU18+DX18+DY18+DZ18-U18</f>
        <v>0</v>
      </c>
      <c r="EB18" s="337">
        <f t="shared" si="24"/>
        <v>0</v>
      </c>
      <c r="EC18" s="338"/>
      <c r="ED18" s="369">
        <f t="shared" si="25"/>
        <v>0</v>
      </c>
      <c r="EE18" s="338">
        <f t="shared" si="7"/>
        <v>0</v>
      </c>
      <c r="EF18" s="369">
        <f t="shared" si="25"/>
        <v>0</v>
      </c>
      <c r="EH18" s="322"/>
    </row>
    <row r="19" spans="1:138" ht="13.5" customHeight="1" outlineLevel="1" x14ac:dyDescent="0.25">
      <c r="A19" s="222">
        <v>5134</v>
      </c>
      <c r="B19" s="205" t="s">
        <v>73</v>
      </c>
      <c r="C19" s="369">
        <v>195000</v>
      </c>
      <c r="D19" s="369">
        <v>195000</v>
      </c>
      <c r="E19" s="369">
        <v>195000</v>
      </c>
      <c r="F19" s="369">
        <v>195000</v>
      </c>
      <c r="G19" s="369">
        <f t="shared" ref="G19:G51" si="51">SUM(H19:Q19)+SUM(V19:AE19)+AH19+AK19+SUM(AN19:AQ19)+AT19+BC19+BI19+BL19+BO19+BR19+BU19+BX19+BY19+CB19+CC19+CF19+SUM(CI19:CJ19)+CS19+CV19+CY19+CZ19+DC19+DF19+DI19+DJ19+SUM(DN19:DU19)+CM19+CP19+SUM(DX19:DZ19)+T19+AW19+AZ19+BF19</f>
        <v>210000</v>
      </c>
      <c r="H19" s="234"/>
      <c r="I19" s="155"/>
      <c r="J19" s="155"/>
      <c r="K19" s="155"/>
      <c r="L19" s="155"/>
      <c r="M19" s="155"/>
      <c r="N19" s="155"/>
      <c r="O19" s="155"/>
      <c r="P19" s="155"/>
      <c r="Q19" s="155">
        <f t="shared" si="26"/>
        <v>0</v>
      </c>
      <c r="R19" s="370"/>
      <c r="S19" s="371"/>
      <c r="T19" s="155"/>
      <c r="U19" s="380">
        <f t="shared" ref="U19:U21" si="52">+S19+AS19+CH19+CE19+CA19+DM19+AG19+AM19+AV19+BE19+BK19+BN19+BQ19+BT19+BW19+CL19+CX19+DB19+DE19+DH19+AJ19+DW19</f>
        <v>0</v>
      </c>
      <c r="V19" s="155">
        <f>'[3]Pečovatelská služba'!$B$4</f>
        <v>20000</v>
      </c>
      <c r="W19" s="155"/>
      <c r="X19" s="155"/>
      <c r="Y19" s="155">
        <f>'[3]Městská policie'!$B$4</f>
        <v>95000</v>
      </c>
      <c r="Z19" s="155"/>
      <c r="AA19" s="155"/>
      <c r="AB19" s="155"/>
      <c r="AC19" s="155"/>
      <c r="AD19" s="155"/>
      <c r="AE19" s="155">
        <f t="shared" si="27"/>
        <v>0</v>
      </c>
      <c r="AF19" s="370"/>
      <c r="AG19" s="370"/>
      <c r="AH19" s="155">
        <f t="shared" si="28"/>
        <v>0</v>
      </c>
      <c r="AI19" s="370"/>
      <c r="AJ19" s="370"/>
      <c r="AK19" s="155">
        <f t="shared" si="29"/>
        <v>0</v>
      </c>
      <c r="AL19" s="370"/>
      <c r="AM19" s="370"/>
      <c r="AN19" s="155">
        <f>[3]Hasiči!$B$4</f>
        <v>95000</v>
      </c>
      <c r="AO19" s="155"/>
      <c r="AP19" s="155"/>
      <c r="AQ19" s="155">
        <f t="shared" si="30"/>
        <v>0</v>
      </c>
      <c r="AR19" s="370"/>
      <c r="AS19" s="370"/>
      <c r="AT19" s="155">
        <f t="shared" si="31"/>
        <v>0</v>
      </c>
      <c r="AU19" s="370"/>
      <c r="AV19" s="370"/>
      <c r="AW19" s="155">
        <f t="shared" si="32"/>
        <v>0</v>
      </c>
      <c r="AX19" s="370"/>
      <c r="AY19" s="370"/>
      <c r="AZ19" s="155">
        <f t="shared" si="33"/>
        <v>0</v>
      </c>
      <c r="BA19" s="370"/>
      <c r="BB19" s="370"/>
      <c r="BC19" s="155">
        <f t="shared" si="34"/>
        <v>0</v>
      </c>
      <c r="BD19" s="370"/>
      <c r="BE19" s="370"/>
      <c r="BF19" s="155">
        <f t="shared" si="35"/>
        <v>0</v>
      </c>
      <c r="BG19" s="370"/>
      <c r="BH19" s="370"/>
      <c r="BI19" s="155">
        <f t="shared" si="36"/>
        <v>0</v>
      </c>
      <c r="BJ19" s="370"/>
      <c r="BK19" s="370"/>
      <c r="BL19" s="155">
        <f t="shared" si="37"/>
        <v>0</v>
      </c>
      <c r="BM19" s="370"/>
      <c r="BN19" s="370"/>
      <c r="BO19" s="155">
        <f t="shared" si="38"/>
        <v>0</v>
      </c>
      <c r="BP19" s="370"/>
      <c r="BQ19" s="370"/>
      <c r="BR19" s="155">
        <f t="shared" si="39"/>
        <v>0</v>
      </c>
      <c r="BS19" s="370"/>
      <c r="BT19" s="370"/>
      <c r="BU19" s="155">
        <f t="shared" si="40"/>
        <v>0</v>
      </c>
      <c r="BV19" s="370"/>
      <c r="BW19" s="370"/>
      <c r="BX19" s="155"/>
      <c r="BY19" s="155">
        <f t="shared" si="41"/>
        <v>0</v>
      </c>
      <c r="BZ19" s="370"/>
      <c r="CA19" s="370"/>
      <c r="CB19" s="155"/>
      <c r="CC19" s="155">
        <f t="shared" si="42"/>
        <v>0</v>
      </c>
      <c r="CD19" s="370"/>
      <c r="CE19" s="370"/>
      <c r="CF19" s="155">
        <f t="shared" si="43"/>
        <v>0</v>
      </c>
      <c r="CG19" s="370"/>
      <c r="CH19" s="370"/>
      <c r="CI19" s="155"/>
      <c r="CJ19" s="155">
        <f t="shared" si="44"/>
        <v>0</v>
      </c>
      <c r="CK19" s="370"/>
      <c r="CL19" s="370"/>
      <c r="CM19" s="155"/>
      <c r="CN19" s="370"/>
      <c r="CO19" s="370"/>
      <c r="CP19" s="155"/>
      <c r="CQ19" s="370"/>
      <c r="CR19" s="370"/>
      <c r="CS19" s="155"/>
      <c r="CT19" s="370"/>
      <c r="CU19" s="370"/>
      <c r="CV19" s="155">
        <f t="shared" si="45"/>
        <v>0</v>
      </c>
      <c r="CW19" s="370"/>
      <c r="CX19" s="370"/>
      <c r="CY19" s="155"/>
      <c r="CZ19" s="155">
        <f t="shared" si="46"/>
        <v>0</v>
      </c>
      <c r="DA19" s="370"/>
      <c r="DB19" s="370"/>
      <c r="DC19" s="155">
        <f t="shared" si="47"/>
        <v>0</v>
      </c>
      <c r="DD19" s="370"/>
      <c r="DE19" s="370"/>
      <c r="DF19" s="155">
        <f t="shared" si="48"/>
        <v>0</v>
      </c>
      <c r="DG19" s="370"/>
      <c r="DH19" s="370"/>
      <c r="DI19" s="155"/>
      <c r="DJ19" s="155">
        <f t="shared" si="49"/>
        <v>0</v>
      </c>
      <c r="DL19" s="370"/>
      <c r="DM19" s="370"/>
      <c r="DN19" s="155"/>
      <c r="DO19" s="155"/>
      <c r="DP19" s="155"/>
      <c r="DQ19" s="155"/>
      <c r="DR19" s="155"/>
      <c r="DS19" s="155"/>
      <c r="DT19" s="155"/>
      <c r="DU19" s="155"/>
      <c r="DV19" s="370"/>
      <c r="DW19" s="370"/>
      <c r="DX19" s="155"/>
      <c r="DY19" s="155"/>
      <c r="DZ19" s="373"/>
      <c r="EA19" s="190">
        <f t="shared" ref="EA19:EA33" si="53">+H19+I19+J19+L19+N19+O19+Q19+T19+U19+V19+X19+Y19+Z19+AB19+AC19+AD19+AE19+AH19+AK19+AN19+AO19+AP19+AQ19+AT19+BC19+BI19+BL19+BO19+BR19+BU19+BX19+BY19+CB19+CC19+CF19+CI19+CJ19+CM19+CP19+CS19+CV19+CY19+CZ19+DC19+DF19+DI19+DJ19+DN19+DO19+DP19+DQ19+DR19+DT19+DU19+DX19+DY19+DZ19+BF19+AZ19+AW19+AA19-U19+K19+M19+W19</f>
        <v>210000</v>
      </c>
      <c r="EB19" s="337">
        <f t="shared" si="24"/>
        <v>0</v>
      </c>
      <c r="EC19" s="338"/>
      <c r="ED19" s="369">
        <f t="shared" ref="ED19:ED51" si="54">+G19-EF19</f>
        <v>210000</v>
      </c>
      <c r="EE19" s="338">
        <f t="shared" si="7"/>
        <v>0</v>
      </c>
      <c r="EF19" s="369">
        <f t="shared" si="25"/>
        <v>0</v>
      </c>
      <c r="EH19" s="322"/>
    </row>
    <row r="20" spans="1:138" ht="13.5" customHeight="1" outlineLevel="1" x14ac:dyDescent="0.25">
      <c r="A20" s="222">
        <v>5136</v>
      </c>
      <c r="B20" s="205" t="s">
        <v>74</v>
      </c>
      <c r="C20" s="369">
        <v>313000</v>
      </c>
      <c r="D20" s="369">
        <v>313000</v>
      </c>
      <c r="E20" s="369">
        <v>313000</v>
      </c>
      <c r="F20" s="369">
        <v>313000</v>
      </c>
      <c r="G20" s="369">
        <f t="shared" si="51"/>
        <v>343000</v>
      </c>
      <c r="H20" s="234"/>
      <c r="I20" s="155"/>
      <c r="J20" s="155"/>
      <c r="K20" s="155"/>
      <c r="L20" s="155"/>
      <c r="M20" s="155"/>
      <c r="N20" s="155">
        <f>[3]Zastupitelé!$B$4</f>
        <v>8000</v>
      </c>
      <c r="O20" s="155"/>
      <c r="P20" s="155"/>
      <c r="Q20" s="155">
        <f t="shared" si="26"/>
        <v>45000</v>
      </c>
      <c r="R20" s="370">
        <f>[3]Správa!$D$4</f>
        <v>45000</v>
      </c>
      <c r="S20" s="371">
        <f>[3]Správa!$E$4</f>
        <v>0</v>
      </c>
      <c r="T20" s="155"/>
      <c r="U20" s="380">
        <f t="shared" si="52"/>
        <v>0</v>
      </c>
      <c r="V20" s="155"/>
      <c r="W20" s="155"/>
      <c r="X20" s="155"/>
      <c r="Y20" s="155">
        <f>'[3]Městská policie'!$B$11</f>
        <v>5000</v>
      </c>
      <c r="Z20" s="155">
        <f>[3]Kronika!$B$4</f>
        <v>5000</v>
      </c>
      <c r="AA20" s="155"/>
      <c r="AB20" s="155">
        <f>[3]Knihovna!$B$4</f>
        <v>280000</v>
      </c>
      <c r="AC20" s="155"/>
      <c r="AD20" s="155"/>
      <c r="AE20" s="155">
        <f t="shared" si="27"/>
        <v>0</v>
      </c>
      <c r="AF20" s="370"/>
      <c r="AG20" s="370"/>
      <c r="AH20" s="155">
        <f t="shared" si="28"/>
        <v>0</v>
      </c>
      <c r="AI20" s="370"/>
      <c r="AJ20" s="370"/>
      <c r="AK20" s="155">
        <f t="shared" si="29"/>
        <v>0</v>
      </c>
      <c r="AL20" s="370"/>
      <c r="AM20" s="370"/>
      <c r="AN20" s="155"/>
      <c r="AO20" s="155"/>
      <c r="AP20" s="155"/>
      <c r="AQ20" s="155">
        <f t="shared" si="30"/>
        <v>0</v>
      </c>
      <c r="AR20" s="370"/>
      <c r="AS20" s="370"/>
      <c r="AT20" s="155">
        <f t="shared" si="31"/>
        <v>0</v>
      </c>
      <c r="AU20" s="370"/>
      <c r="AV20" s="370"/>
      <c r="AW20" s="155">
        <f t="shared" si="32"/>
        <v>0</v>
      </c>
      <c r="AX20" s="370"/>
      <c r="AY20" s="370"/>
      <c r="AZ20" s="155">
        <f t="shared" si="33"/>
        <v>0</v>
      </c>
      <c r="BA20" s="370"/>
      <c r="BB20" s="370"/>
      <c r="BC20" s="155">
        <f t="shared" si="34"/>
        <v>0</v>
      </c>
      <c r="BD20" s="370"/>
      <c r="BE20" s="370"/>
      <c r="BF20" s="155">
        <f t="shared" si="35"/>
        <v>0</v>
      </c>
      <c r="BG20" s="370"/>
      <c r="BH20" s="370"/>
      <c r="BI20" s="155">
        <f t="shared" si="36"/>
        <v>0</v>
      </c>
      <c r="BJ20" s="370"/>
      <c r="BK20" s="370"/>
      <c r="BL20" s="155">
        <f t="shared" si="37"/>
        <v>0</v>
      </c>
      <c r="BM20" s="370"/>
      <c r="BN20" s="370"/>
      <c r="BO20" s="155">
        <f t="shared" si="38"/>
        <v>0</v>
      </c>
      <c r="BP20" s="370"/>
      <c r="BQ20" s="370"/>
      <c r="BR20" s="155">
        <f t="shared" si="39"/>
        <v>0</v>
      </c>
      <c r="BS20" s="370"/>
      <c r="BT20" s="370"/>
      <c r="BU20" s="155">
        <f t="shared" si="40"/>
        <v>0</v>
      </c>
      <c r="BV20" s="370"/>
      <c r="BW20" s="370"/>
      <c r="BX20" s="155"/>
      <c r="BY20" s="155">
        <f t="shared" si="41"/>
        <v>0</v>
      </c>
      <c r="BZ20" s="370"/>
      <c r="CA20" s="370"/>
      <c r="CB20" s="155"/>
      <c r="CC20" s="155">
        <f t="shared" si="42"/>
        <v>0</v>
      </c>
      <c r="CD20" s="370"/>
      <c r="CE20" s="370"/>
      <c r="CF20" s="155">
        <f t="shared" si="43"/>
        <v>0</v>
      </c>
      <c r="CG20" s="370"/>
      <c r="CH20" s="370"/>
      <c r="CI20" s="155"/>
      <c r="CJ20" s="155">
        <f t="shared" si="44"/>
        <v>0</v>
      </c>
      <c r="CK20" s="370"/>
      <c r="CL20" s="370"/>
      <c r="CM20" s="155"/>
      <c r="CN20" s="370"/>
      <c r="CO20" s="370"/>
      <c r="CP20" s="155"/>
      <c r="CQ20" s="370"/>
      <c r="CR20" s="370"/>
      <c r="CS20" s="155"/>
      <c r="CT20" s="370"/>
      <c r="CU20" s="370"/>
      <c r="CV20" s="155">
        <f t="shared" si="45"/>
        <v>0</v>
      </c>
      <c r="CW20" s="370"/>
      <c r="CX20" s="370"/>
      <c r="CY20" s="155"/>
      <c r="CZ20" s="155">
        <f t="shared" si="46"/>
        <v>0</v>
      </c>
      <c r="DA20" s="370"/>
      <c r="DB20" s="370"/>
      <c r="DC20" s="155">
        <f t="shared" si="47"/>
        <v>0</v>
      </c>
      <c r="DD20" s="370"/>
      <c r="DE20" s="370"/>
      <c r="DF20" s="155">
        <f t="shared" si="48"/>
        <v>0</v>
      </c>
      <c r="DG20" s="370"/>
      <c r="DH20" s="370"/>
      <c r="DI20" s="155"/>
      <c r="DJ20" s="155">
        <f t="shared" si="49"/>
        <v>0</v>
      </c>
      <c r="DK20" s="370"/>
      <c r="DL20" s="370"/>
      <c r="DM20" s="370"/>
      <c r="DN20" s="155"/>
      <c r="DO20" s="155"/>
      <c r="DP20" s="155"/>
      <c r="DQ20" s="155"/>
      <c r="DR20" s="155"/>
      <c r="DS20" s="155"/>
      <c r="DT20" s="155"/>
      <c r="DU20" s="155"/>
      <c r="DV20" s="370"/>
      <c r="DW20" s="370"/>
      <c r="DX20" s="155"/>
      <c r="DY20" s="155"/>
      <c r="DZ20" s="373"/>
      <c r="EA20" s="190">
        <f t="shared" si="53"/>
        <v>343000</v>
      </c>
      <c r="EB20" s="337">
        <f t="shared" si="24"/>
        <v>0</v>
      </c>
      <c r="EC20" s="338"/>
      <c r="ED20" s="369">
        <f t="shared" si="54"/>
        <v>343000</v>
      </c>
      <c r="EE20" s="338">
        <f t="shared" si="7"/>
        <v>0</v>
      </c>
      <c r="EF20" s="369">
        <f t="shared" si="25"/>
        <v>0</v>
      </c>
      <c r="EH20" s="322"/>
    </row>
    <row r="21" spans="1:138" ht="13.5" customHeight="1" outlineLevel="1" x14ac:dyDescent="0.25">
      <c r="A21" s="222">
        <v>5137</v>
      </c>
      <c r="B21" s="205" t="s">
        <v>75</v>
      </c>
      <c r="C21" s="369">
        <v>2044000</v>
      </c>
      <c r="D21" s="369">
        <v>2044000</v>
      </c>
      <c r="E21" s="369">
        <v>2044000</v>
      </c>
      <c r="F21" s="369">
        <v>2044000</v>
      </c>
      <c r="G21" s="369">
        <f t="shared" si="51"/>
        <v>1999000</v>
      </c>
      <c r="H21" s="234"/>
      <c r="I21" s="155"/>
      <c r="J21" s="155"/>
      <c r="K21" s="155"/>
      <c r="L21" s="155"/>
      <c r="M21" s="155">
        <f>+'[4]Particitivní rozpočet'!$B$4+'[3]Participativní rozpočet'!$B$4</f>
        <v>0</v>
      </c>
      <c r="N21" s="155">
        <f>[3]Zastupitelé!$B$10</f>
        <v>50000</v>
      </c>
      <c r="O21" s="155">
        <f>'[2]Volby_6115 '!$B$11</f>
        <v>0</v>
      </c>
      <c r="P21" s="155">
        <f>'[2]Volby_6115 '!$B$11</f>
        <v>0</v>
      </c>
      <c r="Q21" s="155">
        <f t="shared" si="26"/>
        <v>694000</v>
      </c>
      <c r="R21" s="370">
        <f>[3]Správa!$D$11</f>
        <v>694000</v>
      </c>
      <c r="S21" s="371">
        <f>[3]Správa!$E$11</f>
        <v>0</v>
      </c>
      <c r="T21" s="155"/>
      <c r="U21" s="380">
        <f t="shared" si="52"/>
        <v>0</v>
      </c>
      <c r="V21" s="155">
        <f>'[3]Pečovatelská služba'!$B$11</f>
        <v>50000</v>
      </c>
      <c r="W21" s="155"/>
      <c r="X21" s="155"/>
      <c r="Y21" s="155">
        <f>'[3]Městská policie'!$B$18</f>
        <v>150000</v>
      </c>
      <c r="Z21" s="155"/>
      <c r="AA21" s="155">
        <f>+'[4]Hotel Budka'!$B$4</f>
        <v>0</v>
      </c>
      <c r="AB21" s="155">
        <f>[3]Knihovna!$B$11</f>
        <v>90000</v>
      </c>
      <c r="AC21" s="155"/>
      <c r="AD21" s="155">
        <f>[3]Kultura!$B$4</f>
        <v>120000</v>
      </c>
      <c r="AE21" s="155">
        <f t="shared" si="27"/>
        <v>400000</v>
      </c>
      <c r="AF21" s="370">
        <f>+[4]Byty!$B$4</f>
        <v>400000</v>
      </c>
      <c r="AG21" s="370">
        <v>0</v>
      </c>
      <c r="AH21" s="155">
        <f t="shared" si="28"/>
        <v>30000</v>
      </c>
      <c r="AI21" s="370">
        <f>+[4]DPS!$B$4</f>
        <v>30000</v>
      </c>
      <c r="AJ21" s="370">
        <v>0</v>
      </c>
      <c r="AK21" s="155">
        <f t="shared" si="29"/>
        <v>0</v>
      </c>
      <c r="AL21" s="370"/>
      <c r="AM21" s="370"/>
      <c r="AN21" s="155">
        <f>[3]Hasiči!$B$11</f>
        <v>265000</v>
      </c>
      <c r="AO21" s="155"/>
      <c r="AP21" s="155"/>
      <c r="AQ21" s="155">
        <f t="shared" si="30"/>
        <v>0</v>
      </c>
      <c r="AR21" s="370"/>
      <c r="AS21" s="370"/>
      <c r="AT21" s="155">
        <f t="shared" si="31"/>
        <v>0</v>
      </c>
      <c r="AU21" s="370"/>
      <c r="AV21" s="370"/>
      <c r="AW21" s="155">
        <f t="shared" si="32"/>
        <v>0</v>
      </c>
      <c r="AX21" s="370"/>
      <c r="AY21" s="370"/>
      <c r="AZ21" s="155">
        <f t="shared" si="33"/>
        <v>0</v>
      </c>
      <c r="BA21" s="370"/>
      <c r="BB21" s="370"/>
      <c r="BC21" s="155">
        <f t="shared" si="34"/>
        <v>0</v>
      </c>
      <c r="BD21" s="370"/>
      <c r="BE21" s="370"/>
      <c r="BF21" s="155">
        <f t="shared" si="35"/>
        <v>0</v>
      </c>
      <c r="BG21" s="370"/>
      <c r="BH21" s="370"/>
      <c r="BI21" s="155">
        <f t="shared" si="36"/>
        <v>50000</v>
      </c>
      <c r="BJ21" s="370">
        <f>[3]č.p.65!$D$4</f>
        <v>50000</v>
      </c>
      <c r="BK21" s="370">
        <f>[3]č.p.65!$E$4</f>
        <v>0</v>
      </c>
      <c r="BL21" s="155">
        <f t="shared" si="37"/>
        <v>0</v>
      </c>
      <c r="BM21" s="370"/>
      <c r="BN21" s="370"/>
      <c r="BO21" s="155">
        <f t="shared" si="38"/>
        <v>0</v>
      </c>
      <c r="BP21" s="370"/>
      <c r="BQ21" s="370"/>
      <c r="BR21" s="155">
        <f t="shared" si="39"/>
        <v>0</v>
      </c>
      <c r="BS21" s="370"/>
      <c r="BT21" s="370"/>
      <c r="BU21" s="155">
        <f t="shared" si="40"/>
        <v>0</v>
      </c>
      <c r="BV21" s="370"/>
      <c r="BW21" s="370"/>
      <c r="BX21" s="155"/>
      <c r="BY21" s="155">
        <f t="shared" si="41"/>
        <v>0</v>
      </c>
      <c r="BZ21" s="370"/>
      <c r="CA21" s="370"/>
      <c r="CB21" s="155"/>
      <c r="CC21" s="155">
        <f t="shared" si="42"/>
        <v>0</v>
      </c>
      <c r="CD21" s="370"/>
      <c r="CE21" s="370"/>
      <c r="CF21" s="155">
        <f t="shared" si="43"/>
        <v>100000</v>
      </c>
      <c r="CG21" s="382">
        <f>+[4]Silnice!$B$4</f>
        <v>100000</v>
      </c>
      <c r="CH21" s="370">
        <v>0</v>
      </c>
      <c r="CI21" s="155"/>
      <c r="CJ21" s="155">
        <f t="shared" si="44"/>
        <v>0</v>
      </c>
      <c r="CK21" s="370"/>
      <c r="CL21" s="370"/>
      <c r="CM21" s="155"/>
      <c r="CN21" s="370"/>
      <c r="CO21" s="370"/>
      <c r="CP21" s="155"/>
      <c r="CQ21" s="370"/>
      <c r="CR21" s="370"/>
      <c r="CS21" s="155"/>
      <c r="CT21" s="370"/>
      <c r="CU21" s="370"/>
      <c r="CV21" s="155">
        <f t="shared" si="45"/>
        <v>0</v>
      </c>
      <c r="CW21" s="370"/>
      <c r="CX21" s="370"/>
      <c r="CY21" s="155"/>
      <c r="CZ21" s="155">
        <f t="shared" si="46"/>
        <v>0</v>
      </c>
      <c r="DA21" s="370"/>
      <c r="DB21" s="370"/>
      <c r="DC21" s="155">
        <f t="shared" si="47"/>
        <v>0</v>
      </c>
      <c r="DD21" s="370"/>
      <c r="DE21" s="370"/>
      <c r="DF21" s="155">
        <f t="shared" si="48"/>
        <v>0</v>
      </c>
      <c r="DG21" s="370"/>
      <c r="DH21" s="370"/>
      <c r="DI21" s="155"/>
      <c r="DJ21" s="155">
        <f t="shared" si="49"/>
        <v>0</v>
      </c>
      <c r="DK21" s="370"/>
      <c r="DL21" s="370"/>
      <c r="DM21" s="370"/>
      <c r="DN21" s="155"/>
      <c r="DO21" s="155"/>
      <c r="DP21" s="155"/>
      <c r="DQ21" s="155"/>
      <c r="DR21" s="155"/>
      <c r="DS21" s="155"/>
      <c r="DT21" s="155"/>
      <c r="DU21" s="155"/>
      <c r="DV21" s="370"/>
      <c r="DW21" s="370"/>
      <c r="DX21" s="155"/>
      <c r="DY21" s="155"/>
      <c r="DZ21" s="373"/>
      <c r="EA21" s="190">
        <f t="shared" si="53"/>
        <v>1999000</v>
      </c>
      <c r="EB21" s="337">
        <f t="shared" si="24"/>
        <v>0</v>
      </c>
      <c r="EC21" s="338"/>
      <c r="ED21" s="369">
        <f t="shared" si="54"/>
        <v>1999000</v>
      </c>
      <c r="EE21" s="338">
        <f t="shared" si="7"/>
        <v>0</v>
      </c>
      <c r="EF21" s="369">
        <f t="shared" si="25"/>
        <v>0</v>
      </c>
      <c r="EH21" s="322"/>
    </row>
    <row r="22" spans="1:138" ht="13.5" customHeight="1" outlineLevel="1" x14ac:dyDescent="0.25">
      <c r="A22" s="222">
        <v>5139</v>
      </c>
      <c r="B22" s="205" t="s">
        <v>76</v>
      </c>
      <c r="C22" s="369">
        <v>2984000</v>
      </c>
      <c r="D22" s="369">
        <v>3034000</v>
      </c>
      <c r="E22" s="369">
        <v>3034000</v>
      </c>
      <c r="F22" s="369">
        <v>3034000</v>
      </c>
      <c r="G22" s="369">
        <f>SUM(H22:Q22)+SUM(V22:AE22)+AH22+AK22+SUM(AN22:AQ22)+AT22+BC22+BI22+BL22+BO22+BR22+BU22+BX22+BY22+CB22+CC22+CF22+SUM(CI22:CJ22)+CS22+CV22+CY22+CZ22+DC22+DF22+DI22+DJ22+SUM(DN22:DU22)+CM22+CP22+SUM(DX22:DZ22)+T22+AW22+AZ22+BF22</f>
        <v>3041687.17</v>
      </c>
      <c r="H22" s="234"/>
      <c r="I22" s="155"/>
      <c r="J22" s="155"/>
      <c r="K22" s="155"/>
      <c r="L22" s="155"/>
      <c r="M22" s="155">
        <f>+'[4]Particitivní rozpočet'!$B$11+'[3]Participativní rozpočet'!$B$11</f>
        <v>0</v>
      </c>
      <c r="N22" s="155">
        <f>[3]Zastupitelé!$B$17</f>
        <v>55000</v>
      </c>
      <c r="O22" s="155">
        <f>+'[2]Volby_6115 '!$B$18</f>
        <v>4913</v>
      </c>
      <c r="P22" s="155">
        <f>+[2]Volby_6117!$B$18</f>
        <v>2774.17</v>
      </c>
      <c r="Q22" s="155">
        <f t="shared" si="26"/>
        <v>720000</v>
      </c>
      <c r="R22" s="370">
        <f>[3]Správa!$D$18</f>
        <v>650000</v>
      </c>
      <c r="S22" s="371">
        <f>[3]Správa!$E$18</f>
        <v>70000</v>
      </c>
      <c r="T22" s="155"/>
      <c r="U22" s="381">
        <f>+S22+AS22+CH22+CE22+CA22+DM22+AG22+AM22+AV22+BE22+BK22+BN22+BQ22+BT22+BW22+CL22+CX22+DB22+DE22+DH22+AJ22+DW22</f>
        <v>90000</v>
      </c>
      <c r="V22" s="155">
        <f>'[3]Pečovatelská služba'!$B$18</f>
        <v>70000</v>
      </c>
      <c r="W22" s="155"/>
      <c r="X22" s="155"/>
      <c r="Y22" s="155">
        <f>'[3]Městská policie'!$B$28</f>
        <v>65000</v>
      </c>
      <c r="Z22" s="155">
        <f>[3]Kronika!$B$11</f>
        <v>4000</v>
      </c>
      <c r="AA22" s="155">
        <f>+'[4]Hotel Budka'!$B$11</f>
        <v>0</v>
      </c>
      <c r="AB22" s="155">
        <f>[3]Knihovna!$B$19</f>
        <v>50000</v>
      </c>
      <c r="AC22" s="155"/>
      <c r="AD22" s="155">
        <f>[3]Kultura!$B$13</f>
        <v>100000</v>
      </c>
      <c r="AE22" s="155">
        <f t="shared" si="27"/>
        <v>50000</v>
      </c>
      <c r="AF22" s="370">
        <f>+[4]Byty!$B$11</f>
        <v>50000</v>
      </c>
      <c r="AG22" s="370">
        <v>0</v>
      </c>
      <c r="AH22" s="155">
        <f t="shared" si="28"/>
        <v>320000</v>
      </c>
      <c r="AI22" s="370">
        <f>+[4]DPS!$B$12</f>
        <v>320000</v>
      </c>
      <c r="AJ22" s="370">
        <v>0</v>
      </c>
      <c r="AK22" s="155">
        <f t="shared" si="29"/>
        <v>0</v>
      </c>
      <c r="AL22" s="370"/>
      <c r="AM22" s="370"/>
      <c r="AN22" s="155">
        <f>+[4]Hasiči!$B$4+[3]Hasiči!$B$19</f>
        <v>70000</v>
      </c>
      <c r="AO22" s="155"/>
      <c r="AP22" s="155"/>
      <c r="AQ22" s="155">
        <f t="shared" ref="AQ22" si="55">+AR22+AS22</f>
        <v>50000</v>
      </c>
      <c r="AR22" s="370">
        <f>+[4]Hřbitov!$D$4</f>
        <v>30000</v>
      </c>
      <c r="AS22" s="370">
        <f>+[4]Hřbitov!$E$4</f>
        <v>20000</v>
      </c>
      <c r="AT22" s="155">
        <f t="shared" si="31"/>
        <v>0</v>
      </c>
      <c r="AU22" s="370"/>
      <c r="AV22" s="370"/>
      <c r="AW22" s="155">
        <f t="shared" si="32"/>
        <v>0</v>
      </c>
      <c r="AX22" s="370"/>
      <c r="AY22" s="370"/>
      <c r="AZ22" s="155">
        <f t="shared" si="33"/>
        <v>0</v>
      </c>
      <c r="BA22" s="370"/>
      <c r="BB22" s="370"/>
      <c r="BC22" s="155">
        <f t="shared" si="34"/>
        <v>0</v>
      </c>
      <c r="BD22" s="370"/>
      <c r="BE22" s="370"/>
      <c r="BF22" s="155">
        <f t="shared" si="35"/>
        <v>0</v>
      </c>
      <c r="BG22" s="370"/>
      <c r="BH22" s="370"/>
      <c r="BI22" s="155">
        <f t="shared" si="36"/>
        <v>30000</v>
      </c>
      <c r="BJ22" s="370">
        <f>[3]č.p.65!$D$11</f>
        <v>30000</v>
      </c>
      <c r="BK22" s="370">
        <f>[3]č.p.65!$E$11</f>
        <v>0</v>
      </c>
      <c r="BL22" s="155">
        <f t="shared" si="37"/>
        <v>0</v>
      </c>
      <c r="BM22" s="370"/>
      <c r="BN22" s="370"/>
      <c r="BO22" s="155">
        <f t="shared" si="38"/>
        <v>0</v>
      </c>
      <c r="BP22" s="370"/>
      <c r="BQ22" s="370"/>
      <c r="BR22" s="155">
        <f t="shared" si="39"/>
        <v>0</v>
      </c>
      <c r="BS22" s="370"/>
      <c r="BT22" s="370"/>
      <c r="BU22" s="155">
        <f t="shared" si="40"/>
        <v>0</v>
      </c>
      <c r="BV22" s="370"/>
      <c r="BW22" s="370"/>
      <c r="BX22" s="155"/>
      <c r="BY22" s="155">
        <f t="shared" si="41"/>
        <v>0</v>
      </c>
      <c r="BZ22" s="370"/>
      <c r="CA22" s="370"/>
      <c r="CB22" s="155"/>
      <c r="CC22" s="155">
        <f t="shared" si="42"/>
        <v>150000</v>
      </c>
      <c r="CD22" s="370">
        <f>+[4]VO!$D$4</f>
        <v>150000</v>
      </c>
      <c r="CE22" s="370">
        <f>+[4]VO!$E$4</f>
        <v>0</v>
      </c>
      <c r="CF22" s="155">
        <f t="shared" si="43"/>
        <v>1100000</v>
      </c>
      <c r="CG22" s="370">
        <f>+'[5]Silnice nákup materiálu'!$B$3</f>
        <v>1100000</v>
      </c>
      <c r="CH22" s="370">
        <f>'[5]Silnice nákup materiálu'!$E$3</f>
        <v>0</v>
      </c>
      <c r="CI22" s="155"/>
      <c r="CJ22" s="155">
        <f t="shared" si="44"/>
        <v>0</v>
      </c>
      <c r="CK22" s="370"/>
      <c r="CL22" s="370"/>
      <c r="CM22" s="155"/>
      <c r="CN22" s="370"/>
      <c r="CO22" s="370"/>
      <c r="CP22" s="155"/>
      <c r="CQ22" s="370"/>
      <c r="CR22" s="370"/>
      <c r="CS22" s="155"/>
      <c r="CT22" s="370"/>
      <c r="CU22" s="370"/>
      <c r="CV22" s="155">
        <f t="shared" si="45"/>
        <v>0</v>
      </c>
      <c r="CW22" s="370"/>
      <c r="CX22" s="370"/>
      <c r="CY22" s="155"/>
      <c r="CZ22" s="155">
        <f t="shared" si="46"/>
        <v>0</v>
      </c>
      <c r="DA22" s="370"/>
      <c r="DB22" s="370"/>
      <c r="DC22" s="155">
        <f t="shared" si="47"/>
        <v>0</v>
      </c>
      <c r="DD22" s="370"/>
      <c r="DE22" s="370"/>
      <c r="DF22" s="155">
        <f t="shared" si="48"/>
        <v>0</v>
      </c>
      <c r="DG22" s="370"/>
      <c r="DH22" s="370"/>
      <c r="DI22" s="155"/>
      <c r="DJ22" s="336">
        <f>+DK22+DL22+DM22</f>
        <v>200000</v>
      </c>
      <c r="DK22" s="370">
        <f>'[6]Příroda 3749'!$D$4</f>
        <v>200000</v>
      </c>
      <c r="DL22" s="370"/>
      <c r="DM22" s="382">
        <f>'[6]Příroda 3749'!$E$4</f>
        <v>0</v>
      </c>
      <c r="DN22" s="155"/>
      <c r="DO22" s="155"/>
      <c r="DP22" s="155"/>
      <c r="DQ22" s="155"/>
      <c r="DR22" s="155"/>
      <c r="DS22" s="155"/>
      <c r="DT22" s="155"/>
      <c r="DU22" s="155"/>
      <c r="DV22" s="370"/>
      <c r="DW22" s="382"/>
      <c r="DX22" s="155"/>
      <c r="DY22" s="155"/>
      <c r="DZ22" s="373"/>
      <c r="EA22" s="190">
        <f t="shared" si="53"/>
        <v>3038913</v>
      </c>
      <c r="EB22" s="337">
        <f t="shared" si="24"/>
        <v>-2774.1699999999255</v>
      </c>
      <c r="EC22" s="338"/>
      <c r="ED22" s="369">
        <f t="shared" si="54"/>
        <v>2951687.17</v>
      </c>
      <c r="EE22" s="338">
        <f t="shared" si="7"/>
        <v>0</v>
      </c>
      <c r="EF22" s="369">
        <f t="shared" si="25"/>
        <v>90000</v>
      </c>
      <c r="EH22" s="322"/>
    </row>
    <row r="23" spans="1:138" ht="13.5" customHeight="1" outlineLevel="1" x14ac:dyDescent="0.25">
      <c r="A23" s="222">
        <v>5151</v>
      </c>
      <c r="B23" s="205" t="s">
        <v>77</v>
      </c>
      <c r="C23" s="369">
        <v>720000</v>
      </c>
      <c r="D23" s="369">
        <v>720000</v>
      </c>
      <c r="E23" s="369">
        <v>720000</v>
      </c>
      <c r="F23" s="369">
        <v>720000</v>
      </c>
      <c r="G23" s="369">
        <f t="shared" si="51"/>
        <v>720000</v>
      </c>
      <c r="H23" s="234"/>
      <c r="I23" s="155"/>
      <c r="J23" s="155"/>
      <c r="K23" s="155"/>
      <c r="L23" s="155"/>
      <c r="M23" s="155"/>
      <c r="N23" s="155"/>
      <c r="O23" s="155"/>
      <c r="P23" s="155"/>
      <c r="Q23" s="155">
        <f t="shared" si="26"/>
        <v>75000</v>
      </c>
      <c r="R23" s="370">
        <f>[2]Správa!$B$4</f>
        <v>75000</v>
      </c>
      <c r="S23" s="371"/>
      <c r="T23" s="155"/>
      <c r="U23" s="380">
        <f t="shared" ref="U23:U50" si="56">+S23+AS23+CH23+CE23+CA23+DM23+AG23+AM23+AV23+BE23+BK23+BN23+BQ23+BT23+BW23+CL23+CX23+DB23+DE23+DH23+AJ23+DW23</f>
        <v>0</v>
      </c>
      <c r="V23" s="155"/>
      <c r="W23" s="155"/>
      <c r="X23" s="155"/>
      <c r="Y23" s="155"/>
      <c r="Z23" s="155"/>
      <c r="AA23" s="155">
        <f>'[2]Hotel Budka'!$B$4</f>
        <v>32000</v>
      </c>
      <c r="AB23" s="155">
        <f>[2]Knihovna!$B$4</f>
        <v>5000</v>
      </c>
      <c r="AC23" s="155"/>
      <c r="AD23" s="155"/>
      <c r="AE23" s="155">
        <f t="shared" si="27"/>
        <v>30000</v>
      </c>
      <c r="AF23" s="370">
        <f>[2]Byty!$B$4</f>
        <v>30000</v>
      </c>
      <c r="AG23" s="370"/>
      <c r="AH23" s="155">
        <f t="shared" si="28"/>
        <v>500000</v>
      </c>
      <c r="AI23" s="370">
        <f>[2]DPS!$B$4</f>
        <v>500000</v>
      </c>
      <c r="AJ23" s="370"/>
      <c r="AK23" s="155">
        <f t="shared" si="29"/>
        <v>30000</v>
      </c>
      <c r="AL23" s="370">
        <f>[2]Nebyty!$B$4</f>
        <v>30000</v>
      </c>
      <c r="AM23" s="370"/>
      <c r="AN23" s="155">
        <f>[2]Hasiči!$B$4</f>
        <v>3000</v>
      </c>
      <c r="AO23" s="155"/>
      <c r="AP23" s="155"/>
      <c r="AQ23" s="155">
        <f t="shared" si="30"/>
        <v>10000</v>
      </c>
      <c r="AR23" s="370">
        <f>+[4]Hřbitov!$B$11</f>
        <v>10000</v>
      </c>
      <c r="AS23" s="370"/>
      <c r="AT23" s="155">
        <f>+AU23+AV23</f>
        <v>0</v>
      </c>
      <c r="AU23" s="370"/>
      <c r="AV23" s="370"/>
      <c r="AW23" s="155">
        <f>+AX23+AY23</f>
        <v>0</v>
      </c>
      <c r="AX23" s="370"/>
      <c r="AY23" s="370"/>
      <c r="AZ23" s="155">
        <f>+BA23+BB23</f>
        <v>0</v>
      </c>
      <c r="BA23" s="370"/>
      <c r="BB23" s="370"/>
      <c r="BC23" s="155">
        <f t="shared" si="34"/>
        <v>0</v>
      </c>
      <c r="BD23" s="370">
        <f>[2]ZŠ!$B$4</f>
        <v>0</v>
      </c>
      <c r="BE23" s="370"/>
      <c r="BF23" s="155">
        <f t="shared" si="35"/>
        <v>0</v>
      </c>
      <c r="BG23" s="370">
        <f>[2]SŠ!$B$4</f>
        <v>0</v>
      </c>
      <c r="BH23" s="370"/>
      <c r="BI23" s="155">
        <f t="shared" si="36"/>
        <v>20000</v>
      </c>
      <c r="BJ23" s="370">
        <f>[2]č.p.65!$B$4</f>
        <v>20000</v>
      </c>
      <c r="BK23" s="370"/>
      <c r="BL23" s="155">
        <f t="shared" si="37"/>
        <v>0</v>
      </c>
      <c r="BM23" s="370"/>
      <c r="BN23" s="370"/>
      <c r="BO23" s="155">
        <f t="shared" si="38"/>
        <v>0</v>
      </c>
      <c r="BP23" s="370"/>
      <c r="BQ23" s="370"/>
      <c r="BR23" s="155">
        <f t="shared" si="39"/>
        <v>0</v>
      </c>
      <c r="BS23" s="370"/>
      <c r="BT23" s="370"/>
      <c r="BU23" s="155">
        <f t="shared" si="40"/>
        <v>0</v>
      </c>
      <c r="BV23" s="370"/>
      <c r="BW23" s="370"/>
      <c r="BX23" s="155"/>
      <c r="BY23" s="155">
        <f t="shared" si="41"/>
        <v>0</v>
      </c>
      <c r="BZ23" s="370"/>
      <c r="CA23" s="370"/>
      <c r="CB23" s="155"/>
      <c r="CC23" s="155">
        <f t="shared" si="42"/>
        <v>0</v>
      </c>
      <c r="CD23" s="370"/>
      <c r="CE23" s="370"/>
      <c r="CF23" s="155">
        <f t="shared" si="43"/>
        <v>15000</v>
      </c>
      <c r="CG23" s="370">
        <f>[2]Silnice!$D$4</f>
        <v>15000</v>
      </c>
      <c r="CH23" s="370">
        <f>[2]Silnice!$E$4</f>
        <v>0</v>
      </c>
      <c r="CI23" s="155"/>
      <c r="CJ23" s="155">
        <f t="shared" si="44"/>
        <v>0</v>
      </c>
      <c r="CK23" s="370"/>
      <c r="CL23" s="370"/>
      <c r="CM23" s="155"/>
      <c r="CN23" s="370"/>
      <c r="CO23" s="370"/>
      <c r="CP23" s="155"/>
      <c r="CQ23" s="370"/>
      <c r="CR23" s="370"/>
      <c r="CS23" s="155"/>
      <c r="CT23" s="370"/>
      <c r="CU23" s="370"/>
      <c r="CV23" s="155">
        <f t="shared" si="45"/>
        <v>0</v>
      </c>
      <c r="CW23" s="370"/>
      <c r="CX23" s="370"/>
      <c r="CY23" s="155"/>
      <c r="CZ23" s="155">
        <f t="shared" si="46"/>
        <v>0</v>
      </c>
      <c r="DA23" s="370"/>
      <c r="DB23" s="370"/>
      <c r="DC23" s="155">
        <f t="shared" si="47"/>
        <v>0</v>
      </c>
      <c r="DD23" s="370"/>
      <c r="DE23" s="370"/>
      <c r="DF23" s="155">
        <f t="shared" si="48"/>
        <v>0</v>
      </c>
      <c r="DG23" s="370"/>
      <c r="DH23" s="370"/>
      <c r="DI23" s="155"/>
      <c r="DJ23" s="155">
        <f t="shared" si="49"/>
        <v>0</v>
      </c>
      <c r="DK23" s="370"/>
      <c r="DL23" s="370"/>
      <c r="DM23" s="370"/>
      <c r="DN23" s="155"/>
      <c r="DO23" s="155"/>
      <c r="DP23" s="155"/>
      <c r="DQ23" s="155"/>
      <c r="DR23" s="155"/>
      <c r="DS23" s="155"/>
      <c r="DT23" s="155"/>
      <c r="DU23" s="155"/>
      <c r="DV23" s="370"/>
      <c r="DW23" s="370"/>
      <c r="DX23" s="155"/>
      <c r="DY23" s="155"/>
      <c r="DZ23" s="373"/>
      <c r="EA23" s="190">
        <f t="shared" si="53"/>
        <v>720000</v>
      </c>
      <c r="EB23" s="337">
        <f t="shared" si="24"/>
        <v>0</v>
      </c>
      <c r="EC23" s="338"/>
      <c r="ED23" s="369">
        <f t="shared" si="54"/>
        <v>720000</v>
      </c>
      <c r="EE23" s="338">
        <f t="shared" si="7"/>
        <v>0</v>
      </c>
      <c r="EF23" s="369">
        <f t="shared" si="25"/>
        <v>0</v>
      </c>
      <c r="EH23" s="322"/>
    </row>
    <row r="24" spans="1:138" s="437" customFormat="1" ht="13.5" customHeight="1" outlineLevel="1" x14ac:dyDescent="0.25">
      <c r="A24" s="222">
        <v>5153</v>
      </c>
      <c r="B24" s="205" t="s">
        <v>78</v>
      </c>
      <c r="C24" s="369">
        <v>4377950</v>
      </c>
      <c r="D24" s="369">
        <v>4377950</v>
      </c>
      <c r="E24" s="369">
        <v>4377950</v>
      </c>
      <c r="F24" s="369">
        <v>4377950</v>
      </c>
      <c r="G24" s="369">
        <f t="shared" si="51"/>
        <v>4377950</v>
      </c>
      <c r="H24" s="234"/>
      <c r="I24" s="155"/>
      <c r="J24" s="155"/>
      <c r="K24" s="155"/>
      <c r="L24" s="155"/>
      <c r="M24" s="155"/>
      <c r="N24" s="155"/>
      <c r="O24" s="155"/>
      <c r="P24" s="155"/>
      <c r="Q24" s="155">
        <f t="shared" si="26"/>
        <v>682500</v>
      </c>
      <c r="R24" s="370">
        <f>[2]Správa!$B$11</f>
        <v>682500</v>
      </c>
      <c r="S24" s="371"/>
      <c r="T24" s="155"/>
      <c r="U24" s="380">
        <f t="shared" si="56"/>
        <v>0</v>
      </c>
      <c r="V24" s="155"/>
      <c r="W24" s="155"/>
      <c r="X24" s="155"/>
      <c r="Y24" s="155"/>
      <c r="Z24" s="155"/>
      <c r="AA24" s="155">
        <f>'[2]Hotel Budka'!$B$11</f>
        <v>343200</v>
      </c>
      <c r="AB24" s="155">
        <f>[2]Knihovna!$B$11</f>
        <v>9750</v>
      </c>
      <c r="AC24" s="155"/>
      <c r="AD24" s="155"/>
      <c r="AE24" s="155">
        <f t="shared" si="27"/>
        <v>234000</v>
      </c>
      <c r="AF24" s="370">
        <f>[2]Byty!$B$11</f>
        <v>234000</v>
      </c>
      <c r="AG24" s="370"/>
      <c r="AH24" s="155">
        <f t="shared" si="28"/>
        <v>1815000</v>
      </c>
      <c r="AI24" s="370">
        <f>[2]DPS!$B$11</f>
        <v>1815000</v>
      </c>
      <c r="AJ24" s="370"/>
      <c r="AK24" s="155">
        <f t="shared" si="29"/>
        <v>975000</v>
      </c>
      <c r="AL24" s="370">
        <f>[2]Nebyty!$B$11</f>
        <v>975000</v>
      </c>
      <c r="AM24" s="370"/>
      <c r="AN24" s="155">
        <f>[2]Hasiči!$B$11</f>
        <v>123500</v>
      </c>
      <c r="AO24" s="155"/>
      <c r="AP24" s="155"/>
      <c r="AQ24" s="155">
        <f t="shared" si="30"/>
        <v>0</v>
      </c>
      <c r="AR24" s="370"/>
      <c r="AS24" s="370"/>
      <c r="AT24" s="155">
        <f t="shared" si="31"/>
        <v>0</v>
      </c>
      <c r="AU24" s="370"/>
      <c r="AV24" s="370"/>
      <c r="AW24" s="155">
        <f t="shared" ref="AW24:AW46" si="57">+AX24+AY24</f>
        <v>0</v>
      </c>
      <c r="AX24" s="370"/>
      <c r="AY24" s="370"/>
      <c r="AZ24" s="155">
        <f t="shared" ref="AZ24:AZ46" si="58">+BA24+BB24</f>
        <v>0</v>
      </c>
      <c r="BA24" s="370"/>
      <c r="BB24" s="370"/>
      <c r="BC24" s="155">
        <f t="shared" si="34"/>
        <v>0</v>
      </c>
      <c r="BD24" s="370">
        <f>[2]ZŠ!$B$11</f>
        <v>0</v>
      </c>
      <c r="BE24" s="370"/>
      <c r="BF24" s="155">
        <f t="shared" si="35"/>
        <v>0</v>
      </c>
      <c r="BG24" s="370">
        <f>[2]SŠ!$B$11</f>
        <v>0</v>
      </c>
      <c r="BH24" s="370"/>
      <c r="BI24" s="155">
        <f t="shared" si="36"/>
        <v>195000</v>
      </c>
      <c r="BJ24" s="370">
        <f>[2]č.p.65!$B$11</f>
        <v>195000</v>
      </c>
      <c r="BK24" s="370"/>
      <c r="BL24" s="155">
        <f t="shared" si="37"/>
        <v>0</v>
      </c>
      <c r="BM24" s="370"/>
      <c r="BN24" s="370"/>
      <c r="BO24" s="155">
        <f t="shared" si="38"/>
        <v>0</v>
      </c>
      <c r="BP24" s="370"/>
      <c r="BQ24" s="370"/>
      <c r="BR24" s="155">
        <f t="shared" si="39"/>
        <v>0</v>
      </c>
      <c r="BS24" s="370"/>
      <c r="BT24" s="370"/>
      <c r="BU24" s="155">
        <f t="shared" si="40"/>
        <v>0</v>
      </c>
      <c r="BV24" s="370"/>
      <c r="BW24" s="370"/>
      <c r="BX24" s="155"/>
      <c r="BY24" s="155">
        <f t="shared" si="41"/>
        <v>0</v>
      </c>
      <c r="BZ24" s="370"/>
      <c r="CA24" s="370"/>
      <c r="CB24" s="155"/>
      <c r="CC24" s="155">
        <f t="shared" si="42"/>
        <v>0</v>
      </c>
      <c r="CD24" s="370"/>
      <c r="CE24" s="370"/>
      <c r="CF24" s="155">
        <f t="shared" si="43"/>
        <v>0</v>
      </c>
      <c r="CG24" s="370"/>
      <c r="CH24" s="370"/>
      <c r="CI24" s="155"/>
      <c r="CJ24" s="155">
        <f t="shared" si="44"/>
        <v>0</v>
      </c>
      <c r="CK24" s="370"/>
      <c r="CL24" s="370"/>
      <c r="CM24" s="155"/>
      <c r="CN24" s="370"/>
      <c r="CO24" s="370"/>
      <c r="CP24" s="155"/>
      <c r="CQ24" s="370"/>
      <c r="CR24" s="370"/>
      <c r="CS24" s="155"/>
      <c r="CT24" s="370"/>
      <c r="CU24" s="370"/>
      <c r="CV24" s="155">
        <f t="shared" si="45"/>
        <v>0</v>
      </c>
      <c r="CW24" s="370"/>
      <c r="CX24" s="370"/>
      <c r="CY24" s="155"/>
      <c r="CZ24" s="155">
        <f t="shared" si="46"/>
        <v>0</v>
      </c>
      <c r="DA24" s="370"/>
      <c r="DB24" s="370"/>
      <c r="DC24" s="155">
        <f t="shared" si="47"/>
        <v>0</v>
      </c>
      <c r="DD24" s="370"/>
      <c r="DE24" s="370"/>
      <c r="DF24" s="155">
        <f t="shared" si="48"/>
        <v>0</v>
      </c>
      <c r="DG24" s="370"/>
      <c r="DH24" s="370"/>
      <c r="DI24" s="155"/>
      <c r="DJ24" s="155">
        <f t="shared" si="49"/>
        <v>0</v>
      </c>
      <c r="DK24" s="370"/>
      <c r="DL24" s="370"/>
      <c r="DM24" s="370"/>
      <c r="DN24" s="155"/>
      <c r="DO24" s="155"/>
      <c r="DP24" s="155"/>
      <c r="DQ24" s="155"/>
      <c r="DR24" s="155"/>
      <c r="DS24" s="155"/>
      <c r="DT24" s="155"/>
      <c r="DU24" s="155"/>
      <c r="DV24" s="370"/>
      <c r="DW24" s="370"/>
      <c r="DX24" s="155"/>
      <c r="DY24" s="155"/>
      <c r="DZ24" s="373"/>
      <c r="EA24" s="190">
        <f t="shared" si="53"/>
        <v>4377950</v>
      </c>
      <c r="EB24" s="337">
        <f t="shared" si="24"/>
        <v>0</v>
      </c>
      <c r="EC24" s="338"/>
      <c r="ED24" s="369">
        <f t="shared" si="54"/>
        <v>4377950</v>
      </c>
      <c r="EE24" s="338">
        <f t="shared" si="7"/>
        <v>0</v>
      </c>
      <c r="EF24" s="369">
        <f t="shared" si="25"/>
        <v>0</v>
      </c>
      <c r="EH24" s="322"/>
    </row>
    <row r="25" spans="1:138" ht="13.5" customHeight="1" outlineLevel="1" x14ac:dyDescent="0.25">
      <c r="A25" s="222">
        <v>5154</v>
      </c>
      <c r="B25" s="205" t="s">
        <v>79</v>
      </c>
      <c r="C25" s="369">
        <v>5916300</v>
      </c>
      <c r="D25" s="369">
        <v>5916300</v>
      </c>
      <c r="E25" s="369">
        <v>5916300</v>
      </c>
      <c r="F25" s="369">
        <v>5916300</v>
      </c>
      <c r="G25" s="369">
        <f t="shared" si="51"/>
        <v>5916300</v>
      </c>
      <c r="H25" s="234"/>
      <c r="I25" s="155"/>
      <c r="J25" s="155"/>
      <c r="K25" s="155"/>
      <c r="L25" s="155"/>
      <c r="M25" s="155"/>
      <c r="N25" s="155"/>
      <c r="O25" s="155"/>
      <c r="P25" s="155"/>
      <c r="Q25" s="155">
        <f t="shared" si="26"/>
        <v>884000</v>
      </c>
      <c r="R25" s="370">
        <f>[2]Správa!$B$18</f>
        <v>884000</v>
      </c>
      <c r="S25" s="371"/>
      <c r="T25" s="155"/>
      <c r="U25" s="380">
        <f t="shared" si="56"/>
        <v>0</v>
      </c>
      <c r="V25" s="155"/>
      <c r="W25" s="155"/>
      <c r="X25" s="155"/>
      <c r="Y25" s="155"/>
      <c r="Z25" s="155"/>
      <c r="AA25" s="155">
        <f>'[2]Hotel Budka'!$B$18</f>
        <v>260000</v>
      </c>
      <c r="AB25" s="155">
        <f>[2]Knihovna!$B$18</f>
        <v>230100</v>
      </c>
      <c r="AC25" s="155"/>
      <c r="AD25" s="155"/>
      <c r="AE25" s="155">
        <f t="shared" si="27"/>
        <v>195000</v>
      </c>
      <c r="AF25" s="370">
        <f>[2]Byty!$B$18</f>
        <v>195000</v>
      </c>
      <c r="AG25" s="370"/>
      <c r="AH25" s="155">
        <f t="shared" si="28"/>
        <v>585000</v>
      </c>
      <c r="AI25" s="370">
        <f>[2]DPS!$B$18</f>
        <v>585000</v>
      </c>
      <c r="AJ25" s="370"/>
      <c r="AK25" s="155">
        <f t="shared" si="29"/>
        <v>605800</v>
      </c>
      <c r="AL25" s="370">
        <f>[2]Nebyty!$B$18</f>
        <v>605800</v>
      </c>
      <c r="AM25" s="370"/>
      <c r="AN25" s="155">
        <f>[2]Hasiči!$B$18</f>
        <v>106400</v>
      </c>
      <c r="AO25" s="155"/>
      <c r="AP25" s="155">
        <f>[2]TESKO!$B$4</f>
        <v>0</v>
      </c>
      <c r="AQ25" s="155">
        <f t="shared" si="30"/>
        <v>0</v>
      </c>
      <c r="AR25" s="370"/>
      <c r="AS25" s="370"/>
      <c r="AT25" s="155">
        <f t="shared" si="31"/>
        <v>0</v>
      </c>
      <c r="AU25" s="370">
        <f>[2]Koupaliště!$B$4</f>
        <v>0</v>
      </c>
      <c r="AV25" s="370"/>
      <c r="AW25" s="155">
        <f t="shared" si="57"/>
        <v>60000</v>
      </c>
      <c r="AX25" s="370">
        <f>[2]Hřiště!$B$4</f>
        <v>60000</v>
      </c>
      <c r="AY25" s="370"/>
      <c r="AZ25" s="155">
        <f t="shared" si="58"/>
        <v>0</v>
      </c>
      <c r="BA25" s="370">
        <f>+[2]Spolky!$D$4</f>
        <v>0</v>
      </c>
      <c r="BB25" s="370">
        <f>+[2]Spolky!$E$4</f>
        <v>0</v>
      </c>
      <c r="BC25" s="155">
        <f t="shared" si="34"/>
        <v>0</v>
      </c>
      <c r="BD25" s="370">
        <f>[2]ZŠ!$B$18</f>
        <v>0</v>
      </c>
      <c r="BE25" s="370"/>
      <c r="BF25" s="155">
        <f t="shared" si="35"/>
        <v>0</v>
      </c>
      <c r="BG25" s="370">
        <f>[2]SŠ!$B$18</f>
        <v>0</v>
      </c>
      <c r="BH25" s="370"/>
      <c r="BI25" s="155">
        <f t="shared" si="36"/>
        <v>195000</v>
      </c>
      <c r="BJ25" s="370">
        <f>[2]č.p.65!$B$18</f>
        <v>195000</v>
      </c>
      <c r="BK25" s="370"/>
      <c r="BL25" s="155">
        <f t="shared" si="37"/>
        <v>0</v>
      </c>
      <c r="BM25" s="370"/>
      <c r="BN25" s="370"/>
      <c r="BO25" s="155">
        <f t="shared" si="38"/>
        <v>0</v>
      </c>
      <c r="BP25" s="370"/>
      <c r="BQ25" s="370"/>
      <c r="BR25" s="155">
        <f t="shared" si="39"/>
        <v>0</v>
      </c>
      <c r="BS25" s="370"/>
      <c r="BT25" s="370"/>
      <c r="BU25" s="155">
        <f t="shared" si="40"/>
        <v>0</v>
      </c>
      <c r="BV25" s="370"/>
      <c r="BW25" s="370"/>
      <c r="BX25" s="155"/>
      <c r="BY25" s="155">
        <f t="shared" si="41"/>
        <v>0</v>
      </c>
      <c r="BZ25" s="370"/>
      <c r="CA25" s="370"/>
      <c r="CB25" s="155"/>
      <c r="CC25" s="155">
        <f t="shared" si="42"/>
        <v>2030000</v>
      </c>
      <c r="CD25" s="370">
        <f>+[4]VO!$B$12</f>
        <v>2030000</v>
      </c>
      <c r="CE25" s="370"/>
      <c r="CF25" s="155">
        <f t="shared" si="43"/>
        <v>205000</v>
      </c>
      <c r="CG25" s="382">
        <f>+[4]Silnice!$B$11</f>
        <v>205000</v>
      </c>
      <c r="CH25" s="370">
        <v>0</v>
      </c>
      <c r="CI25" s="155">
        <f>[5]Doprava!$B$4</f>
        <v>50000</v>
      </c>
      <c r="CJ25" s="155">
        <f t="shared" si="44"/>
        <v>430000</v>
      </c>
      <c r="CK25" s="370">
        <f>+[4]Vodovod!$B$4</f>
        <v>430000</v>
      </c>
      <c r="CL25" s="370"/>
      <c r="CM25" s="155"/>
      <c r="CN25" s="370"/>
      <c r="CO25" s="370"/>
      <c r="CP25" s="155">
        <f>+CQ25+CR25</f>
        <v>80000</v>
      </c>
      <c r="CQ25" s="370">
        <f>+[4]Kanalizace!$B$4</f>
        <v>80000</v>
      </c>
      <c r="CR25" s="370"/>
      <c r="CS25" s="155"/>
      <c r="CT25" s="370"/>
      <c r="CU25" s="370"/>
      <c r="CV25" s="155">
        <f t="shared" si="45"/>
        <v>0</v>
      </c>
      <c r="CW25" s="370"/>
      <c r="CX25" s="370"/>
      <c r="CY25" s="155"/>
      <c r="CZ25" s="155">
        <f t="shared" si="46"/>
        <v>0</v>
      </c>
      <c r="DA25" s="370"/>
      <c r="DB25" s="370"/>
      <c r="DC25" s="155">
        <f t="shared" si="47"/>
        <v>0</v>
      </c>
      <c r="DD25" s="370"/>
      <c r="DE25" s="370"/>
      <c r="DF25" s="155">
        <f t="shared" si="48"/>
        <v>0</v>
      </c>
      <c r="DG25" s="370"/>
      <c r="DH25" s="370"/>
      <c r="DI25" s="155"/>
      <c r="DJ25" s="155">
        <f t="shared" si="49"/>
        <v>0</v>
      </c>
      <c r="DK25" s="370"/>
      <c r="DL25" s="370"/>
      <c r="DM25" s="370"/>
      <c r="DN25" s="155"/>
      <c r="DO25" s="155"/>
      <c r="DP25" s="155"/>
      <c r="DQ25" s="155"/>
      <c r="DR25" s="155"/>
      <c r="DS25" s="155"/>
      <c r="DT25" s="155"/>
      <c r="DU25" s="155">
        <f>+DV25+DW25</f>
        <v>0</v>
      </c>
      <c r="DV25" s="370">
        <f>'[6]TSÚ-Sběrný dvůr 3722-36'!$D$4</f>
        <v>0</v>
      </c>
      <c r="DW25" s="370">
        <f>'[6]TSÚ-Sběrný dvůr 3722-36'!$E$4</f>
        <v>0</v>
      </c>
      <c r="DX25" s="155"/>
      <c r="DY25" s="155"/>
      <c r="DZ25" s="373"/>
      <c r="EA25" s="190">
        <f t="shared" si="53"/>
        <v>5916300</v>
      </c>
      <c r="EB25" s="337">
        <f t="shared" si="24"/>
        <v>0</v>
      </c>
      <c r="EC25" s="338"/>
      <c r="ED25" s="369">
        <f t="shared" si="54"/>
        <v>5916300</v>
      </c>
      <c r="EE25" s="338">
        <f t="shared" si="7"/>
        <v>0</v>
      </c>
      <c r="EF25" s="369">
        <f t="shared" si="25"/>
        <v>0</v>
      </c>
      <c r="EH25" s="322"/>
    </row>
    <row r="26" spans="1:138" ht="13.5" customHeight="1" outlineLevel="1" x14ac:dyDescent="0.25">
      <c r="A26" s="222">
        <v>5156</v>
      </c>
      <c r="B26" s="205" t="s">
        <v>80</v>
      </c>
      <c r="C26" s="369">
        <v>610000</v>
      </c>
      <c r="D26" s="369">
        <v>610000</v>
      </c>
      <c r="E26" s="369">
        <v>610000</v>
      </c>
      <c r="F26" s="369">
        <v>610000</v>
      </c>
      <c r="G26" s="369">
        <f t="shared" si="51"/>
        <v>610000</v>
      </c>
      <c r="H26" s="234"/>
      <c r="I26" s="155"/>
      <c r="J26" s="155"/>
      <c r="K26" s="155"/>
      <c r="L26" s="155"/>
      <c r="M26" s="155">
        <f>+'[4]Particitivní rozpočet'!$B$18+'[3]Participativní rozpočet'!$B$18</f>
        <v>0</v>
      </c>
      <c r="N26" s="155">
        <f>[3]Zastupitelé!$B$24</f>
        <v>75000</v>
      </c>
      <c r="O26" s="155"/>
      <c r="P26" s="155"/>
      <c r="Q26" s="155">
        <f t="shared" si="26"/>
        <v>75000</v>
      </c>
      <c r="R26" s="370">
        <f>[3]Správa!$D$25</f>
        <v>75000</v>
      </c>
      <c r="S26" s="371">
        <f>[3]Správa!$E$25</f>
        <v>0</v>
      </c>
      <c r="T26" s="155"/>
      <c r="U26" s="380">
        <f t="shared" si="56"/>
        <v>0</v>
      </c>
      <c r="V26" s="155">
        <f>'[3]Pečovatelská služba'!$B$25</f>
        <v>200000</v>
      </c>
      <c r="W26" s="155"/>
      <c r="X26" s="155"/>
      <c r="Y26" s="155">
        <f>'[3]Městská policie'!$B$35</f>
        <v>210000</v>
      </c>
      <c r="Z26" s="155"/>
      <c r="AA26" s="155"/>
      <c r="AB26" s="155"/>
      <c r="AC26" s="155"/>
      <c r="AD26" s="155"/>
      <c r="AE26" s="155">
        <f t="shared" si="27"/>
        <v>0</v>
      </c>
      <c r="AF26" s="370"/>
      <c r="AG26" s="370"/>
      <c r="AH26" s="155">
        <f t="shared" si="28"/>
        <v>0</v>
      </c>
      <c r="AI26" s="370"/>
      <c r="AJ26" s="370"/>
      <c r="AK26" s="155">
        <f t="shared" si="29"/>
        <v>0</v>
      </c>
      <c r="AL26" s="370"/>
      <c r="AM26" s="370"/>
      <c r="AN26" s="155">
        <f>+[4]Hasiči!$B$11+[3]Hasiči!$B$26</f>
        <v>50000</v>
      </c>
      <c r="AO26" s="155"/>
      <c r="AP26" s="155"/>
      <c r="AQ26" s="155">
        <f t="shared" si="30"/>
        <v>0</v>
      </c>
      <c r="AR26" s="370"/>
      <c r="AS26" s="370"/>
      <c r="AT26" s="155">
        <f t="shared" si="31"/>
        <v>0</v>
      </c>
      <c r="AU26" s="370"/>
      <c r="AV26" s="370"/>
      <c r="AW26" s="155">
        <f t="shared" si="57"/>
        <v>0</v>
      </c>
      <c r="AX26" s="370"/>
      <c r="AY26" s="370"/>
      <c r="AZ26" s="155">
        <f t="shared" si="58"/>
        <v>0</v>
      </c>
      <c r="BA26" s="370"/>
      <c r="BB26" s="370"/>
      <c r="BC26" s="155">
        <f t="shared" si="34"/>
        <v>0</v>
      </c>
      <c r="BD26" s="370"/>
      <c r="BE26" s="370"/>
      <c r="BF26" s="155">
        <f t="shared" si="35"/>
        <v>0</v>
      </c>
      <c r="BG26" s="370"/>
      <c r="BH26" s="370"/>
      <c r="BI26" s="155">
        <f t="shared" si="36"/>
        <v>0</v>
      </c>
      <c r="BJ26" s="370"/>
      <c r="BK26" s="370"/>
      <c r="BL26" s="155">
        <f t="shared" si="37"/>
        <v>0</v>
      </c>
      <c r="BM26" s="370"/>
      <c r="BN26" s="370"/>
      <c r="BO26" s="155">
        <f t="shared" si="38"/>
        <v>0</v>
      </c>
      <c r="BP26" s="370"/>
      <c r="BQ26" s="370"/>
      <c r="BR26" s="155">
        <f t="shared" si="39"/>
        <v>0</v>
      </c>
      <c r="BS26" s="370"/>
      <c r="BT26" s="370"/>
      <c r="BU26" s="155">
        <f t="shared" si="40"/>
        <v>0</v>
      </c>
      <c r="BV26" s="370"/>
      <c r="BW26" s="370"/>
      <c r="BX26" s="155"/>
      <c r="BY26" s="155">
        <f t="shared" si="41"/>
        <v>0</v>
      </c>
      <c r="BZ26" s="370"/>
      <c r="CA26" s="370"/>
      <c r="CB26" s="155"/>
      <c r="CC26" s="155">
        <f t="shared" si="42"/>
        <v>0</v>
      </c>
      <c r="CD26" s="370"/>
      <c r="CE26" s="370"/>
      <c r="CF26" s="155">
        <f t="shared" si="43"/>
        <v>0</v>
      </c>
      <c r="CG26" s="370"/>
      <c r="CH26" s="370"/>
      <c r="CI26" s="155"/>
      <c r="CJ26" s="155">
        <f t="shared" si="44"/>
        <v>0</v>
      </c>
      <c r="CK26" s="370"/>
      <c r="CL26" s="370"/>
      <c r="CM26" s="155"/>
      <c r="CN26" s="370"/>
      <c r="CO26" s="370"/>
      <c r="CP26" s="155"/>
      <c r="CQ26" s="370"/>
      <c r="CR26" s="370"/>
      <c r="CS26" s="155"/>
      <c r="CT26" s="370"/>
      <c r="CU26" s="370"/>
      <c r="CV26" s="155">
        <f t="shared" si="45"/>
        <v>0</v>
      </c>
      <c r="CW26" s="370"/>
      <c r="CX26" s="370"/>
      <c r="CY26" s="155"/>
      <c r="CZ26" s="155">
        <f t="shared" si="46"/>
        <v>0</v>
      </c>
      <c r="DA26" s="370"/>
      <c r="DB26" s="370"/>
      <c r="DC26" s="155">
        <f t="shared" si="47"/>
        <v>0</v>
      </c>
      <c r="DD26" s="370"/>
      <c r="DE26" s="370"/>
      <c r="DF26" s="155">
        <f t="shared" si="48"/>
        <v>0</v>
      </c>
      <c r="DG26" s="370"/>
      <c r="DH26" s="370"/>
      <c r="DI26" s="155"/>
      <c r="DJ26" s="155">
        <f t="shared" si="49"/>
        <v>0</v>
      </c>
      <c r="DK26" s="370"/>
      <c r="DL26" s="370"/>
      <c r="DM26" s="370"/>
      <c r="DN26" s="155"/>
      <c r="DO26" s="155"/>
      <c r="DP26" s="155"/>
      <c r="DQ26" s="155"/>
      <c r="DR26" s="155"/>
      <c r="DS26" s="155"/>
      <c r="DT26" s="155"/>
      <c r="DU26" s="155"/>
      <c r="DV26" s="370"/>
      <c r="DW26" s="370"/>
      <c r="DX26" s="155"/>
      <c r="DY26" s="155"/>
      <c r="DZ26" s="373"/>
      <c r="EA26" s="190">
        <f t="shared" si="53"/>
        <v>610000</v>
      </c>
      <c r="EB26" s="337">
        <f t="shared" si="24"/>
        <v>0</v>
      </c>
      <c r="EC26" s="338"/>
      <c r="ED26" s="369">
        <f t="shared" si="54"/>
        <v>610000</v>
      </c>
      <c r="EE26" s="338">
        <f t="shared" si="7"/>
        <v>0</v>
      </c>
      <c r="EF26" s="369">
        <f t="shared" si="25"/>
        <v>0</v>
      </c>
      <c r="EH26" s="322"/>
    </row>
    <row r="27" spans="1:138" ht="13.5" customHeight="1" outlineLevel="1" x14ac:dyDescent="0.25">
      <c r="A27" s="222">
        <v>5161</v>
      </c>
      <c r="B27" s="205" t="s">
        <v>81</v>
      </c>
      <c r="C27" s="369">
        <v>695000</v>
      </c>
      <c r="D27" s="369">
        <v>695000</v>
      </c>
      <c r="E27" s="369">
        <v>695000</v>
      </c>
      <c r="F27" s="369">
        <v>695000</v>
      </c>
      <c r="G27" s="369">
        <f t="shared" si="51"/>
        <v>695000</v>
      </c>
      <c r="H27" s="234"/>
      <c r="I27" s="155"/>
      <c r="J27" s="155"/>
      <c r="K27" s="155"/>
      <c r="L27" s="155"/>
      <c r="M27" s="155">
        <f>+'[4]Particitivní rozpočet'!$B$25+'[3]Participativní rozpočet'!$B$25</f>
        <v>0</v>
      </c>
      <c r="N27" s="155"/>
      <c r="O27" s="155"/>
      <c r="P27" s="155"/>
      <c r="Q27" s="155">
        <f t="shared" si="26"/>
        <v>650000</v>
      </c>
      <c r="R27" s="370">
        <f>[3]Správa!$D$32</f>
        <v>650000</v>
      </c>
      <c r="S27" s="371">
        <f>[3]Správa!$E$32</f>
        <v>0</v>
      </c>
      <c r="T27" s="155"/>
      <c r="U27" s="380">
        <f t="shared" si="56"/>
        <v>0</v>
      </c>
      <c r="V27" s="155"/>
      <c r="W27" s="155"/>
      <c r="X27" s="155"/>
      <c r="Y27" s="155"/>
      <c r="Z27" s="155"/>
      <c r="AA27" s="155"/>
      <c r="AB27" s="155">
        <f>[3]Knihovna!$B$26</f>
        <v>5000</v>
      </c>
      <c r="AC27" s="155">
        <f>'[3]Život Úval'!$B$4</f>
        <v>40000</v>
      </c>
      <c r="AD27" s="155"/>
      <c r="AE27" s="155">
        <f t="shared" si="27"/>
        <v>0</v>
      </c>
      <c r="AF27" s="370"/>
      <c r="AG27" s="370"/>
      <c r="AH27" s="155">
        <f t="shared" si="28"/>
        <v>0</v>
      </c>
      <c r="AI27" s="370"/>
      <c r="AJ27" s="370"/>
      <c r="AK27" s="155">
        <f t="shared" si="29"/>
        <v>0</v>
      </c>
      <c r="AL27" s="370"/>
      <c r="AM27" s="370"/>
      <c r="AN27" s="155"/>
      <c r="AO27" s="155"/>
      <c r="AP27" s="155"/>
      <c r="AQ27" s="155">
        <f t="shared" si="30"/>
        <v>0</v>
      </c>
      <c r="AR27" s="370"/>
      <c r="AS27" s="370"/>
      <c r="AT27" s="155">
        <f t="shared" si="31"/>
        <v>0</v>
      </c>
      <c r="AU27" s="370"/>
      <c r="AV27" s="370"/>
      <c r="AW27" s="155">
        <f t="shared" si="57"/>
        <v>0</v>
      </c>
      <c r="AX27" s="370"/>
      <c r="AY27" s="370"/>
      <c r="AZ27" s="155">
        <f t="shared" si="58"/>
        <v>0</v>
      </c>
      <c r="BA27" s="370"/>
      <c r="BB27" s="370"/>
      <c r="BC27" s="155">
        <f t="shared" si="34"/>
        <v>0</v>
      </c>
      <c r="BD27" s="370"/>
      <c r="BE27" s="370"/>
      <c r="BF27" s="155">
        <f t="shared" si="35"/>
        <v>0</v>
      </c>
      <c r="BG27" s="370"/>
      <c r="BH27" s="370"/>
      <c r="BI27" s="155">
        <f t="shared" si="36"/>
        <v>0</v>
      </c>
      <c r="BJ27" s="370"/>
      <c r="BK27" s="370"/>
      <c r="BL27" s="155">
        <f t="shared" si="37"/>
        <v>0</v>
      </c>
      <c r="BM27" s="370"/>
      <c r="BN27" s="370"/>
      <c r="BO27" s="155">
        <f t="shared" si="38"/>
        <v>0</v>
      </c>
      <c r="BP27" s="370"/>
      <c r="BQ27" s="370"/>
      <c r="BR27" s="155">
        <f t="shared" si="39"/>
        <v>0</v>
      </c>
      <c r="BS27" s="370"/>
      <c r="BT27" s="370"/>
      <c r="BU27" s="155">
        <f t="shared" si="40"/>
        <v>0</v>
      </c>
      <c r="BV27" s="370"/>
      <c r="BW27" s="370"/>
      <c r="BX27" s="155"/>
      <c r="BY27" s="155">
        <f t="shared" si="41"/>
        <v>0</v>
      </c>
      <c r="BZ27" s="370"/>
      <c r="CA27" s="370"/>
      <c r="CB27" s="155"/>
      <c r="CC27" s="155">
        <f t="shared" si="42"/>
        <v>0</v>
      </c>
      <c r="CD27" s="370"/>
      <c r="CE27" s="370"/>
      <c r="CF27" s="155">
        <f t="shared" si="43"/>
        <v>0</v>
      </c>
      <c r="CG27" s="370"/>
      <c r="CH27" s="370"/>
      <c r="CI27" s="155"/>
      <c r="CJ27" s="155">
        <f t="shared" si="44"/>
        <v>0</v>
      </c>
      <c r="CK27" s="370"/>
      <c r="CL27" s="370"/>
      <c r="CM27" s="155"/>
      <c r="CN27" s="370"/>
      <c r="CO27" s="370"/>
      <c r="CP27" s="155"/>
      <c r="CQ27" s="370"/>
      <c r="CR27" s="370"/>
      <c r="CS27" s="155"/>
      <c r="CT27" s="370"/>
      <c r="CU27" s="370"/>
      <c r="CV27" s="155">
        <f t="shared" si="45"/>
        <v>0</v>
      </c>
      <c r="CW27" s="370"/>
      <c r="CX27" s="370"/>
      <c r="CY27" s="155"/>
      <c r="CZ27" s="155">
        <f t="shared" si="46"/>
        <v>0</v>
      </c>
      <c r="DA27" s="370"/>
      <c r="DB27" s="370"/>
      <c r="DC27" s="155">
        <f t="shared" si="47"/>
        <v>0</v>
      </c>
      <c r="DD27" s="370"/>
      <c r="DE27" s="370"/>
      <c r="DF27" s="155">
        <f t="shared" si="48"/>
        <v>0</v>
      </c>
      <c r="DG27" s="370"/>
      <c r="DH27" s="370"/>
      <c r="DI27" s="155"/>
      <c r="DJ27" s="155">
        <f t="shared" si="49"/>
        <v>0</v>
      </c>
      <c r="DK27" s="370"/>
      <c r="DL27" s="370"/>
      <c r="DM27" s="370"/>
      <c r="DN27" s="155"/>
      <c r="DO27" s="155"/>
      <c r="DP27" s="155"/>
      <c r="DQ27" s="155"/>
      <c r="DR27" s="155"/>
      <c r="DS27" s="155"/>
      <c r="DT27" s="155"/>
      <c r="DU27" s="155"/>
      <c r="DV27" s="370"/>
      <c r="DW27" s="370"/>
      <c r="DX27" s="155"/>
      <c r="DY27" s="155"/>
      <c r="DZ27" s="373"/>
      <c r="EA27" s="190">
        <f t="shared" si="53"/>
        <v>695000</v>
      </c>
      <c r="EB27" s="337">
        <f t="shared" si="24"/>
        <v>0</v>
      </c>
      <c r="EC27" s="338"/>
      <c r="ED27" s="369">
        <f t="shared" si="54"/>
        <v>695000</v>
      </c>
      <c r="EE27" s="338">
        <f t="shared" si="7"/>
        <v>0</v>
      </c>
      <c r="EF27" s="369">
        <f t="shared" si="25"/>
        <v>0</v>
      </c>
      <c r="EH27" s="322"/>
    </row>
    <row r="28" spans="1:138" ht="13.5" customHeight="1" outlineLevel="1" x14ac:dyDescent="0.25">
      <c r="A28" s="222">
        <v>5162</v>
      </c>
      <c r="B28" s="205" t="s">
        <v>82</v>
      </c>
      <c r="C28" s="369">
        <v>614000</v>
      </c>
      <c r="D28" s="369">
        <v>614000</v>
      </c>
      <c r="E28" s="369">
        <v>614000</v>
      </c>
      <c r="F28" s="369">
        <v>614000</v>
      </c>
      <c r="G28" s="369">
        <f t="shared" si="51"/>
        <v>614000</v>
      </c>
      <c r="H28" s="234"/>
      <c r="I28" s="155"/>
      <c r="J28" s="155"/>
      <c r="K28" s="155"/>
      <c r="L28" s="155"/>
      <c r="M28" s="155">
        <f>+'[4]Particitivní rozpočet'!$B$32+'[3]Participativní rozpočet'!$B$32</f>
        <v>0</v>
      </c>
      <c r="N28" s="155">
        <f>[3]Zastupitelé!$B$31</f>
        <v>50000</v>
      </c>
      <c r="O28" s="155"/>
      <c r="P28" s="155"/>
      <c r="Q28" s="155">
        <f t="shared" si="26"/>
        <v>350000</v>
      </c>
      <c r="R28" s="370">
        <f>[3]Správa!$D$39</f>
        <v>350000</v>
      </c>
      <c r="S28" s="371">
        <f>[3]Správa!$E$39</f>
        <v>0</v>
      </c>
      <c r="T28" s="155"/>
      <c r="U28" s="380">
        <f t="shared" si="56"/>
        <v>0</v>
      </c>
      <c r="V28" s="155">
        <f>'[3]Pečovatelská služba'!$B$32</f>
        <v>12000</v>
      </c>
      <c r="W28" s="155"/>
      <c r="X28" s="155"/>
      <c r="Y28" s="155">
        <f>'[3]Městská policie'!$B$49</f>
        <v>80000</v>
      </c>
      <c r="Z28" s="155"/>
      <c r="AA28" s="155"/>
      <c r="AB28" s="155">
        <f>[3]Knihovna!$B$33</f>
        <v>12000</v>
      </c>
      <c r="AC28" s="155"/>
      <c r="AD28" s="155"/>
      <c r="AE28" s="155">
        <f t="shared" si="27"/>
        <v>0</v>
      </c>
      <c r="AF28" s="370"/>
      <c r="AG28" s="370"/>
      <c r="AH28" s="155">
        <f t="shared" si="28"/>
        <v>60000</v>
      </c>
      <c r="AI28" s="370">
        <f>+[4]DPS!$B$19</f>
        <v>60000</v>
      </c>
      <c r="AJ28" s="370"/>
      <c r="AK28" s="155">
        <f t="shared" si="29"/>
        <v>0</v>
      </c>
      <c r="AL28" s="370"/>
      <c r="AM28" s="370"/>
      <c r="AN28" s="155">
        <f>[3]Hasiči!$B$33</f>
        <v>40000</v>
      </c>
      <c r="AO28" s="155"/>
      <c r="AP28" s="155"/>
      <c r="AQ28" s="155">
        <f t="shared" si="30"/>
        <v>0</v>
      </c>
      <c r="AR28" s="370"/>
      <c r="AS28" s="370"/>
      <c r="AT28" s="155">
        <f t="shared" si="31"/>
        <v>0</v>
      </c>
      <c r="AU28" s="370"/>
      <c r="AV28" s="370"/>
      <c r="AW28" s="155">
        <f t="shared" si="57"/>
        <v>0</v>
      </c>
      <c r="AX28" s="370"/>
      <c r="AY28" s="370"/>
      <c r="AZ28" s="155">
        <f t="shared" si="58"/>
        <v>0</v>
      </c>
      <c r="BA28" s="370"/>
      <c r="BB28" s="370"/>
      <c r="BC28" s="155">
        <f t="shared" si="34"/>
        <v>0</v>
      </c>
      <c r="BD28" s="370"/>
      <c r="BE28" s="370"/>
      <c r="BF28" s="155">
        <f t="shared" si="35"/>
        <v>0</v>
      </c>
      <c r="BG28" s="370"/>
      <c r="BH28" s="370"/>
      <c r="BI28" s="155">
        <f t="shared" si="36"/>
        <v>10000</v>
      </c>
      <c r="BJ28" s="370">
        <f>[3]č.p.65!$D$18</f>
        <v>10000</v>
      </c>
      <c r="BK28" s="370">
        <f>[3]č.p.65!$E$18</f>
        <v>0</v>
      </c>
      <c r="BL28" s="155">
        <f t="shared" si="37"/>
        <v>0</v>
      </c>
      <c r="BM28" s="370"/>
      <c r="BN28" s="370"/>
      <c r="BO28" s="155">
        <f t="shared" si="38"/>
        <v>0</v>
      </c>
      <c r="BP28" s="370"/>
      <c r="BQ28" s="370"/>
      <c r="BR28" s="155">
        <f t="shared" si="39"/>
        <v>0</v>
      </c>
      <c r="BS28" s="370"/>
      <c r="BT28" s="370"/>
      <c r="BU28" s="155">
        <f t="shared" si="40"/>
        <v>0</v>
      </c>
      <c r="BV28" s="370"/>
      <c r="BW28" s="370"/>
      <c r="BX28" s="155"/>
      <c r="BY28" s="155">
        <f t="shared" si="41"/>
        <v>0</v>
      </c>
      <c r="BZ28" s="370"/>
      <c r="CA28" s="370"/>
      <c r="CB28" s="155"/>
      <c r="CC28" s="155">
        <f t="shared" si="42"/>
        <v>0</v>
      </c>
      <c r="CD28" s="370"/>
      <c r="CE28" s="370"/>
      <c r="CF28" s="155">
        <f t="shared" si="43"/>
        <v>0</v>
      </c>
      <c r="CG28" s="370"/>
      <c r="CH28" s="370"/>
      <c r="CI28" s="155"/>
      <c r="CJ28" s="155">
        <f t="shared" si="44"/>
        <v>0</v>
      </c>
      <c r="CK28" s="370"/>
      <c r="CL28" s="370"/>
      <c r="CM28" s="155"/>
      <c r="CN28" s="370"/>
      <c r="CO28" s="370"/>
      <c r="CP28" s="155"/>
      <c r="CQ28" s="370"/>
      <c r="CR28" s="370"/>
      <c r="CS28" s="155"/>
      <c r="CT28" s="370"/>
      <c r="CU28" s="370"/>
      <c r="CV28" s="155">
        <f t="shared" si="45"/>
        <v>0</v>
      </c>
      <c r="CW28" s="370"/>
      <c r="CX28" s="370"/>
      <c r="CY28" s="155"/>
      <c r="CZ28" s="155">
        <f t="shared" si="46"/>
        <v>0</v>
      </c>
      <c r="DA28" s="370"/>
      <c r="DB28" s="370"/>
      <c r="DC28" s="155">
        <f t="shared" si="47"/>
        <v>0</v>
      </c>
      <c r="DD28" s="370"/>
      <c r="DE28" s="370"/>
      <c r="DF28" s="155">
        <f t="shared" si="48"/>
        <v>0</v>
      </c>
      <c r="DG28" s="370"/>
      <c r="DH28" s="370"/>
      <c r="DI28" s="155"/>
      <c r="DJ28" s="155">
        <f t="shared" si="49"/>
        <v>0</v>
      </c>
      <c r="DK28" s="370"/>
      <c r="DL28" s="370"/>
      <c r="DM28" s="370"/>
      <c r="DN28" s="155"/>
      <c r="DO28" s="155"/>
      <c r="DP28" s="155"/>
      <c r="DQ28" s="155"/>
      <c r="DR28" s="155"/>
      <c r="DS28" s="155"/>
      <c r="DT28" s="155"/>
      <c r="DU28" s="155"/>
      <c r="DV28" s="370"/>
      <c r="DW28" s="370"/>
      <c r="DX28" s="155"/>
      <c r="DY28" s="155"/>
      <c r="DZ28" s="373"/>
      <c r="EA28" s="190">
        <f t="shared" si="53"/>
        <v>614000</v>
      </c>
      <c r="EB28" s="337">
        <f t="shared" si="24"/>
        <v>0</v>
      </c>
      <c r="EC28" s="338"/>
      <c r="ED28" s="369">
        <f t="shared" si="54"/>
        <v>614000</v>
      </c>
      <c r="EE28" s="338">
        <f t="shared" si="7"/>
        <v>0</v>
      </c>
      <c r="EF28" s="369">
        <f t="shared" si="25"/>
        <v>0</v>
      </c>
      <c r="EH28" s="322"/>
    </row>
    <row r="29" spans="1:138" ht="13.5" customHeight="1" outlineLevel="1" x14ac:dyDescent="0.25">
      <c r="A29" s="222">
        <v>5163</v>
      </c>
      <c r="B29" s="205" t="s">
        <v>83</v>
      </c>
      <c r="C29" s="369">
        <v>1210000</v>
      </c>
      <c r="D29" s="369">
        <v>1210000</v>
      </c>
      <c r="E29" s="369">
        <v>1210000</v>
      </c>
      <c r="F29" s="369">
        <v>1210000</v>
      </c>
      <c r="G29" s="369">
        <f t="shared" si="51"/>
        <v>1210000</v>
      </c>
      <c r="H29" s="234">
        <f>[2]Úroky!$B$20</f>
        <v>80000</v>
      </c>
      <c r="I29" s="155"/>
      <c r="J29" s="155"/>
      <c r="K29" s="155"/>
      <c r="L29" s="155">
        <f>+'[4]Všeob. pokladna'!$B$4</f>
        <v>1100000</v>
      </c>
      <c r="M29" s="155"/>
      <c r="N29" s="155"/>
      <c r="O29" s="155"/>
      <c r="P29" s="155"/>
      <c r="Q29" s="155">
        <f t="shared" si="26"/>
        <v>0</v>
      </c>
      <c r="R29" s="370"/>
      <c r="S29" s="371"/>
      <c r="T29" s="155"/>
      <c r="U29" s="380">
        <f t="shared" si="56"/>
        <v>0</v>
      </c>
      <c r="V29" s="155"/>
      <c r="W29" s="155"/>
      <c r="X29" s="155"/>
      <c r="Y29" s="155"/>
      <c r="Z29" s="155"/>
      <c r="AA29" s="155"/>
      <c r="AB29" s="155"/>
      <c r="AC29" s="155"/>
      <c r="AD29" s="155"/>
      <c r="AE29" s="155">
        <f t="shared" si="27"/>
        <v>0</v>
      </c>
      <c r="AF29" s="370"/>
      <c r="AG29" s="370"/>
      <c r="AH29" s="155">
        <f t="shared" si="28"/>
        <v>0</v>
      </c>
      <c r="AI29" s="370"/>
      <c r="AJ29" s="370"/>
      <c r="AK29" s="155">
        <f t="shared" si="29"/>
        <v>0</v>
      </c>
      <c r="AL29" s="370"/>
      <c r="AM29" s="370"/>
      <c r="AN29" s="155">
        <f>[3]Hasiči!$B$40</f>
        <v>30000</v>
      </c>
      <c r="AO29" s="155"/>
      <c r="AP29" s="155"/>
      <c r="AQ29" s="155">
        <f t="shared" si="30"/>
        <v>0</v>
      </c>
      <c r="AR29" s="370"/>
      <c r="AS29" s="370"/>
      <c r="AT29" s="155">
        <f t="shared" si="31"/>
        <v>0</v>
      </c>
      <c r="AU29" s="370"/>
      <c r="AV29" s="370"/>
      <c r="AW29" s="155">
        <f t="shared" si="57"/>
        <v>0</v>
      </c>
      <c r="AX29" s="370"/>
      <c r="AY29" s="370"/>
      <c r="AZ29" s="155">
        <f t="shared" si="58"/>
        <v>0</v>
      </c>
      <c r="BA29" s="370"/>
      <c r="BB29" s="370"/>
      <c r="BC29" s="155">
        <f t="shared" si="34"/>
        <v>0</v>
      </c>
      <c r="BD29" s="370"/>
      <c r="BE29" s="370"/>
      <c r="BF29" s="155">
        <f t="shared" si="35"/>
        <v>0</v>
      </c>
      <c r="BG29" s="370"/>
      <c r="BH29" s="370"/>
      <c r="BI29" s="155">
        <f t="shared" si="36"/>
        <v>0</v>
      </c>
      <c r="BJ29" s="370"/>
      <c r="BK29" s="370"/>
      <c r="BL29" s="155">
        <f t="shared" si="37"/>
        <v>0</v>
      </c>
      <c r="BM29" s="370"/>
      <c r="BN29" s="370"/>
      <c r="BO29" s="155">
        <f t="shared" si="38"/>
        <v>0</v>
      </c>
      <c r="BP29" s="370"/>
      <c r="BQ29" s="370"/>
      <c r="BR29" s="155">
        <f t="shared" si="39"/>
        <v>0</v>
      </c>
      <c r="BS29" s="370"/>
      <c r="BT29" s="370"/>
      <c r="BU29" s="155">
        <f t="shared" si="40"/>
        <v>0</v>
      </c>
      <c r="BV29" s="370"/>
      <c r="BW29" s="370"/>
      <c r="BX29" s="155"/>
      <c r="BY29" s="155">
        <f t="shared" si="41"/>
        <v>0</v>
      </c>
      <c r="BZ29" s="370"/>
      <c r="CA29" s="370"/>
      <c r="CB29" s="155"/>
      <c r="CC29" s="155">
        <f t="shared" si="42"/>
        <v>0</v>
      </c>
      <c r="CD29" s="370"/>
      <c r="CE29" s="370"/>
      <c r="CF29" s="155">
        <f t="shared" si="43"/>
        <v>0</v>
      </c>
      <c r="CG29" s="370"/>
      <c r="CH29" s="370"/>
      <c r="CI29" s="155"/>
      <c r="CJ29" s="155">
        <f t="shared" si="44"/>
        <v>0</v>
      </c>
      <c r="CK29" s="370"/>
      <c r="CL29" s="370"/>
      <c r="CM29" s="155"/>
      <c r="CN29" s="370"/>
      <c r="CO29" s="370"/>
      <c r="CP29" s="155"/>
      <c r="CQ29" s="370"/>
      <c r="CR29" s="370"/>
      <c r="CS29" s="155"/>
      <c r="CT29" s="370"/>
      <c r="CU29" s="370"/>
      <c r="CV29" s="155">
        <f t="shared" si="45"/>
        <v>0</v>
      </c>
      <c r="CW29" s="370"/>
      <c r="CX29" s="370"/>
      <c r="CY29" s="155"/>
      <c r="CZ29" s="155">
        <f t="shared" si="46"/>
        <v>0</v>
      </c>
      <c r="DA29" s="370"/>
      <c r="DB29" s="370"/>
      <c r="DC29" s="155">
        <f t="shared" si="47"/>
        <v>0</v>
      </c>
      <c r="DD29" s="370"/>
      <c r="DE29" s="370"/>
      <c r="DF29" s="155">
        <f t="shared" si="48"/>
        <v>0</v>
      </c>
      <c r="DG29" s="370"/>
      <c r="DH29" s="370"/>
      <c r="DI29" s="155"/>
      <c r="DJ29" s="155">
        <f t="shared" si="49"/>
        <v>0</v>
      </c>
      <c r="DK29" s="370"/>
      <c r="DL29" s="370"/>
      <c r="DM29" s="370"/>
      <c r="DN29" s="155"/>
      <c r="DO29" s="155"/>
      <c r="DP29" s="155"/>
      <c r="DQ29" s="155"/>
      <c r="DR29" s="155"/>
      <c r="DS29" s="155"/>
      <c r="DT29" s="155"/>
      <c r="DU29" s="155"/>
      <c r="DV29" s="370"/>
      <c r="DW29" s="370"/>
      <c r="DX29" s="155"/>
      <c r="DY29" s="155"/>
      <c r="DZ29" s="373"/>
      <c r="EA29" s="190">
        <f t="shared" si="53"/>
        <v>1210000</v>
      </c>
      <c r="EB29" s="337">
        <f t="shared" si="24"/>
        <v>0</v>
      </c>
      <c r="EC29" s="338"/>
      <c r="ED29" s="369">
        <f t="shared" si="54"/>
        <v>1210000</v>
      </c>
      <c r="EE29" s="338">
        <f t="shared" si="7"/>
        <v>0</v>
      </c>
      <c r="EF29" s="369">
        <f t="shared" si="25"/>
        <v>0</v>
      </c>
      <c r="EH29" s="322"/>
    </row>
    <row r="30" spans="1:138" ht="13.5" customHeight="1" outlineLevel="1" x14ac:dyDescent="0.25">
      <c r="A30" s="222">
        <v>5164</v>
      </c>
      <c r="B30" s="205" t="s">
        <v>84</v>
      </c>
      <c r="C30" s="369">
        <v>1579437</v>
      </c>
      <c r="D30" s="369">
        <v>1579437</v>
      </c>
      <c r="E30" s="369">
        <v>1589613</v>
      </c>
      <c r="F30" s="369">
        <v>1599613</v>
      </c>
      <c r="G30" s="369">
        <f t="shared" si="51"/>
        <v>1599613</v>
      </c>
      <c r="H30" s="234"/>
      <c r="I30" s="155"/>
      <c r="J30" s="155"/>
      <c r="K30" s="155"/>
      <c r="L30" s="155">
        <f>+'[4]Všeob. pokladna'!$B$11</f>
        <v>0</v>
      </c>
      <c r="M30" s="155"/>
      <c r="N30" s="155">
        <f>[3]Zastupitelé!$B$37</f>
        <v>17000</v>
      </c>
      <c r="O30" s="155"/>
      <c r="P30" s="155"/>
      <c r="Q30" s="155">
        <f t="shared" si="26"/>
        <v>0</v>
      </c>
      <c r="R30" s="370"/>
      <c r="S30" s="371"/>
      <c r="T30" s="155"/>
      <c r="U30" s="380">
        <f t="shared" si="56"/>
        <v>0</v>
      </c>
      <c r="V30" s="155"/>
      <c r="W30" s="155"/>
      <c r="X30" s="155"/>
      <c r="Y30" s="155"/>
      <c r="Z30" s="155"/>
      <c r="AA30" s="155"/>
      <c r="AB30" s="155">
        <f>[3]Knihovna!$B$40</f>
        <v>192000</v>
      </c>
      <c r="AC30" s="155"/>
      <c r="AD30" s="155">
        <f>[3]Kultura!$B$21</f>
        <v>80000</v>
      </c>
      <c r="AE30" s="155">
        <f t="shared" si="27"/>
        <v>0</v>
      </c>
      <c r="AF30" s="370">
        <f>+[4]Byty!$B$18</f>
        <v>0</v>
      </c>
      <c r="AG30" s="370">
        <v>0</v>
      </c>
      <c r="AH30" s="155">
        <f t="shared" si="28"/>
        <v>0</v>
      </c>
      <c r="AI30" s="370"/>
      <c r="AJ30" s="370"/>
      <c r="AK30" s="155">
        <f t="shared" si="29"/>
        <v>0</v>
      </c>
      <c r="AL30" s="370"/>
      <c r="AM30" s="370"/>
      <c r="AN30" s="155"/>
      <c r="AO30" s="155"/>
      <c r="AP30" s="155"/>
      <c r="AQ30" s="155">
        <f t="shared" si="30"/>
        <v>0</v>
      </c>
      <c r="AR30" s="370"/>
      <c r="AS30" s="370"/>
      <c r="AT30" s="155">
        <f t="shared" si="31"/>
        <v>0</v>
      </c>
      <c r="AU30" s="370">
        <f>+[4]koupaliště!$B$4</f>
        <v>0</v>
      </c>
      <c r="AV30" s="370"/>
      <c r="AW30" s="155">
        <f t="shared" si="57"/>
        <v>0</v>
      </c>
      <c r="AX30" s="370">
        <f>+[4]Hřiště!$B$4</f>
        <v>0</v>
      </c>
      <c r="AY30" s="370">
        <v>0</v>
      </c>
      <c r="AZ30" s="155">
        <f t="shared" si="58"/>
        <v>16208</v>
      </c>
      <c r="BA30" s="370">
        <f>+[4]Spolky!$D$4</f>
        <v>16208</v>
      </c>
      <c r="BB30" s="370">
        <f>+[4]Spolky!$E$4</f>
        <v>0</v>
      </c>
      <c r="BC30" s="155">
        <f t="shared" si="34"/>
        <v>900000</v>
      </c>
      <c r="BD30" s="370">
        <f>[2]ZŠ!$B$25</f>
        <v>900000</v>
      </c>
      <c r="BE30" s="370">
        <f>+[2]ZŠ!$E$25</f>
        <v>0</v>
      </c>
      <c r="BF30" s="155">
        <f t="shared" si="35"/>
        <v>0</v>
      </c>
      <c r="BG30" s="370">
        <f>[2]SŠ!$B$25</f>
        <v>0</v>
      </c>
      <c r="BH30" s="370"/>
      <c r="BI30" s="155">
        <f t="shared" si="36"/>
        <v>0</v>
      </c>
      <c r="BJ30" s="370"/>
      <c r="BK30" s="370"/>
      <c r="BL30" s="155">
        <f t="shared" si="37"/>
        <v>0</v>
      </c>
      <c r="BM30" s="370"/>
      <c r="BN30" s="370"/>
      <c r="BO30" s="155">
        <f t="shared" si="38"/>
        <v>0</v>
      </c>
      <c r="BP30" s="370"/>
      <c r="BQ30" s="370"/>
      <c r="BR30" s="155">
        <f t="shared" si="39"/>
        <v>0</v>
      </c>
      <c r="BS30" s="370"/>
      <c r="BT30" s="370"/>
      <c r="BU30" s="155">
        <f t="shared" si="40"/>
        <v>0</v>
      </c>
      <c r="BV30" s="370"/>
      <c r="BW30" s="370"/>
      <c r="BX30" s="155"/>
      <c r="BY30" s="155">
        <f t="shared" si="41"/>
        <v>0</v>
      </c>
      <c r="BZ30" s="370"/>
      <c r="CA30" s="370"/>
      <c r="CB30" s="155"/>
      <c r="CC30" s="155">
        <f t="shared" si="42"/>
        <v>0</v>
      </c>
      <c r="CD30" s="370"/>
      <c r="CE30" s="370"/>
      <c r="CF30" s="155">
        <f t="shared" si="43"/>
        <v>44405</v>
      </c>
      <c r="CG30" s="382">
        <f>++'[5]Silnice-nájem'!$B$4+[4]Silnice!$B$19</f>
        <v>44405</v>
      </c>
      <c r="CH30" s="370">
        <v>0</v>
      </c>
      <c r="CI30" s="155"/>
      <c r="CJ30" s="155">
        <f t="shared" si="44"/>
        <v>0</v>
      </c>
      <c r="CK30" s="370"/>
      <c r="CL30" s="370"/>
      <c r="CM30" s="155"/>
      <c r="CN30" s="370"/>
      <c r="CO30" s="370"/>
      <c r="CP30" s="155"/>
      <c r="CQ30" s="370"/>
      <c r="CR30" s="370"/>
      <c r="CS30" s="155"/>
      <c r="CT30" s="370"/>
      <c r="CU30" s="370"/>
      <c r="CV30" s="155">
        <f t="shared" si="45"/>
        <v>0</v>
      </c>
      <c r="CW30" s="370"/>
      <c r="CX30" s="370"/>
      <c r="CY30" s="155"/>
      <c r="CZ30" s="155">
        <f t="shared" si="46"/>
        <v>0</v>
      </c>
      <c r="DA30" s="370"/>
      <c r="DB30" s="370"/>
      <c r="DC30" s="155">
        <f t="shared" si="47"/>
        <v>0</v>
      </c>
      <c r="DD30" s="370"/>
      <c r="DE30" s="370"/>
      <c r="DF30" s="155">
        <f t="shared" si="48"/>
        <v>0</v>
      </c>
      <c r="DG30" s="370"/>
      <c r="DH30" s="370"/>
      <c r="DI30" s="155"/>
      <c r="DJ30" s="155">
        <f t="shared" si="49"/>
        <v>0</v>
      </c>
      <c r="DK30" s="370"/>
      <c r="DL30" s="370"/>
      <c r="DM30" s="370"/>
      <c r="DN30" s="155">
        <f>+'[6]Rybníky 3749-2'!$B$13</f>
        <v>350000</v>
      </c>
      <c r="DO30" s="155"/>
      <c r="DP30" s="155"/>
      <c r="DQ30" s="155"/>
      <c r="DR30" s="155"/>
      <c r="DS30" s="155"/>
      <c r="DT30" s="155"/>
      <c r="DU30" s="155"/>
      <c r="DV30" s="370"/>
      <c r="DW30" s="370"/>
      <c r="DX30" s="155"/>
      <c r="DY30" s="155"/>
      <c r="DZ30" s="373"/>
      <c r="EA30" s="190">
        <f t="shared" si="53"/>
        <v>1599613</v>
      </c>
      <c r="EB30" s="337">
        <f t="shared" si="24"/>
        <v>0</v>
      </c>
      <c r="EC30" s="338"/>
      <c r="ED30" s="369">
        <f t="shared" si="54"/>
        <v>1599613</v>
      </c>
      <c r="EE30" s="338">
        <f t="shared" si="7"/>
        <v>0</v>
      </c>
      <c r="EF30" s="369">
        <f t="shared" si="25"/>
        <v>0</v>
      </c>
      <c r="EH30" s="322"/>
    </row>
    <row r="31" spans="1:138" ht="13.5" customHeight="1" outlineLevel="1" x14ac:dyDescent="0.25">
      <c r="A31" s="222">
        <v>5166</v>
      </c>
      <c r="B31" s="205" t="s">
        <v>85</v>
      </c>
      <c r="C31" s="369">
        <v>750000</v>
      </c>
      <c r="D31" s="369">
        <v>750000</v>
      </c>
      <c r="E31" s="369">
        <v>750000</v>
      </c>
      <c r="F31" s="369">
        <v>750000</v>
      </c>
      <c r="G31" s="369">
        <f t="shared" si="51"/>
        <v>750000</v>
      </c>
      <c r="H31" s="234"/>
      <c r="I31" s="155"/>
      <c r="J31" s="155"/>
      <c r="K31" s="155"/>
      <c r="L31" s="155"/>
      <c r="M31" s="155">
        <f>+'[4]Particitivní rozpočet'!$B$39+'[3]Participativní rozpočet'!$B$39</f>
        <v>0</v>
      </c>
      <c r="N31" s="155"/>
      <c r="O31" s="155"/>
      <c r="P31" s="155"/>
      <c r="Q31" s="155">
        <f t="shared" si="26"/>
        <v>750000</v>
      </c>
      <c r="R31" s="370">
        <f>[3]Správa!$D$46</f>
        <v>750000</v>
      </c>
      <c r="S31" s="371">
        <f>[3]Správa!$E$46</f>
        <v>0</v>
      </c>
      <c r="T31" s="155"/>
      <c r="U31" s="380">
        <f t="shared" si="56"/>
        <v>0</v>
      </c>
      <c r="V31" s="155"/>
      <c r="W31" s="155"/>
      <c r="X31" s="155"/>
      <c r="Y31" s="155"/>
      <c r="Z31" s="155"/>
      <c r="AA31" s="155"/>
      <c r="AB31" s="155"/>
      <c r="AC31" s="155"/>
      <c r="AD31" s="155"/>
      <c r="AE31" s="155">
        <f t="shared" si="27"/>
        <v>0</v>
      </c>
      <c r="AF31" s="370"/>
      <c r="AG31" s="370"/>
      <c r="AH31" s="155">
        <f t="shared" si="28"/>
        <v>0</v>
      </c>
      <c r="AI31" s="370"/>
      <c r="AJ31" s="370"/>
      <c r="AK31" s="155">
        <f t="shared" si="29"/>
        <v>0</v>
      </c>
      <c r="AL31" s="370"/>
      <c r="AM31" s="370"/>
      <c r="AN31" s="155"/>
      <c r="AO31" s="155"/>
      <c r="AP31" s="155"/>
      <c r="AQ31" s="155">
        <f t="shared" si="30"/>
        <v>0</v>
      </c>
      <c r="AR31" s="370"/>
      <c r="AS31" s="370"/>
      <c r="AT31" s="155">
        <f t="shared" si="31"/>
        <v>0</v>
      </c>
      <c r="AU31" s="370"/>
      <c r="AV31" s="370"/>
      <c r="AW31" s="155">
        <f t="shared" si="57"/>
        <v>0</v>
      </c>
      <c r="AX31" s="370"/>
      <c r="AY31" s="370"/>
      <c r="AZ31" s="155">
        <f t="shared" si="58"/>
        <v>0</v>
      </c>
      <c r="BA31" s="370"/>
      <c r="BB31" s="370"/>
      <c r="BC31" s="155">
        <f t="shared" si="34"/>
        <v>0</v>
      </c>
      <c r="BD31" s="370"/>
      <c r="BE31" s="370"/>
      <c r="BF31" s="155">
        <f t="shared" si="35"/>
        <v>0</v>
      </c>
      <c r="BG31" s="370"/>
      <c r="BH31" s="370"/>
      <c r="BI31" s="155">
        <f t="shared" si="36"/>
        <v>0</v>
      </c>
      <c r="BJ31" s="370"/>
      <c r="BK31" s="370"/>
      <c r="BL31" s="155">
        <f t="shared" si="37"/>
        <v>0</v>
      </c>
      <c r="BM31" s="370"/>
      <c r="BN31" s="370"/>
      <c r="BO31" s="155">
        <f t="shared" si="38"/>
        <v>0</v>
      </c>
      <c r="BP31" s="370"/>
      <c r="BQ31" s="370"/>
      <c r="BR31" s="155">
        <f t="shared" si="39"/>
        <v>0</v>
      </c>
      <c r="BS31" s="370"/>
      <c r="BT31" s="370"/>
      <c r="BU31" s="155">
        <f t="shared" si="40"/>
        <v>0</v>
      </c>
      <c r="BV31" s="370"/>
      <c r="BW31" s="370"/>
      <c r="BX31" s="155"/>
      <c r="BY31" s="155">
        <f t="shared" si="41"/>
        <v>0</v>
      </c>
      <c r="BZ31" s="370"/>
      <c r="CA31" s="370"/>
      <c r="CB31" s="155"/>
      <c r="CC31" s="155">
        <f t="shared" si="42"/>
        <v>0</v>
      </c>
      <c r="CD31" s="370"/>
      <c r="CE31" s="370"/>
      <c r="CF31" s="155">
        <f t="shared" si="43"/>
        <v>0</v>
      </c>
      <c r="CG31" s="370"/>
      <c r="CH31" s="370"/>
      <c r="CI31" s="155"/>
      <c r="CJ31" s="155">
        <f t="shared" si="44"/>
        <v>0</v>
      </c>
      <c r="CK31" s="370"/>
      <c r="CL31" s="370"/>
      <c r="CM31" s="155"/>
      <c r="CN31" s="370"/>
      <c r="CO31" s="370"/>
      <c r="CP31" s="155"/>
      <c r="CQ31" s="370"/>
      <c r="CR31" s="370"/>
      <c r="CS31" s="155"/>
      <c r="CT31" s="370"/>
      <c r="CU31" s="370"/>
      <c r="CV31" s="155">
        <f t="shared" si="45"/>
        <v>0</v>
      </c>
      <c r="CW31" s="370"/>
      <c r="CX31" s="370"/>
      <c r="CY31" s="155"/>
      <c r="CZ31" s="155">
        <f t="shared" si="46"/>
        <v>0</v>
      </c>
      <c r="DA31" s="370"/>
      <c r="DB31" s="370"/>
      <c r="DC31" s="155">
        <f t="shared" si="47"/>
        <v>0</v>
      </c>
      <c r="DD31" s="370"/>
      <c r="DE31" s="370"/>
      <c r="DF31" s="155">
        <f t="shared" si="48"/>
        <v>0</v>
      </c>
      <c r="DG31" s="370"/>
      <c r="DH31" s="370"/>
      <c r="DI31" s="155"/>
      <c r="DJ31" s="155">
        <f t="shared" si="49"/>
        <v>0</v>
      </c>
      <c r="DK31" s="370"/>
      <c r="DL31" s="370"/>
      <c r="DM31" s="370"/>
      <c r="DN31" s="155"/>
      <c r="DO31" s="155"/>
      <c r="DP31" s="155"/>
      <c r="DQ31" s="155"/>
      <c r="DR31" s="155"/>
      <c r="DS31" s="155"/>
      <c r="DT31" s="155"/>
      <c r="DU31" s="155"/>
      <c r="DV31" s="370"/>
      <c r="DW31" s="370"/>
      <c r="DX31" s="155"/>
      <c r="DY31" s="155"/>
      <c r="DZ31" s="373"/>
      <c r="EA31" s="190">
        <f t="shared" si="53"/>
        <v>750000</v>
      </c>
      <c r="EB31" s="337">
        <f t="shared" si="24"/>
        <v>0</v>
      </c>
      <c r="EC31" s="338"/>
      <c r="ED31" s="369">
        <f t="shared" si="54"/>
        <v>750000</v>
      </c>
      <c r="EE31" s="338">
        <f t="shared" si="7"/>
        <v>0</v>
      </c>
      <c r="EF31" s="369">
        <f t="shared" si="25"/>
        <v>0</v>
      </c>
      <c r="EH31" s="322"/>
    </row>
    <row r="32" spans="1:138" ht="13.5" customHeight="1" outlineLevel="1" x14ac:dyDescent="0.25">
      <c r="A32" s="222">
        <v>5167</v>
      </c>
      <c r="B32" s="205" t="s">
        <v>86</v>
      </c>
      <c r="C32" s="369">
        <v>415000</v>
      </c>
      <c r="D32" s="369">
        <v>415000</v>
      </c>
      <c r="E32" s="369">
        <v>415000</v>
      </c>
      <c r="F32" s="369">
        <v>415000</v>
      </c>
      <c r="G32" s="369">
        <f t="shared" si="51"/>
        <v>415000</v>
      </c>
      <c r="H32" s="234"/>
      <c r="I32" s="155"/>
      <c r="J32" s="155"/>
      <c r="K32" s="155"/>
      <c r="L32" s="155"/>
      <c r="M32" s="155">
        <f>+'[4]Particitivní rozpočet'!$B$46+'[3]Participativní rozpočet'!$B$46</f>
        <v>0</v>
      </c>
      <c r="N32" s="155">
        <f>[3]Zastupitelé!$B$44</f>
        <v>50000</v>
      </c>
      <c r="O32" s="155"/>
      <c r="P32" s="155"/>
      <c r="Q32" s="155">
        <f t="shared" si="26"/>
        <v>200000</v>
      </c>
      <c r="R32" s="370">
        <f>[3]Správa!$D$53</f>
        <v>200000</v>
      </c>
      <c r="S32" s="371">
        <f>[3]Správa!$E$53</f>
        <v>0</v>
      </c>
      <c r="T32" s="155"/>
      <c r="U32" s="380">
        <f t="shared" si="56"/>
        <v>0</v>
      </c>
      <c r="V32" s="155">
        <f>'[3]Pečovatelská služba'!$B$45</f>
        <v>10000</v>
      </c>
      <c r="W32" s="155"/>
      <c r="X32" s="155"/>
      <c r="Y32" s="155">
        <f>'[3]Městská policie'!$B$70</f>
        <v>120000</v>
      </c>
      <c r="Z32" s="155"/>
      <c r="AA32" s="155"/>
      <c r="AB32" s="155">
        <f>[3]Knihovna!$B$47</f>
        <v>5000</v>
      </c>
      <c r="AC32" s="155"/>
      <c r="AD32" s="155"/>
      <c r="AE32" s="155">
        <f t="shared" si="27"/>
        <v>0</v>
      </c>
      <c r="AF32" s="370"/>
      <c r="AG32" s="370"/>
      <c r="AH32" s="155">
        <f t="shared" si="28"/>
        <v>0</v>
      </c>
      <c r="AI32" s="370"/>
      <c r="AJ32" s="370"/>
      <c r="AK32" s="155">
        <f t="shared" si="29"/>
        <v>0</v>
      </c>
      <c r="AL32" s="370"/>
      <c r="AM32" s="370"/>
      <c r="AN32" s="155">
        <f>[3]Hasiči!$B$47</f>
        <v>30000</v>
      </c>
      <c r="AO32" s="155"/>
      <c r="AP32" s="155"/>
      <c r="AQ32" s="155">
        <f t="shared" si="30"/>
        <v>0</v>
      </c>
      <c r="AR32" s="370"/>
      <c r="AS32" s="370"/>
      <c r="AT32" s="155">
        <f t="shared" si="31"/>
        <v>0</v>
      </c>
      <c r="AU32" s="370"/>
      <c r="AV32" s="370"/>
      <c r="AW32" s="155">
        <f t="shared" si="57"/>
        <v>0</v>
      </c>
      <c r="AX32" s="370"/>
      <c r="AY32" s="370"/>
      <c r="AZ32" s="155">
        <f t="shared" si="58"/>
        <v>0</v>
      </c>
      <c r="BA32" s="370"/>
      <c r="BB32" s="370"/>
      <c r="BC32" s="155">
        <f t="shared" si="34"/>
        <v>0</v>
      </c>
      <c r="BD32" s="370"/>
      <c r="BE32" s="370"/>
      <c r="BF32" s="155">
        <f t="shared" si="35"/>
        <v>0</v>
      </c>
      <c r="BG32" s="370"/>
      <c r="BH32" s="370"/>
      <c r="BI32" s="155">
        <f t="shared" si="36"/>
        <v>0</v>
      </c>
      <c r="BJ32" s="370"/>
      <c r="BK32" s="370"/>
      <c r="BL32" s="155">
        <f t="shared" si="37"/>
        <v>0</v>
      </c>
      <c r="BM32" s="370"/>
      <c r="BN32" s="370"/>
      <c r="BO32" s="155">
        <f t="shared" si="38"/>
        <v>0</v>
      </c>
      <c r="BP32" s="370"/>
      <c r="BQ32" s="370"/>
      <c r="BR32" s="155">
        <f t="shared" si="39"/>
        <v>0</v>
      </c>
      <c r="BS32" s="370"/>
      <c r="BT32" s="370"/>
      <c r="BU32" s="155">
        <f t="shared" si="40"/>
        <v>0</v>
      </c>
      <c r="BV32" s="370"/>
      <c r="BW32" s="370"/>
      <c r="BX32" s="155"/>
      <c r="BY32" s="155">
        <f t="shared" si="41"/>
        <v>0</v>
      </c>
      <c r="BZ32" s="370"/>
      <c r="CA32" s="370"/>
      <c r="CB32" s="155"/>
      <c r="CC32" s="155">
        <f t="shared" si="42"/>
        <v>0</v>
      </c>
      <c r="CD32" s="370"/>
      <c r="CE32" s="370"/>
      <c r="CF32" s="155">
        <f t="shared" si="43"/>
        <v>0</v>
      </c>
      <c r="CG32" s="370"/>
      <c r="CH32" s="370"/>
      <c r="CI32" s="155"/>
      <c r="CJ32" s="155">
        <f t="shared" si="44"/>
        <v>0</v>
      </c>
      <c r="CK32" s="370"/>
      <c r="CL32" s="370"/>
      <c r="CM32" s="155"/>
      <c r="CN32" s="370"/>
      <c r="CO32" s="370"/>
      <c r="CP32" s="155"/>
      <c r="CQ32" s="370"/>
      <c r="CR32" s="370"/>
      <c r="CS32" s="155"/>
      <c r="CT32" s="370"/>
      <c r="CU32" s="370"/>
      <c r="CV32" s="155">
        <f t="shared" si="45"/>
        <v>0</v>
      </c>
      <c r="CW32" s="370"/>
      <c r="CX32" s="370"/>
      <c r="CY32" s="155"/>
      <c r="CZ32" s="155">
        <f t="shared" si="46"/>
        <v>0</v>
      </c>
      <c r="DA32" s="370"/>
      <c r="DB32" s="370"/>
      <c r="DC32" s="155">
        <f t="shared" si="47"/>
        <v>0</v>
      </c>
      <c r="DD32" s="370"/>
      <c r="DE32" s="370"/>
      <c r="DF32" s="155">
        <f t="shared" si="48"/>
        <v>0</v>
      </c>
      <c r="DG32" s="370"/>
      <c r="DH32" s="370"/>
      <c r="DI32" s="155"/>
      <c r="DJ32" s="155">
        <f t="shared" si="49"/>
        <v>0</v>
      </c>
      <c r="DK32" s="370"/>
      <c r="DL32" s="370"/>
      <c r="DM32" s="370"/>
      <c r="DN32" s="155"/>
      <c r="DO32" s="155"/>
      <c r="DP32" s="155"/>
      <c r="DQ32" s="155"/>
      <c r="DR32" s="155"/>
      <c r="DS32" s="155"/>
      <c r="DT32" s="155"/>
      <c r="DU32" s="155"/>
      <c r="DV32" s="370"/>
      <c r="DW32" s="370"/>
      <c r="DX32" s="155"/>
      <c r="DY32" s="155"/>
      <c r="DZ32" s="373"/>
      <c r="EA32" s="190">
        <f t="shared" si="53"/>
        <v>415000</v>
      </c>
      <c r="EB32" s="337">
        <f t="shared" si="24"/>
        <v>0</v>
      </c>
      <c r="EC32" s="338"/>
      <c r="ED32" s="369">
        <f t="shared" si="54"/>
        <v>415000</v>
      </c>
      <c r="EE32" s="338">
        <f t="shared" si="7"/>
        <v>0</v>
      </c>
      <c r="EF32" s="369">
        <f t="shared" si="25"/>
        <v>0</v>
      </c>
      <c r="EH32" s="322"/>
    </row>
    <row r="33" spans="1:138" ht="13.5" customHeight="1" outlineLevel="1" x14ac:dyDescent="0.25">
      <c r="A33" s="222">
        <v>5168</v>
      </c>
      <c r="B33" s="205" t="s">
        <v>87</v>
      </c>
      <c r="C33" s="369">
        <v>915000</v>
      </c>
      <c r="D33" s="369">
        <v>915000</v>
      </c>
      <c r="E33" s="369">
        <v>915000</v>
      </c>
      <c r="F33" s="369">
        <v>915000</v>
      </c>
      <c r="G33" s="369">
        <f t="shared" si="51"/>
        <v>915000</v>
      </c>
      <c r="H33" s="234"/>
      <c r="I33" s="155"/>
      <c r="J33" s="155"/>
      <c r="K33" s="155"/>
      <c r="L33" s="155">
        <f>'[6]Všeobecná pokladna 6409'!$B$4+'[4]Všeob. pokladna'!$B$18</f>
        <v>165000</v>
      </c>
      <c r="M33" s="155"/>
      <c r="N33" s="155"/>
      <c r="O33" s="155"/>
      <c r="P33" s="155"/>
      <c r="Q33" s="155">
        <f t="shared" si="26"/>
        <v>0</v>
      </c>
      <c r="R33" s="370"/>
      <c r="S33" s="371"/>
      <c r="T33" s="155"/>
      <c r="U33" s="380">
        <f t="shared" si="56"/>
        <v>0</v>
      </c>
      <c r="V33" s="155"/>
      <c r="W33" s="155"/>
      <c r="X33" s="155"/>
      <c r="Y33" s="155"/>
      <c r="Z33" s="155"/>
      <c r="AA33" s="155"/>
      <c r="AB33" s="155"/>
      <c r="AC33" s="155"/>
      <c r="AD33" s="155"/>
      <c r="AE33" s="155">
        <f t="shared" si="27"/>
        <v>0</v>
      </c>
      <c r="AF33" s="370"/>
      <c r="AG33" s="370"/>
      <c r="AH33" s="155">
        <f t="shared" si="28"/>
        <v>0</v>
      </c>
      <c r="AI33" s="370"/>
      <c r="AJ33" s="370"/>
      <c r="AK33" s="155">
        <f t="shared" si="29"/>
        <v>0</v>
      </c>
      <c r="AL33" s="370"/>
      <c r="AM33" s="370"/>
      <c r="AN33" s="155"/>
      <c r="AO33" s="155"/>
      <c r="AP33" s="155"/>
      <c r="AQ33" s="155">
        <f t="shared" si="30"/>
        <v>0</v>
      </c>
      <c r="AR33" s="370"/>
      <c r="AS33" s="370"/>
      <c r="AT33" s="155">
        <f t="shared" si="31"/>
        <v>0</v>
      </c>
      <c r="AU33" s="370"/>
      <c r="AV33" s="370"/>
      <c r="AW33" s="155">
        <f t="shared" si="57"/>
        <v>0</v>
      </c>
      <c r="AX33" s="370"/>
      <c r="AY33" s="370"/>
      <c r="AZ33" s="155">
        <f t="shared" si="58"/>
        <v>0</v>
      </c>
      <c r="BA33" s="370"/>
      <c r="BB33" s="370"/>
      <c r="BC33" s="155">
        <f t="shared" si="34"/>
        <v>0</v>
      </c>
      <c r="BD33" s="370"/>
      <c r="BE33" s="370"/>
      <c r="BF33" s="155">
        <f t="shared" si="35"/>
        <v>0</v>
      </c>
      <c r="BG33" s="370"/>
      <c r="BH33" s="370"/>
      <c r="BI33" s="155">
        <f t="shared" si="36"/>
        <v>0</v>
      </c>
      <c r="BJ33" s="370"/>
      <c r="BK33" s="370"/>
      <c r="BL33" s="155">
        <f t="shared" si="37"/>
        <v>0</v>
      </c>
      <c r="BM33" s="370"/>
      <c r="BN33" s="370"/>
      <c r="BO33" s="155">
        <f t="shared" si="38"/>
        <v>0</v>
      </c>
      <c r="BP33" s="370"/>
      <c r="BQ33" s="370"/>
      <c r="BR33" s="155">
        <f t="shared" si="39"/>
        <v>0</v>
      </c>
      <c r="BS33" s="370"/>
      <c r="BT33" s="370"/>
      <c r="BU33" s="155">
        <f t="shared" si="40"/>
        <v>0</v>
      </c>
      <c r="BV33" s="370"/>
      <c r="BW33" s="370"/>
      <c r="BX33" s="155"/>
      <c r="BY33" s="155">
        <f t="shared" si="41"/>
        <v>0</v>
      </c>
      <c r="BZ33" s="370"/>
      <c r="CA33" s="370"/>
      <c r="CB33" s="155">
        <f>'[6]Územní plán 3635'!$B$12</f>
        <v>750000</v>
      </c>
      <c r="CC33" s="155">
        <f t="shared" si="42"/>
        <v>0</v>
      </c>
      <c r="CD33" s="370"/>
      <c r="CE33" s="370"/>
      <c r="CF33" s="155">
        <f t="shared" si="43"/>
        <v>0</v>
      </c>
      <c r="CG33" s="370"/>
      <c r="CH33" s="370"/>
      <c r="CI33" s="155"/>
      <c r="CJ33" s="155">
        <f t="shared" si="44"/>
        <v>0</v>
      </c>
      <c r="CK33" s="370"/>
      <c r="CL33" s="370"/>
      <c r="CM33" s="155"/>
      <c r="CN33" s="370"/>
      <c r="CO33" s="370"/>
      <c r="CP33" s="155"/>
      <c r="CQ33" s="370"/>
      <c r="CR33" s="370"/>
      <c r="CS33" s="155"/>
      <c r="CT33" s="370"/>
      <c r="CU33" s="370"/>
      <c r="CV33" s="155">
        <f t="shared" si="45"/>
        <v>0</v>
      </c>
      <c r="CW33" s="370"/>
      <c r="CX33" s="370"/>
      <c r="CY33" s="155"/>
      <c r="CZ33" s="155">
        <f t="shared" si="46"/>
        <v>0</v>
      </c>
      <c r="DA33" s="370"/>
      <c r="DB33" s="370"/>
      <c r="DC33" s="155">
        <f t="shared" si="47"/>
        <v>0</v>
      </c>
      <c r="DD33" s="370"/>
      <c r="DE33" s="370"/>
      <c r="DF33" s="155">
        <f t="shared" si="48"/>
        <v>0</v>
      </c>
      <c r="DG33" s="370"/>
      <c r="DH33" s="370"/>
      <c r="DI33" s="155"/>
      <c r="DJ33" s="155">
        <f>+DK33+DL33+DM33</f>
        <v>0</v>
      </c>
      <c r="DK33" s="370"/>
      <c r="DL33" s="370"/>
      <c r="DM33" s="370"/>
      <c r="DN33" s="155"/>
      <c r="DO33" s="155"/>
      <c r="DP33" s="155"/>
      <c r="DQ33" s="155"/>
      <c r="DR33" s="155"/>
      <c r="DS33" s="155"/>
      <c r="DT33" s="155"/>
      <c r="DU33" s="155"/>
      <c r="DV33" s="370"/>
      <c r="DW33" s="370"/>
      <c r="DX33" s="155"/>
      <c r="DY33" s="155"/>
      <c r="DZ33" s="373"/>
      <c r="EA33" s="190">
        <f t="shared" si="53"/>
        <v>915000</v>
      </c>
      <c r="EB33" s="337">
        <f>EA33-G33</f>
        <v>0</v>
      </c>
      <c r="EC33" s="338"/>
      <c r="ED33" s="369">
        <f t="shared" si="54"/>
        <v>915000</v>
      </c>
      <c r="EE33" s="338">
        <f t="shared" si="7"/>
        <v>0</v>
      </c>
      <c r="EF33" s="369">
        <f t="shared" si="25"/>
        <v>0</v>
      </c>
      <c r="EH33" s="322"/>
    </row>
    <row r="34" spans="1:138" ht="13.5" customHeight="1" outlineLevel="1" x14ac:dyDescent="0.25">
      <c r="A34" s="222">
        <v>5169</v>
      </c>
      <c r="B34" s="205" t="s">
        <v>88</v>
      </c>
      <c r="C34" s="369">
        <v>18463600</v>
      </c>
      <c r="D34" s="369">
        <v>18463600</v>
      </c>
      <c r="E34" s="369">
        <v>18463600</v>
      </c>
      <c r="F34" s="369">
        <v>19513600</v>
      </c>
      <c r="G34" s="369">
        <f>SUM(H34:Q34)+SUM(V34:AE34)+AH34+AK34+SUM(AN34:AQ34)+AT34+BC34+BI34+BL34+BO34+BR34+BU34+BX34+BY34+CB34+CC34+CF34+SUM(CI34:CJ34)+CS34+CV34+CY34+CZ34+DC34+DF34+DI34+DJ34+SUM(DN34:DU34)+CM34+CP34+SUM(DX34:DZ34)+T34+AW34+AZ34+BF34</f>
        <v>19651807</v>
      </c>
      <c r="H34" s="234"/>
      <c r="I34" s="155"/>
      <c r="J34" s="155">
        <f>+'[2]Krizové situace-5213'!$B$4+'[6]Krizové situace 5213'!$B$4</f>
        <v>1060000</v>
      </c>
      <c r="K34" s="155"/>
      <c r="L34" s="155">
        <f>+'[4]Všeob. pokladna'!$B$25</f>
        <v>250000</v>
      </c>
      <c r="M34" s="155">
        <f>+'[4]Particitivní rozpočet'!$B$53</f>
        <v>0</v>
      </c>
      <c r="N34" s="155">
        <f>[3]Zastupitelé!$B$51</f>
        <v>50000</v>
      </c>
      <c r="O34" s="155">
        <f>+'[2]Volby_6115 '!$B$25</f>
        <v>10000</v>
      </c>
      <c r="P34" s="155">
        <f>+[2]Volby_6117!$B$25</f>
        <v>10000</v>
      </c>
      <c r="Q34" s="155">
        <f t="shared" si="26"/>
        <v>1955000</v>
      </c>
      <c r="R34" s="370">
        <f>+[3]Správa!$B$60+[4]Správa!$B$4</f>
        <v>1955000</v>
      </c>
      <c r="S34" s="371">
        <v>0</v>
      </c>
      <c r="T34" s="155"/>
      <c r="U34" s="381">
        <f>+S34+AS34+CH34+CE34+CA34+DM34+AG34+AM34+AV34+AY34+BE34+BK34+BN34+BQ34+BT34+BW34+CL34+CX34+DB34+DE34+DH34+AJ34+DW34+BB34+BH34+CO34+CR34+CU34</f>
        <v>8050000</v>
      </c>
      <c r="V34" s="155">
        <f>'[3]Pečovatelská služba'!$B$52</f>
        <v>18000</v>
      </c>
      <c r="W34" s="155">
        <f>+'[3]Senior taxi'!$B$4</f>
        <v>600000</v>
      </c>
      <c r="X34" s="155">
        <f>'[3]Agentura SCSA'!$B$4</f>
        <v>300000</v>
      </c>
      <c r="Y34" s="155">
        <f>'[3]Městská policie'!$B$77</f>
        <v>160000</v>
      </c>
      <c r="Z34" s="155">
        <f>[3]Kronika!$B$18</f>
        <v>100000</v>
      </c>
      <c r="AA34" s="155">
        <f>+'[4]Hotel Budka'!$B$18</f>
        <v>0</v>
      </c>
      <c r="AB34" s="155">
        <f>[3]Knihovna!$B$54</f>
        <v>57000</v>
      </c>
      <c r="AC34" s="155">
        <f>'[3]Život Úval'!$B$11</f>
        <v>500000</v>
      </c>
      <c r="AD34" s="155">
        <f>[3]Kultura!$B$28</f>
        <v>1060000</v>
      </c>
      <c r="AE34" s="155">
        <f t="shared" ref="AE34:AE37" si="59">+AF34+AG34</f>
        <v>1420000</v>
      </c>
      <c r="AF34" s="370">
        <f>+[4]Byty!$D$25</f>
        <v>1420000</v>
      </c>
      <c r="AG34" s="370">
        <f>+[4]Byty!$E$25</f>
        <v>0</v>
      </c>
      <c r="AH34" s="155">
        <f t="shared" ref="AH34:AH37" si="60">+AI34+AJ34</f>
        <v>220000</v>
      </c>
      <c r="AI34" s="370">
        <f>+[4]DPS!$B$26</f>
        <v>220000</v>
      </c>
      <c r="AJ34" s="370"/>
      <c r="AK34" s="155">
        <f t="shared" ref="AK34:AK37" si="61">+AL34+AM34</f>
        <v>300000</v>
      </c>
      <c r="AL34" s="370">
        <f>+[4]Nebyty!$B$4</f>
        <v>300000</v>
      </c>
      <c r="AM34" s="370">
        <v>0</v>
      </c>
      <c r="AN34" s="155">
        <f>+[4]Hasiči!$B$18+[3]Hasiči!$B$54</f>
        <v>50000</v>
      </c>
      <c r="AO34" s="155">
        <f>+'[4]Zdrav. středisko'!$B$4</f>
        <v>80000</v>
      </c>
      <c r="AP34" s="155">
        <f>+[4]Tesko!$B$4</f>
        <v>0</v>
      </c>
      <c r="AQ34" s="155">
        <f t="shared" ref="AQ34:AQ37" si="62">+AR34+AS34</f>
        <v>50000</v>
      </c>
      <c r="AR34" s="370">
        <f>+[4]Hřbitov!$D$18</f>
        <v>50000</v>
      </c>
      <c r="AS34" s="370">
        <f>+[4]Hřbitov!$E$18</f>
        <v>0</v>
      </c>
      <c r="AT34" s="155">
        <f t="shared" ref="AT34:AT37" si="63">+AU34+AV34</f>
        <v>0</v>
      </c>
      <c r="AU34" s="370">
        <f>+[4]koupaliště!$D$14</f>
        <v>0</v>
      </c>
      <c r="AV34" s="370">
        <f>+[4]koupaliště!$E$14</f>
        <v>0</v>
      </c>
      <c r="AW34" s="155">
        <f t="shared" si="57"/>
        <v>380000</v>
      </c>
      <c r="AX34" s="370">
        <f>+[4]Hřiště!$D$14</f>
        <v>350000</v>
      </c>
      <c r="AY34" s="370">
        <f>+[4]Hřiště!$E$14</f>
        <v>30000</v>
      </c>
      <c r="AZ34" s="155">
        <f t="shared" si="58"/>
        <v>550000</v>
      </c>
      <c r="BA34" s="370">
        <f>+[4]Spolky!$D$14</f>
        <v>550000</v>
      </c>
      <c r="BB34" s="370">
        <f>+[4]Spolky!$E$14</f>
        <v>0</v>
      </c>
      <c r="BC34" s="155">
        <f t="shared" ref="BC34:BC37" si="64">+BD34+BE34</f>
        <v>0</v>
      </c>
      <c r="BD34" s="370">
        <f>+[4]ZŠ!$D$4</f>
        <v>0</v>
      </c>
      <c r="BE34" s="370">
        <f>+[4]ZŠ!$E$4</f>
        <v>0</v>
      </c>
      <c r="BF34" s="155">
        <f t="shared" si="35"/>
        <v>0</v>
      </c>
      <c r="BG34" s="370"/>
      <c r="BH34" s="370"/>
      <c r="BI34" s="155">
        <f t="shared" ref="BI34:BI37" si="65">+BJ34+BK34</f>
        <v>80000</v>
      </c>
      <c r="BJ34" s="370">
        <f>+'[4]Č.p. 65'!$D$4+[3]č.p.65!$B$25</f>
        <v>80000</v>
      </c>
      <c r="BK34" s="370">
        <f>+'[4]Č.p. 65'!$E$4</f>
        <v>0</v>
      </c>
      <c r="BL34" s="155">
        <f t="shared" ref="BL34:BL37" si="66">+BM34+BN34</f>
        <v>30000</v>
      </c>
      <c r="BM34" s="370">
        <f>+[4]MDDM!$D$4</f>
        <v>30000</v>
      </c>
      <c r="BN34" s="370">
        <f>+[4]MDDM!$E$4</f>
        <v>0</v>
      </c>
      <c r="BO34" s="155">
        <f t="shared" ref="BO34:BO37" si="67">+BP34+BQ34</f>
        <v>100000</v>
      </c>
      <c r="BP34" s="370">
        <f>+'[4]MŠ Pražská'!$D$4</f>
        <v>100000</v>
      </c>
      <c r="BQ34" s="370">
        <f>+'[4]MŠ Pražská'!$E$4</f>
        <v>0</v>
      </c>
      <c r="BR34" s="155">
        <f t="shared" ref="BR34:BR37" si="68">+BS34+BT34</f>
        <v>400000</v>
      </c>
      <c r="BS34" s="370">
        <f>+'[4]MŠ Kollárova'!$D$4</f>
        <v>400000</v>
      </c>
      <c r="BT34" s="370">
        <f>+'[4]MŠ Kollárova'!$E$4</f>
        <v>0</v>
      </c>
      <c r="BU34" s="155">
        <f t="shared" ref="BU34:BU37" si="69">+BV34+BW34</f>
        <v>0</v>
      </c>
      <c r="BV34" s="370">
        <f>+'[4]Jídelna ZŠ'!$D$4</f>
        <v>0</v>
      </c>
      <c r="BW34" s="370">
        <f>+'[4]Jídelna ZŠ'!$E$4</f>
        <v>0</v>
      </c>
      <c r="BX34" s="155">
        <f>+'[4]Jídelna MŠ'!$B$4</f>
        <v>20000</v>
      </c>
      <c r="BY34" s="155">
        <f t="shared" ref="BY34:BY37" si="70">+BZ34+CA34</f>
        <v>80000</v>
      </c>
      <c r="BZ34" s="370">
        <f>+'[4]MŠ Cukrovar'!$D$4</f>
        <v>80000</v>
      </c>
      <c r="CA34" s="370">
        <f>+'[4]MŠ Cukrovar'!$E$4</f>
        <v>0</v>
      </c>
      <c r="CB34" s="155">
        <f>'[6]Územní plán 3635'!$B$20</f>
        <v>100000</v>
      </c>
      <c r="CC34" s="155">
        <f t="shared" ref="CC34:CC37" si="71">+CD34+CE34</f>
        <v>262100</v>
      </c>
      <c r="CD34" s="370">
        <f>+[4]VO!$D$20</f>
        <v>262100</v>
      </c>
      <c r="CE34" s="370">
        <f>+[4]VO!$E$20</f>
        <v>0</v>
      </c>
      <c r="CF34" s="155">
        <f t="shared" si="43"/>
        <v>490000</v>
      </c>
      <c r="CG34" s="382">
        <f>+[4]Silnice!$D$30+'[5]Silnice světelná křižovatka'!$B$3</f>
        <v>490000</v>
      </c>
      <c r="CH34" s="370">
        <f>+[4]Silnice!$E$30</f>
        <v>0</v>
      </c>
      <c r="CI34" s="155"/>
      <c r="CJ34" s="155">
        <f t="shared" si="44"/>
        <v>250000</v>
      </c>
      <c r="CK34" s="177">
        <f>+[4]Vodovod!$D$11</f>
        <v>250000</v>
      </c>
      <c r="CL34" s="370">
        <f>+[4]Vodovod!$E$11</f>
        <v>0</v>
      </c>
      <c r="CM34" s="155"/>
      <c r="CN34" s="177"/>
      <c r="CO34" s="370"/>
      <c r="CP34" s="155">
        <f>+CQ34+CR34</f>
        <v>0</v>
      </c>
      <c r="CQ34" s="177">
        <f>+[4]Kanalizace!$D$11</f>
        <v>0</v>
      </c>
      <c r="CR34" s="370">
        <f>+[4]Kanalizace!$E$11</f>
        <v>0</v>
      </c>
      <c r="CS34" s="155"/>
      <c r="CT34" s="177"/>
      <c r="CU34" s="370"/>
      <c r="CV34" s="155">
        <f>CW34+CX34</f>
        <v>350000</v>
      </c>
      <c r="CW34" s="370">
        <f>+'[4]Inženýrské sítě'!$D$4+'[6]Inženýrské sítě 3633'!$B$4</f>
        <v>50000</v>
      </c>
      <c r="CX34" s="370">
        <f>+'[4]Inženýrské sítě'!$E$4</f>
        <v>300000</v>
      </c>
      <c r="CY34" s="155">
        <f>'[6]Lesy 1036'!$B$4</f>
        <v>100000</v>
      </c>
      <c r="CZ34" s="155">
        <f t="shared" si="46"/>
        <v>6150000</v>
      </c>
      <c r="DA34" s="370">
        <f>+'[6]Popelnice 3722'!$D$20</f>
        <v>50000</v>
      </c>
      <c r="DB34" s="370">
        <f>+'[6]Popelnice 3722'!$E$20</f>
        <v>6100000</v>
      </c>
      <c r="DC34" s="336">
        <f t="shared" si="47"/>
        <v>0</v>
      </c>
      <c r="DD34" s="370">
        <f>'[6]Odpady 3722-34'!$D$4</f>
        <v>0</v>
      </c>
      <c r="DE34" s="382">
        <f>'[6]Odpady 3722-34'!$E$4</f>
        <v>0</v>
      </c>
      <c r="DF34" s="336">
        <f t="shared" si="48"/>
        <v>70000</v>
      </c>
      <c r="DG34" s="370">
        <f>'[6]Černé skládky 3729'!$D$4</f>
        <v>0</v>
      </c>
      <c r="DH34" s="382">
        <f>'[6]Černé skládky 3729'!$E$4</f>
        <v>70000</v>
      </c>
      <c r="DI34" s="155">
        <f>'[6]Povodeň 3744'!$B$12</f>
        <v>34707</v>
      </c>
      <c r="DJ34" s="336">
        <f t="shared" si="49"/>
        <v>1950000</v>
      </c>
      <c r="DK34" s="370">
        <f>+'[6]Příroda 3749'!$D$12</f>
        <v>400000</v>
      </c>
      <c r="DL34" s="370"/>
      <c r="DM34" s="382">
        <f>'[6]Příroda 3749'!$E$12</f>
        <v>1550000</v>
      </c>
      <c r="DN34" s="155">
        <f>+[4]Rybníky!$B$4</f>
        <v>5000</v>
      </c>
      <c r="DO34" s="155"/>
      <c r="DP34" s="155"/>
      <c r="DQ34" s="155"/>
      <c r="DR34" s="155"/>
      <c r="DS34" s="155"/>
      <c r="DT34" s="155"/>
      <c r="DU34" s="336">
        <f>+DV34+DW34</f>
        <v>0</v>
      </c>
      <c r="DV34" s="370">
        <f>'[6]TSÚ-Sběrný dvůr 3722-36'!$D$13</f>
        <v>0</v>
      </c>
      <c r="DW34" s="382">
        <f>'[6]TSÚ-Sběrný dvůr 3722-36'!$E$13</f>
        <v>0</v>
      </c>
      <c r="DX34" s="155"/>
      <c r="DY34" s="155"/>
      <c r="DZ34" s="373"/>
      <c r="EA34" s="190">
        <f>+H34+I34+J34+L34+N34+O34+Q34+T34+U34+V34+X34+Y34+Z34+AB34+AC34+AD34+AE34+AH34+AK34+AN34+AO34+AP34+AQ34+AT34+BC34+BI34+BL34+BO34+BR34+BU34+BX34+BY34+CB34+CC34+CF34+CI34+CJ34+CM34+CP34+CS34+CV34+CY34+CZ34+DC34+DF34+DI34+DJ34+DN34+DO34+DP34+DQ34+DR34+DT34+DU34+DX34+DY34+DZ34+BF34+AZ34+AW34+AA34-U34+K34+M34+W34</f>
        <v>19641807</v>
      </c>
      <c r="EB34" s="337">
        <f>EA34-G34</f>
        <v>-10000</v>
      </c>
      <c r="EC34" s="338"/>
      <c r="ED34" s="369">
        <f t="shared" si="54"/>
        <v>11601807</v>
      </c>
      <c r="EE34" s="338">
        <f t="shared" si="7"/>
        <v>0</v>
      </c>
      <c r="EF34" s="369">
        <f>+S34+AG34+AJ34++AM34+AS34+AV34+BE34+BK34+BN34+BQ34+BT34+BW34+CA34+CE34+CH34+CL34+CX34+DB34+DE34+DH34+DM34+CU34+CR34+CO34+BH34+BB34+AY34</f>
        <v>8050000</v>
      </c>
      <c r="EH34" s="322"/>
    </row>
    <row r="35" spans="1:138" ht="13.5" customHeight="1" outlineLevel="1" x14ac:dyDescent="0.25">
      <c r="A35" s="222">
        <v>5171</v>
      </c>
      <c r="B35" s="205" t="s">
        <v>89</v>
      </c>
      <c r="C35" s="369">
        <v>27516480</v>
      </c>
      <c r="D35" s="369">
        <v>31321480</v>
      </c>
      <c r="E35" s="369">
        <v>34771480</v>
      </c>
      <c r="F35" s="369">
        <v>39749108</v>
      </c>
      <c r="G35" s="369">
        <f t="shared" si="51"/>
        <v>40199108</v>
      </c>
      <c r="H35" s="234"/>
      <c r="I35" s="155"/>
      <c r="J35" s="155"/>
      <c r="K35" s="155"/>
      <c r="L35" s="155">
        <f>+'[4]Všeob. pokladna'!$B$32</f>
        <v>0</v>
      </c>
      <c r="M35" s="155">
        <f>+'[4]Particitivní rozpočet'!$B$61</f>
        <v>0</v>
      </c>
      <c r="N35" s="155"/>
      <c r="O35" s="155"/>
      <c r="P35" s="155"/>
      <c r="Q35" s="155">
        <f t="shared" si="26"/>
        <v>500000</v>
      </c>
      <c r="R35" s="370">
        <f>+[3]Správa!$B$69+[4]Správa!$B$11</f>
        <v>500000</v>
      </c>
      <c r="S35" s="371">
        <v>0</v>
      </c>
      <c r="T35" s="155"/>
      <c r="U35" s="381">
        <f>+S35+AS35+CH35+CE35+CA35+DM35+AG35+AM35+AV35+AY35+BE35+BK35+BN35+BQ35+BT35+BW35+CL35+CX35+DB35+DE35+DH35+AJ35+DW35+BB35+BH35+CO35+CR35+CU35</f>
        <v>3310000</v>
      </c>
      <c r="V35" s="155">
        <f>'[3]Pečovatelská služba'!$B$59</f>
        <v>60000</v>
      </c>
      <c r="W35" s="155"/>
      <c r="X35" s="155"/>
      <c r="Y35" s="155">
        <f>'[3]Městská policie'!$B$85</f>
        <v>120000</v>
      </c>
      <c r="Z35" s="155"/>
      <c r="AA35" s="155">
        <f>+'[4]Hotel Budka'!$B$25</f>
        <v>150000</v>
      </c>
      <c r="AB35" s="155">
        <f>[3]Knihovna!$B$61</f>
        <v>30000</v>
      </c>
      <c r="AC35" s="155"/>
      <c r="AD35" s="155"/>
      <c r="AE35" s="155">
        <f t="shared" si="59"/>
        <v>2690000</v>
      </c>
      <c r="AF35" s="370">
        <f>+[4]Byty!$D$32</f>
        <v>2690000</v>
      </c>
      <c r="AG35" s="370">
        <f>+[4]Byty!$E$32</f>
        <v>0</v>
      </c>
      <c r="AH35" s="155">
        <f t="shared" si="60"/>
        <v>600000</v>
      </c>
      <c r="AI35" s="370">
        <f>+[4]DPS!$D$33</f>
        <v>500000</v>
      </c>
      <c r="AJ35" s="370">
        <f>+[4]DPS!$E$33</f>
        <v>100000</v>
      </c>
      <c r="AK35" s="155">
        <f t="shared" si="61"/>
        <v>3320000</v>
      </c>
      <c r="AL35" s="370">
        <f>+[4]Nebyty!$B$11</f>
        <v>3320000</v>
      </c>
      <c r="AM35" s="370">
        <v>0</v>
      </c>
      <c r="AN35" s="155">
        <f>+[4]Hasiči!$B$25+[3]Hasiči!$B$61</f>
        <v>260000</v>
      </c>
      <c r="AO35" s="155">
        <f>+'[4]Zdrav. středisko'!$B$11</f>
        <v>350000</v>
      </c>
      <c r="AP35" s="155">
        <f>+[4]Tesko!$B$11</f>
        <v>0</v>
      </c>
      <c r="AQ35" s="155">
        <f t="shared" si="62"/>
        <v>100000</v>
      </c>
      <c r="AR35" s="370">
        <f>+[4]Hřbitov!$D$25</f>
        <v>100000</v>
      </c>
      <c r="AS35" s="370">
        <f>+[4]Hřbitov!$E$25</f>
        <v>0</v>
      </c>
      <c r="AT35" s="155">
        <f t="shared" si="63"/>
        <v>500000</v>
      </c>
      <c r="AU35" s="370">
        <f>+[4]koupaliště!$D$21</f>
        <v>500000</v>
      </c>
      <c r="AV35" s="370">
        <f>+[4]koupaliště!$E$21</f>
        <v>0</v>
      </c>
      <c r="AW35" s="155">
        <f t="shared" si="57"/>
        <v>554000</v>
      </c>
      <c r="AX35" s="370">
        <f>+[4]Hřiště!$D$21</f>
        <v>354000</v>
      </c>
      <c r="AY35" s="370">
        <f>+[4]Hřiště!$E$21</f>
        <v>200000</v>
      </c>
      <c r="AZ35" s="155">
        <f t="shared" si="58"/>
        <v>0</v>
      </c>
      <c r="BA35" s="370">
        <f>+[4]Spolky!$D$23</f>
        <v>0</v>
      </c>
      <c r="BB35" s="370">
        <f>+[4]Spolky!$E$23</f>
        <v>0</v>
      </c>
      <c r="BC35" s="155">
        <f t="shared" si="64"/>
        <v>95000</v>
      </c>
      <c r="BD35" s="370">
        <f>+[4]ZŠ!$D$11</f>
        <v>95000</v>
      </c>
      <c r="BE35" s="370">
        <f>+[4]ZŠ!$E$11</f>
        <v>0</v>
      </c>
      <c r="BF35" s="155">
        <f t="shared" si="35"/>
        <v>0</v>
      </c>
      <c r="BG35" s="370"/>
      <c r="BH35" s="370"/>
      <c r="BI35" s="155">
        <f t="shared" si="65"/>
        <v>160000</v>
      </c>
      <c r="BJ35" s="370">
        <f>+'[4]Č.p. 65'!$D$11+[3]č.p.65!$B$32</f>
        <v>160000</v>
      </c>
      <c r="BK35" s="370">
        <f>+'[4]Č.p. 65'!$E$11</f>
        <v>0</v>
      </c>
      <c r="BL35" s="155">
        <f t="shared" si="66"/>
        <v>220000</v>
      </c>
      <c r="BM35" s="370">
        <f>+[4]MDDM!$D$11</f>
        <v>200000</v>
      </c>
      <c r="BN35" s="370">
        <f>+[4]MDDM!$E$11</f>
        <v>20000</v>
      </c>
      <c r="BO35" s="155">
        <f t="shared" si="67"/>
        <v>460000</v>
      </c>
      <c r="BP35" s="370">
        <f>+'[4]MŠ Pražská'!$D$11</f>
        <v>430000</v>
      </c>
      <c r="BQ35" s="370">
        <f>+'[4]MŠ Pražská'!$E$11</f>
        <v>30000</v>
      </c>
      <c r="BR35" s="155">
        <f t="shared" si="68"/>
        <v>655000</v>
      </c>
      <c r="BS35" s="370">
        <f>+'[4]MŠ Kollárova'!$D$11</f>
        <v>625000</v>
      </c>
      <c r="BT35" s="370">
        <f>+'[4]MŠ Kollárova'!$E$11</f>
        <v>30000</v>
      </c>
      <c r="BU35" s="155">
        <f t="shared" si="69"/>
        <v>1930000</v>
      </c>
      <c r="BV35" s="370">
        <f>+'[4]Jídelna ZŠ'!$D$11</f>
        <v>1930000</v>
      </c>
      <c r="BW35" s="370">
        <f>+'[4]Jídelna ZŠ'!$E$11</f>
        <v>0</v>
      </c>
      <c r="BX35" s="155">
        <f>+'[4]Jídelna MŠ'!$B$11</f>
        <v>50000</v>
      </c>
      <c r="BY35" s="155">
        <f t="shared" si="70"/>
        <v>280000</v>
      </c>
      <c r="BZ35" s="370">
        <f>+'[4]MŠ Cukrovar'!$D$12</f>
        <v>250000</v>
      </c>
      <c r="CA35" s="370">
        <f>+'[4]MŠ Cukrovar'!$E$12</f>
        <v>30000</v>
      </c>
      <c r="CB35" s="155"/>
      <c r="CC35" s="155">
        <f t="shared" si="71"/>
        <v>450000</v>
      </c>
      <c r="CD35" s="370">
        <f>+[4]VO!$D$29</f>
        <v>100000</v>
      </c>
      <c r="CE35" s="370">
        <f>+[4]VO!$E$29</f>
        <v>350000</v>
      </c>
      <c r="CF35" s="155">
        <f t="shared" si="43"/>
        <v>19675108</v>
      </c>
      <c r="CG35" s="382">
        <f>+[4]Silnice!$D$39</f>
        <v>17125108</v>
      </c>
      <c r="CH35" s="370">
        <f>+[4]Silnice!$E$39</f>
        <v>2550000</v>
      </c>
      <c r="CI35" s="155"/>
      <c r="CJ35" s="155">
        <f t="shared" si="44"/>
        <v>100000</v>
      </c>
      <c r="CK35" s="177">
        <f>+[4]Vodovod!$D$19</f>
        <v>100000</v>
      </c>
      <c r="CL35" s="370">
        <f>+[4]Vodovod!$E$19</f>
        <v>0</v>
      </c>
      <c r="CM35" s="208">
        <f>+CO35+CN35</f>
        <v>5500000</v>
      </c>
      <c r="CN35" s="177">
        <f>'[5]Vodovod obnova'!$D$4</f>
        <v>5500000</v>
      </c>
      <c r="CO35" s="370">
        <f>'[5]Vodovod obnova'!$E$4</f>
        <v>0</v>
      </c>
      <c r="CP35" s="155">
        <f t="shared" ref="CP35:CP37" si="72">+CQ35+CR35</f>
        <v>0</v>
      </c>
      <c r="CQ35" s="177">
        <f>+[4]Kanalizace!$D$20</f>
        <v>0</v>
      </c>
      <c r="CR35" s="370">
        <f>+[4]Kanalizace!$E$20</f>
        <v>0</v>
      </c>
      <c r="CS35" s="208">
        <f>+CU35+CT35</f>
        <v>500000</v>
      </c>
      <c r="CT35" s="177">
        <f>'[5]Kanalizace obnova'!$D$4</f>
        <v>500000</v>
      </c>
      <c r="CU35" s="370">
        <f>'[5]Kanalizace obnova'!$E$4</f>
        <v>0</v>
      </c>
      <c r="CV35" s="155">
        <f t="shared" si="45"/>
        <v>890000</v>
      </c>
      <c r="CW35" s="370">
        <f>+'[4]Inženýrské sítě'!$D$11</f>
        <v>890000</v>
      </c>
      <c r="CX35" s="370">
        <f>+'[4]Inženýrské sítě'!$E$11</f>
        <v>0</v>
      </c>
      <c r="CY35" s="155"/>
      <c r="CZ35" s="155">
        <f t="shared" si="46"/>
        <v>0</v>
      </c>
      <c r="DA35" s="370"/>
      <c r="DB35" s="370"/>
      <c r="DC35" s="155">
        <f t="shared" si="47"/>
        <v>0</v>
      </c>
      <c r="DD35" s="370"/>
      <c r="DE35" s="370"/>
      <c r="DF35" s="155">
        <f t="shared" si="48"/>
        <v>0</v>
      </c>
      <c r="DG35" s="370"/>
      <c r="DH35" s="370"/>
      <c r="DI35" s="155"/>
      <c r="DJ35" s="155">
        <f t="shared" si="49"/>
        <v>0</v>
      </c>
      <c r="DK35" s="370"/>
      <c r="DL35" s="370"/>
      <c r="DM35" s="370"/>
      <c r="DN35" s="155">
        <f>+[4]Rybníky!$B$11</f>
        <v>0</v>
      </c>
      <c r="DO35" s="155"/>
      <c r="DP35" s="155"/>
      <c r="DQ35" s="155"/>
      <c r="DR35" s="155"/>
      <c r="DS35" s="155"/>
      <c r="DT35" s="155"/>
      <c r="DU35" s="155"/>
      <c r="DV35" s="370"/>
      <c r="DW35" s="370"/>
      <c r="DX35" s="155"/>
      <c r="DY35" s="155"/>
      <c r="DZ35" s="373"/>
      <c r="EA35" s="190">
        <f>+H35+I35+J35+L35+N35+O35+Q35+T35+U35+V35+X35+Y35+Z35+AB35+AC35+AD35+AE35+AH35+AK35+AN35+AO35+AP35+AQ35+AT35+BC35+BI35+BL35+BO35+BR35+BU35+BX35+BY35+CB35+CC35+CF35+CI35+CJ35+CM35+CP35+CS35+CV35+CY35+CZ35+DC35+DF35+DI35+DJ35+DN35+DO35+DP35+DQ35+DR35+DT35+DU35+DX35+DY35+DZ35+BF35+AZ35+AW35+AA35-U35+K35+M35+W35</f>
        <v>40199108</v>
      </c>
      <c r="EB35" s="337">
        <f t="shared" ref="EB35" si="73">EA35-G35</f>
        <v>0</v>
      </c>
      <c r="EC35" s="338"/>
      <c r="ED35" s="369">
        <f t="shared" si="54"/>
        <v>36889108</v>
      </c>
      <c r="EE35" s="338">
        <f t="shared" si="7"/>
        <v>0</v>
      </c>
      <c r="EF35" s="369">
        <f>+S35+AG35+AJ35++AM35+AS35+AV35+BE35+BK35+BN35+BQ35+BT35+BW35+CA35+CE35+CH35+CL35+CX35+DB35+DE35+DH35+DM35+CU35+CR35+CO35+BH35+BB35+AY35</f>
        <v>3310000</v>
      </c>
      <c r="EH35" s="322"/>
    </row>
    <row r="36" spans="1:138" ht="13.5" customHeight="1" outlineLevel="1" x14ac:dyDescent="0.25">
      <c r="A36" s="222">
        <v>5172</v>
      </c>
      <c r="B36" s="205" t="s">
        <v>90</v>
      </c>
      <c r="C36" s="369">
        <v>3378000</v>
      </c>
      <c r="D36" s="369">
        <v>3378000</v>
      </c>
      <c r="E36" s="369">
        <v>3378000</v>
      </c>
      <c r="F36" s="369">
        <v>3378000</v>
      </c>
      <c r="G36" s="369">
        <f t="shared" si="51"/>
        <v>3378000</v>
      </c>
      <c r="H36" s="234"/>
      <c r="I36" s="155"/>
      <c r="J36" s="155"/>
      <c r="K36" s="155"/>
      <c r="L36" s="155"/>
      <c r="M36" s="155">
        <f>+'[4]Particitivní rozpočet'!$B$68</f>
        <v>0</v>
      </c>
      <c r="N36" s="155"/>
      <c r="O36" s="155"/>
      <c r="P36" s="155"/>
      <c r="Q36" s="155">
        <f t="shared" si="26"/>
        <v>3100000</v>
      </c>
      <c r="R36" s="370">
        <f>[3]Správa!$D$76</f>
        <v>3100000</v>
      </c>
      <c r="S36" s="371">
        <f>[3]Správa!$E$76</f>
        <v>0</v>
      </c>
      <c r="T36" s="155"/>
      <c r="U36" s="380">
        <f t="shared" si="56"/>
        <v>0</v>
      </c>
      <c r="V36" s="155">
        <f>'[3]Pečovatelská služba'!$B$66</f>
        <v>10000</v>
      </c>
      <c r="W36" s="155"/>
      <c r="X36" s="155"/>
      <c r="Y36" s="155">
        <f>'[3]Městská policie'!$B$92</f>
        <v>200000</v>
      </c>
      <c r="Z36" s="155">
        <f>[3]Kronika!$B$25</f>
        <v>8000</v>
      </c>
      <c r="AA36" s="155"/>
      <c r="AB36" s="155">
        <f>[3]Knihovna!$B$68</f>
        <v>30000</v>
      </c>
      <c r="AC36" s="155"/>
      <c r="AD36" s="155"/>
      <c r="AE36" s="155">
        <f t="shared" si="59"/>
        <v>0</v>
      </c>
      <c r="AF36" s="370"/>
      <c r="AG36" s="370"/>
      <c r="AH36" s="155">
        <f t="shared" si="60"/>
        <v>0</v>
      </c>
      <c r="AI36" s="370"/>
      <c r="AJ36" s="370"/>
      <c r="AK36" s="155">
        <f t="shared" si="61"/>
        <v>0</v>
      </c>
      <c r="AL36" s="370"/>
      <c r="AM36" s="370"/>
      <c r="AN36" s="155">
        <f>[3]Hasiči!$B$68</f>
        <v>30000</v>
      </c>
      <c r="AO36" s="155"/>
      <c r="AP36" s="155"/>
      <c r="AQ36" s="155">
        <f t="shared" si="62"/>
        <v>0</v>
      </c>
      <c r="AR36" s="370"/>
      <c r="AS36" s="370"/>
      <c r="AT36" s="155">
        <f t="shared" si="63"/>
        <v>0</v>
      </c>
      <c r="AU36" s="370"/>
      <c r="AV36" s="370"/>
      <c r="AW36" s="155">
        <f t="shared" si="57"/>
        <v>0</v>
      </c>
      <c r="AX36" s="370"/>
      <c r="AY36" s="370"/>
      <c r="AZ36" s="155">
        <f t="shared" si="58"/>
        <v>0</v>
      </c>
      <c r="BA36" s="370"/>
      <c r="BB36" s="370"/>
      <c r="BC36" s="155">
        <f t="shared" si="64"/>
        <v>0</v>
      </c>
      <c r="BD36" s="370"/>
      <c r="BE36" s="370"/>
      <c r="BF36" s="155">
        <f t="shared" si="35"/>
        <v>0</v>
      </c>
      <c r="BG36" s="370"/>
      <c r="BH36" s="370"/>
      <c r="BI36" s="155">
        <f t="shared" si="65"/>
        <v>0</v>
      </c>
      <c r="BJ36" s="370"/>
      <c r="BK36" s="370"/>
      <c r="BL36" s="155">
        <f t="shared" si="66"/>
        <v>0</v>
      </c>
      <c r="BM36" s="370"/>
      <c r="BN36" s="370"/>
      <c r="BO36" s="155">
        <f t="shared" si="67"/>
        <v>0</v>
      </c>
      <c r="BP36" s="370"/>
      <c r="BQ36" s="370"/>
      <c r="BR36" s="155">
        <f t="shared" si="68"/>
        <v>0</v>
      </c>
      <c r="BS36" s="370"/>
      <c r="BT36" s="370"/>
      <c r="BU36" s="155">
        <f t="shared" si="69"/>
        <v>0</v>
      </c>
      <c r="BV36" s="370"/>
      <c r="BW36" s="370"/>
      <c r="BX36" s="155"/>
      <c r="BY36" s="155">
        <f t="shared" si="70"/>
        <v>0</v>
      </c>
      <c r="BZ36" s="370"/>
      <c r="CA36" s="370"/>
      <c r="CB36" s="155"/>
      <c r="CC36" s="155">
        <f t="shared" si="71"/>
        <v>0</v>
      </c>
      <c r="CD36" s="370"/>
      <c r="CE36" s="370"/>
      <c r="CF36" s="155">
        <f t="shared" si="43"/>
        <v>0</v>
      </c>
      <c r="CG36" s="370"/>
      <c r="CH36" s="370"/>
      <c r="CI36" s="155"/>
      <c r="CJ36" s="155">
        <f t="shared" si="44"/>
        <v>0</v>
      </c>
      <c r="CK36" s="370"/>
      <c r="CL36" s="370"/>
      <c r="CM36" s="155"/>
      <c r="CN36" s="370"/>
      <c r="CO36" s="370"/>
      <c r="CP36" s="155">
        <f t="shared" si="72"/>
        <v>0</v>
      </c>
      <c r="CQ36" s="370"/>
      <c r="CR36" s="370"/>
      <c r="CS36" s="155"/>
      <c r="CT36" s="370"/>
      <c r="CU36" s="370"/>
      <c r="CV36" s="155">
        <f t="shared" si="45"/>
        <v>0</v>
      </c>
      <c r="CW36" s="370"/>
      <c r="CX36" s="370"/>
      <c r="CY36" s="155"/>
      <c r="CZ36" s="155">
        <f t="shared" si="46"/>
        <v>0</v>
      </c>
      <c r="DA36" s="370"/>
      <c r="DB36" s="370"/>
      <c r="DC36" s="155">
        <f t="shared" si="47"/>
        <v>0</v>
      </c>
      <c r="DD36" s="370"/>
      <c r="DE36" s="370"/>
      <c r="DF36" s="155">
        <f t="shared" si="48"/>
        <v>0</v>
      </c>
      <c r="DG36" s="370"/>
      <c r="DH36" s="370"/>
      <c r="DI36" s="155"/>
      <c r="DJ36" s="155">
        <f t="shared" si="49"/>
        <v>0</v>
      </c>
      <c r="DK36" s="370"/>
      <c r="DL36" s="370"/>
      <c r="DM36" s="370"/>
      <c r="DN36" s="155"/>
      <c r="DO36" s="155"/>
      <c r="DP36" s="155"/>
      <c r="DQ36" s="155"/>
      <c r="DR36" s="155"/>
      <c r="DS36" s="155"/>
      <c r="DT36" s="155"/>
      <c r="DU36" s="155"/>
      <c r="DV36" s="370"/>
      <c r="DW36" s="370"/>
      <c r="DX36" s="155"/>
      <c r="DY36" s="155"/>
      <c r="DZ36" s="373"/>
      <c r="EA36" s="190">
        <f t="shared" ref="EA36:EA43" si="74">+H36+I36+J36+L36+N36+O36+Q36+T36+U36+V36+X36+Y36+Z36+AB36+AC36+AD36+AE36+AH36+AK36+AN36+AO36+AP36+AQ36+AT36+BC36+BI36+BL36+BO36+BR36+BU36+BX36+BY36+CB36+CC36+CF36+CI36+CJ36+CM36+CP36+CS36+CV36+CY36+CZ36+DC36+DF36+DI36+DJ36+DN36+DO36+DP36+DQ36+DR36+DT36+DU36+DX36+DY36+DZ36+BF36+AZ36+AW36+AA36-U36+K36+M36+W36</f>
        <v>3378000</v>
      </c>
      <c r="EB36" s="337">
        <f t="shared" si="24"/>
        <v>0</v>
      </c>
      <c r="EC36" s="338"/>
      <c r="ED36" s="369">
        <f t="shared" si="54"/>
        <v>3378000</v>
      </c>
      <c r="EE36" s="338">
        <f t="shared" si="7"/>
        <v>0</v>
      </c>
      <c r="EF36" s="369">
        <f t="shared" si="25"/>
        <v>0</v>
      </c>
      <c r="EH36" s="322"/>
    </row>
    <row r="37" spans="1:138" ht="13.5" customHeight="1" outlineLevel="1" x14ac:dyDescent="0.25">
      <c r="A37" s="222">
        <v>5173</v>
      </c>
      <c r="B37" s="205" t="s">
        <v>91</v>
      </c>
      <c r="C37" s="369">
        <v>62000</v>
      </c>
      <c r="D37" s="369">
        <v>62000</v>
      </c>
      <c r="E37" s="369">
        <v>62000</v>
      </c>
      <c r="F37" s="369">
        <v>62000</v>
      </c>
      <c r="G37" s="369">
        <f t="shared" si="51"/>
        <v>62000</v>
      </c>
      <c r="H37" s="234"/>
      <c r="I37" s="155"/>
      <c r="J37" s="155"/>
      <c r="K37" s="155"/>
      <c r="L37" s="155"/>
      <c r="M37" s="155">
        <f>+'[4]Particitivní rozpočet'!$B$75</f>
        <v>0</v>
      </c>
      <c r="N37" s="155">
        <f>[3]Zastupitelé!$B$58</f>
        <v>20000</v>
      </c>
      <c r="O37" s="155"/>
      <c r="P37" s="155"/>
      <c r="Q37" s="155">
        <f t="shared" si="26"/>
        <v>30000</v>
      </c>
      <c r="R37" s="370">
        <f>[3]Správa!$D$83</f>
        <v>30000</v>
      </c>
      <c r="S37" s="371">
        <f>[3]Správa!$E$83</f>
        <v>0</v>
      </c>
      <c r="T37" s="155"/>
      <c r="U37" s="380">
        <f t="shared" si="56"/>
        <v>0</v>
      </c>
      <c r="V37" s="155">
        <f>'[3]Pečovatelská služba'!$B$73</f>
        <v>1000</v>
      </c>
      <c r="W37" s="155"/>
      <c r="X37" s="155"/>
      <c r="Y37" s="155">
        <f>'[3]Městská policie'!$B$99</f>
        <v>10000</v>
      </c>
      <c r="Z37" s="155"/>
      <c r="AA37" s="155"/>
      <c r="AB37" s="155">
        <f>[3]Knihovna!$B$75</f>
        <v>1000</v>
      </c>
      <c r="AC37" s="155"/>
      <c r="AD37" s="155"/>
      <c r="AE37" s="155">
        <f t="shared" si="59"/>
        <v>0</v>
      </c>
      <c r="AF37" s="370"/>
      <c r="AG37" s="370"/>
      <c r="AH37" s="155">
        <f t="shared" si="60"/>
        <v>0</v>
      </c>
      <c r="AI37" s="370"/>
      <c r="AJ37" s="370"/>
      <c r="AK37" s="155">
        <f t="shared" si="61"/>
        <v>0</v>
      </c>
      <c r="AL37" s="370"/>
      <c r="AM37" s="370"/>
      <c r="AN37" s="155"/>
      <c r="AO37" s="155"/>
      <c r="AP37" s="155"/>
      <c r="AQ37" s="155">
        <f t="shared" si="62"/>
        <v>0</v>
      </c>
      <c r="AR37" s="370"/>
      <c r="AS37" s="370"/>
      <c r="AT37" s="155">
        <f t="shared" si="63"/>
        <v>0</v>
      </c>
      <c r="AU37" s="370"/>
      <c r="AV37" s="370"/>
      <c r="AW37" s="155">
        <f t="shared" si="57"/>
        <v>0</v>
      </c>
      <c r="AX37" s="370"/>
      <c r="AY37" s="370"/>
      <c r="AZ37" s="155">
        <f t="shared" si="58"/>
        <v>0</v>
      </c>
      <c r="BA37" s="370"/>
      <c r="BB37" s="370"/>
      <c r="BC37" s="155">
        <f t="shared" si="64"/>
        <v>0</v>
      </c>
      <c r="BD37" s="370"/>
      <c r="BE37" s="370"/>
      <c r="BF37" s="155">
        <f t="shared" si="35"/>
        <v>0</v>
      </c>
      <c r="BG37" s="370"/>
      <c r="BH37" s="370"/>
      <c r="BI37" s="155">
        <f t="shared" si="65"/>
        <v>0</v>
      </c>
      <c r="BJ37" s="370"/>
      <c r="BK37" s="370"/>
      <c r="BL37" s="155">
        <f t="shared" si="66"/>
        <v>0</v>
      </c>
      <c r="BM37" s="370"/>
      <c r="BN37" s="370"/>
      <c r="BO37" s="155">
        <f t="shared" si="67"/>
        <v>0</v>
      </c>
      <c r="BP37" s="370"/>
      <c r="BQ37" s="370"/>
      <c r="BR37" s="155">
        <f t="shared" si="68"/>
        <v>0</v>
      </c>
      <c r="BS37" s="370"/>
      <c r="BT37" s="370"/>
      <c r="BU37" s="155">
        <f t="shared" si="69"/>
        <v>0</v>
      </c>
      <c r="BV37" s="370"/>
      <c r="BW37" s="370"/>
      <c r="BX37" s="155"/>
      <c r="BY37" s="155">
        <f t="shared" si="70"/>
        <v>0</v>
      </c>
      <c r="BZ37" s="370"/>
      <c r="CA37" s="370"/>
      <c r="CB37" s="155"/>
      <c r="CC37" s="155">
        <f t="shared" si="71"/>
        <v>0</v>
      </c>
      <c r="CD37" s="370"/>
      <c r="CE37" s="370"/>
      <c r="CF37" s="155">
        <f t="shared" si="43"/>
        <v>0</v>
      </c>
      <c r="CG37" s="370"/>
      <c r="CH37" s="370"/>
      <c r="CI37" s="155"/>
      <c r="CJ37" s="155">
        <f t="shared" si="44"/>
        <v>0</v>
      </c>
      <c r="CK37" s="370"/>
      <c r="CL37" s="370"/>
      <c r="CM37" s="155"/>
      <c r="CN37" s="370"/>
      <c r="CO37" s="370"/>
      <c r="CP37" s="155">
        <f t="shared" si="72"/>
        <v>0</v>
      </c>
      <c r="CQ37" s="370"/>
      <c r="CR37" s="370"/>
      <c r="CS37" s="155"/>
      <c r="CT37" s="370"/>
      <c r="CU37" s="370"/>
      <c r="CV37" s="155">
        <f t="shared" si="45"/>
        <v>0</v>
      </c>
      <c r="CW37" s="370"/>
      <c r="CX37" s="370"/>
      <c r="CY37" s="155"/>
      <c r="CZ37" s="155">
        <f t="shared" si="46"/>
        <v>0</v>
      </c>
      <c r="DA37" s="370"/>
      <c r="DB37" s="370"/>
      <c r="DC37" s="155">
        <f t="shared" si="47"/>
        <v>0</v>
      </c>
      <c r="DD37" s="370"/>
      <c r="DE37" s="370"/>
      <c r="DF37" s="155">
        <f t="shared" si="48"/>
        <v>0</v>
      </c>
      <c r="DG37" s="370"/>
      <c r="DH37" s="370"/>
      <c r="DI37" s="155"/>
      <c r="DJ37" s="155">
        <f t="shared" si="49"/>
        <v>0</v>
      </c>
      <c r="DK37" s="370"/>
      <c r="DL37" s="370"/>
      <c r="DM37" s="370"/>
      <c r="DN37" s="155"/>
      <c r="DO37" s="155"/>
      <c r="DP37" s="155"/>
      <c r="DQ37" s="155"/>
      <c r="DR37" s="155"/>
      <c r="DS37" s="155"/>
      <c r="DT37" s="155"/>
      <c r="DU37" s="155"/>
      <c r="DV37" s="370"/>
      <c r="DW37" s="370"/>
      <c r="DX37" s="155"/>
      <c r="DY37" s="155"/>
      <c r="DZ37" s="373"/>
      <c r="EA37" s="190">
        <f t="shared" si="74"/>
        <v>62000</v>
      </c>
      <c r="EB37" s="337">
        <f t="shared" si="24"/>
        <v>0</v>
      </c>
      <c r="EC37" s="338"/>
      <c r="ED37" s="369">
        <f t="shared" si="54"/>
        <v>62000</v>
      </c>
      <c r="EE37" s="338">
        <f t="shared" si="7"/>
        <v>0</v>
      </c>
      <c r="EF37" s="369">
        <f t="shared" si="25"/>
        <v>0</v>
      </c>
      <c r="EH37" s="322"/>
    </row>
    <row r="38" spans="1:138" ht="13.5" customHeight="1" outlineLevel="1" x14ac:dyDescent="0.25">
      <c r="A38" s="222">
        <v>5175</v>
      </c>
      <c r="B38" s="205" t="s">
        <v>92</v>
      </c>
      <c r="C38" s="369">
        <v>440000</v>
      </c>
      <c r="D38" s="369">
        <v>440000</v>
      </c>
      <c r="E38" s="369">
        <v>440000</v>
      </c>
      <c r="F38" s="369">
        <v>440000</v>
      </c>
      <c r="G38" s="369">
        <f t="shared" si="51"/>
        <v>458822</v>
      </c>
      <c r="H38" s="234"/>
      <c r="I38" s="155"/>
      <c r="J38" s="155"/>
      <c r="K38" s="155"/>
      <c r="L38" s="155"/>
      <c r="M38" s="155">
        <f>+'[4]Particitivní rozpočet'!$B$82</f>
        <v>0</v>
      </c>
      <c r="N38" s="155">
        <f>[3]Zastupitelé!$B$65</f>
        <v>140000</v>
      </c>
      <c r="O38" s="155">
        <f>+'[2]Volby_6115 '!$B$32</f>
        <v>12548</v>
      </c>
      <c r="P38" s="155">
        <f>+[2]Volby_6117!$B$32</f>
        <v>6274</v>
      </c>
      <c r="Q38" s="155">
        <f t="shared" si="26"/>
        <v>150000</v>
      </c>
      <c r="R38" s="370">
        <f>[3]Správa!$D$90</f>
        <v>150000</v>
      </c>
      <c r="S38" s="371">
        <f>[3]Správa!$E$90</f>
        <v>0</v>
      </c>
      <c r="T38" s="155"/>
      <c r="U38" s="380">
        <f t="shared" si="56"/>
        <v>0</v>
      </c>
      <c r="V38" s="155">
        <f>'[3]Pečovatelská služba'!$B$80</f>
        <v>15000</v>
      </c>
      <c r="W38" s="155"/>
      <c r="X38" s="155"/>
      <c r="Y38" s="155">
        <f>'[3]Městská policie'!$B$106</f>
        <v>14000</v>
      </c>
      <c r="Z38" s="155"/>
      <c r="AA38" s="155"/>
      <c r="AB38" s="155">
        <f>[3]Knihovna!$B$82</f>
        <v>1000</v>
      </c>
      <c r="AC38" s="155"/>
      <c r="AD38" s="155">
        <f>[3]Kultura!$B$39</f>
        <v>110000</v>
      </c>
      <c r="AE38" s="155">
        <f t="shared" si="27"/>
        <v>0</v>
      </c>
      <c r="AF38" s="370"/>
      <c r="AG38" s="370"/>
      <c r="AH38" s="155">
        <f t="shared" si="28"/>
        <v>0</v>
      </c>
      <c r="AI38" s="370"/>
      <c r="AJ38" s="370"/>
      <c r="AK38" s="155">
        <f t="shared" si="29"/>
        <v>0</v>
      </c>
      <c r="AL38" s="370"/>
      <c r="AM38" s="370"/>
      <c r="AN38" s="155">
        <f>[3]Hasiči!$B$75</f>
        <v>10000</v>
      </c>
      <c r="AO38" s="155"/>
      <c r="AP38" s="155"/>
      <c r="AQ38" s="155">
        <f t="shared" si="30"/>
        <v>0</v>
      </c>
      <c r="AR38" s="370"/>
      <c r="AS38" s="370"/>
      <c r="AT38" s="155">
        <f t="shared" si="31"/>
        <v>0</v>
      </c>
      <c r="AU38" s="370"/>
      <c r="AV38" s="370"/>
      <c r="AW38" s="155">
        <f t="shared" si="57"/>
        <v>0</v>
      </c>
      <c r="AX38" s="370"/>
      <c r="AY38" s="370"/>
      <c r="AZ38" s="155">
        <f t="shared" si="58"/>
        <v>0</v>
      </c>
      <c r="BA38" s="370"/>
      <c r="BB38" s="370"/>
      <c r="BC38" s="155">
        <f t="shared" si="34"/>
        <v>0</v>
      </c>
      <c r="BD38" s="370"/>
      <c r="BE38" s="370"/>
      <c r="BF38" s="155">
        <f t="shared" si="35"/>
        <v>0</v>
      </c>
      <c r="BG38" s="370"/>
      <c r="BH38" s="370"/>
      <c r="BI38" s="155">
        <f t="shared" si="36"/>
        <v>0</v>
      </c>
      <c r="BJ38" s="370">
        <f>[3]č.p.65!$D$39</f>
        <v>0</v>
      </c>
      <c r="BK38" s="370">
        <f>[3]č.p.65!$E$39</f>
        <v>0</v>
      </c>
      <c r="BL38" s="155">
        <f t="shared" si="37"/>
        <v>0</v>
      </c>
      <c r="BM38" s="370"/>
      <c r="BN38" s="370"/>
      <c r="BO38" s="155">
        <f t="shared" si="38"/>
        <v>0</v>
      </c>
      <c r="BP38" s="370"/>
      <c r="BQ38" s="370"/>
      <c r="BR38" s="155">
        <f t="shared" si="39"/>
        <v>0</v>
      </c>
      <c r="BS38" s="370"/>
      <c r="BT38" s="370"/>
      <c r="BU38" s="155">
        <f t="shared" si="40"/>
        <v>0</v>
      </c>
      <c r="BV38" s="370"/>
      <c r="BW38" s="370"/>
      <c r="BX38" s="155"/>
      <c r="BY38" s="155">
        <f t="shared" si="41"/>
        <v>0</v>
      </c>
      <c r="BZ38" s="370"/>
      <c r="CA38" s="370"/>
      <c r="CB38" s="155"/>
      <c r="CC38" s="155">
        <f t="shared" si="42"/>
        <v>0</v>
      </c>
      <c r="CD38" s="370"/>
      <c r="CE38" s="370"/>
      <c r="CF38" s="155">
        <f t="shared" si="43"/>
        <v>0</v>
      </c>
      <c r="CG38" s="370"/>
      <c r="CH38" s="370"/>
      <c r="CI38" s="155"/>
      <c r="CJ38" s="155">
        <f t="shared" si="44"/>
        <v>0</v>
      </c>
      <c r="CK38" s="370"/>
      <c r="CL38" s="370"/>
      <c r="CM38" s="155"/>
      <c r="CN38" s="370"/>
      <c r="CO38" s="370"/>
      <c r="CP38" s="155"/>
      <c r="CQ38" s="370"/>
      <c r="CR38" s="370"/>
      <c r="CS38" s="155"/>
      <c r="CT38" s="370"/>
      <c r="CU38" s="370"/>
      <c r="CV38" s="155">
        <f t="shared" si="45"/>
        <v>0</v>
      </c>
      <c r="CW38" s="370"/>
      <c r="CX38" s="370"/>
      <c r="CY38" s="155"/>
      <c r="CZ38" s="155">
        <f t="shared" si="46"/>
        <v>0</v>
      </c>
      <c r="DA38" s="370"/>
      <c r="DB38" s="370"/>
      <c r="DC38" s="155">
        <f t="shared" si="47"/>
        <v>0</v>
      </c>
      <c r="DD38" s="370"/>
      <c r="DE38" s="370"/>
      <c r="DF38" s="155">
        <f t="shared" si="48"/>
        <v>0</v>
      </c>
      <c r="DG38" s="370"/>
      <c r="DH38" s="370"/>
      <c r="DI38" s="155"/>
      <c r="DJ38" s="155">
        <f t="shared" si="49"/>
        <v>0</v>
      </c>
      <c r="DK38" s="370"/>
      <c r="DL38" s="370"/>
      <c r="DM38" s="370"/>
      <c r="DN38" s="155"/>
      <c r="DO38" s="155"/>
      <c r="DP38" s="155"/>
      <c r="DQ38" s="155"/>
      <c r="DR38" s="155"/>
      <c r="DS38" s="155"/>
      <c r="DT38" s="155"/>
      <c r="DU38" s="155"/>
      <c r="DV38" s="370"/>
      <c r="DW38" s="370"/>
      <c r="DX38" s="155"/>
      <c r="DY38" s="155"/>
      <c r="DZ38" s="373"/>
      <c r="EA38" s="190">
        <f t="shared" si="74"/>
        <v>452548</v>
      </c>
      <c r="EB38" s="337">
        <f t="shared" si="24"/>
        <v>-6274</v>
      </c>
      <c r="EC38" s="338"/>
      <c r="ED38" s="369">
        <f t="shared" si="54"/>
        <v>458822</v>
      </c>
      <c r="EE38" s="338">
        <f t="shared" si="7"/>
        <v>0</v>
      </c>
      <c r="EF38" s="369">
        <f t="shared" si="25"/>
        <v>0</v>
      </c>
      <c r="EH38" s="322"/>
    </row>
    <row r="39" spans="1:138" ht="13.5" hidden="1" customHeight="1" outlineLevel="1" x14ac:dyDescent="0.25">
      <c r="A39" s="222">
        <v>5179</v>
      </c>
      <c r="B39" s="205" t="s">
        <v>93</v>
      </c>
      <c r="C39" s="369">
        <v>0</v>
      </c>
      <c r="D39" s="369">
        <v>0</v>
      </c>
      <c r="E39" s="369">
        <v>0</v>
      </c>
      <c r="F39" s="369">
        <v>0</v>
      </c>
      <c r="G39" s="369">
        <f t="shared" si="51"/>
        <v>0</v>
      </c>
      <c r="H39" s="234"/>
      <c r="I39" s="155"/>
      <c r="J39" s="155"/>
      <c r="K39" s="155"/>
      <c r="L39" s="155"/>
      <c r="M39" s="155"/>
      <c r="N39" s="155"/>
      <c r="O39" s="155"/>
      <c r="P39" s="155"/>
      <c r="Q39" s="155">
        <f t="shared" si="26"/>
        <v>0</v>
      </c>
      <c r="R39" s="370">
        <f>+[3]Správa!$B$97</f>
        <v>0</v>
      </c>
      <c r="S39" s="371">
        <v>0</v>
      </c>
      <c r="T39" s="155"/>
      <c r="U39" s="380">
        <f t="shared" si="56"/>
        <v>0</v>
      </c>
      <c r="V39" s="155"/>
      <c r="W39" s="155"/>
      <c r="X39" s="155"/>
      <c r="Y39" s="155"/>
      <c r="Z39" s="155"/>
      <c r="AA39" s="155"/>
      <c r="AB39" s="155"/>
      <c r="AC39" s="155"/>
      <c r="AD39" s="155"/>
      <c r="AE39" s="155">
        <f t="shared" si="27"/>
        <v>0</v>
      </c>
      <c r="AF39" s="370"/>
      <c r="AG39" s="370"/>
      <c r="AH39" s="155">
        <f t="shared" si="28"/>
        <v>0</v>
      </c>
      <c r="AI39" s="370"/>
      <c r="AJ39" s="370"/>
      <c r="AK39" s="155">
        <f t="shared" si="29"/>
        <v>0</v>
      </c>
      <c r="AL39" s="370"/>
      <c r="AM39" s="370"/>
      <c r="AN39" s="155"/>
      <c r="AO39" s="155"/>
      <c r="AP39" s="155"/>
      <c r="AQ39" s="155">
        <f t="shared" si="30"/>
        <v>0</v>
      </c>
      <c r="AR39" s="370"/>
      <c r="AS39" s="370"/>
      <c r="AT39" s="155">
        <f t="shared" si="31"/>
        <v>0</v>
      </c>
      <c r="AU39" s="370"/>
      <c r="AV39" s="370"/>
      <c r="AW39" s="155">
        <f t="shared" si="57"/>
        <v>0</v>
      </c>
      <c r="AX39" s="370"/>
      <c r="AY39" s="370"/>
      <c r="AZ39" s="155">
        <f t="shared" si="58"/>
        <v>0</v>
      </c>
      <c r="BA39" s="370"/>
      <c r="BB39" s="370"/>
      <c r="BC39" s="155">
        <f t="shared" si="34"/>
        <v>0</v>
      </c>
      <c r="BD39" s="370"/>
      <c r="BE39" s="370"/>
      <c r="BF39" s="155">
        <f t="shared" si="35"/>
        <v>0</v>
      </c>
      <c r="BG39" s="370"/>
      <c r="BH39" s="370"/>
      <c r="BI39" s="155">
        <f t="shared" si="36"/>
        <v>0</v>
      </c>
      <c r="BJ39" s="370"/>
      <c r="BK39" s="370"/>
      <c r="BL39" s="155">
        <f t="shared" si="37"/>
        <v>0</v>
      </c>
      <c r="BM39" s="370"/>
      <c r="BN39" s="370"/>
      <c r="BO39" s="155">
        <f t="shared" si="38"/>
        <v>0</v>
      </c>
      <c r="BP39" s="370"/>
      <c r="BQ39" s="370"/>
      <c r="BR39" s="155">
        <f t="shared" si="39"/>
        <v>0</v>
      </c>
      <c r="BS39" s="370"/>
      <c r="BT39" s="370"/>
      <c r="BU39" s="155">
        <f t="shared" si="40"/>
        <v>0</v>
      </c>
      <c r="BV39" s="370"/>
      <c r="BW39" s="370"/>
      <c r="BX39" s="155"/>
      <c r="BY39" s="155">
        <f t="shared" si="41"/>
        <v>0</v>
      </c>
      <c r="BZ39" s="370"/>
      <c r="CA39" s="370"/>
      <c r="CB39" s="155"/>
      <c r="CC39" s="155">
        <f t="shared" si="42"/>
        <v>0</v>
      </c>
      <c r="CD39" s="370"/>
      <c r="CE39" s="370"/>
      <c r="CF39" s="155">
        <f t="shared" si="43"/>
        <v>0</v>
      </c>
      <c r="CG39" s="370"/>
      <c r="CH39" s="370"/>
      <c r="CI39" s="155"/>
      <c r="CJ39" s="155">
        <f t="shared" si="44"/>
        <v>0</v>
      </c>
      <c r="CK39" s="370"/>
      <c r="CL39" s="370"/>
      <c r="CM39" s="155"/>
      <c r="CN39" s="370"/>
      <c r="CO39" s="370"/>
      <c r="CP39" s="155"/>
      <c r="CQ39" s="370"/>
      <c r="CR39" s="370"/>
      <c r="CS39" s="155"/>
      <c r="CT39" s="370"/>
      <c r="CU39" s="370"/>
      <c r="CV39" s="155">
        <f t="shared" si="45"/>
        <v>0</v>
      </c>
      <c r="CW39" s="370"/>
      <c r="CX39" s="370"/>
      <c r="CY39" s="155"/>
      <c r="CZ39" s="155">
        <f t="shared" si="46"/>
        <v>0</v>
      </c>
      <c r="DA39" s="370"/>
      <c r="DB39" s="370"/>
      <c r="DC39" s="155">
        <f t="shared" si="47"/>
        <v>0</v>
      </c>
      <c r="DD39" s="370"/>
      <c r="DE39" s="370"/>
      <c r="DF39" s="155">
        <f t="shared" si="48"/>
        <v>0</v>
      </c>
      <c r="DG39" s="370"/>
      <c r="DH39" s="370"/>
      <c r="DI39" s="155"/>
      <c r="DJ39" s="155">
        <f t="shared" si="49"/>
        <v>0</v>
      </c>
      <c r="DK39" s="370"/>
      <c r="DL39" s="370"/>
      <c r="DM39" s="370"/>
      <c r="DN39" s="155"/>
      <c r="DO39" s="155"/>
      <c r="DP39" s="155"/>
      <c r="DQ39" s="155"/>
      <c r="DR39" s="155"/>
      <c r="DS39" s="155"/>
      <c r="DT39" s="155"/>
      <c r="DU39" s="155"/>
      <c r="DV39" s="370"/>
      <c r="DW39" s="370"/>
      <c r="DX39" s="155"/>
      <c r="DY39" s="155"/>
      <c r="DZ39" s="373"/>
      <c r="EA39" s="190">
        <f t="shared" si="74"/>
        <v>0</v>
      </c>
      <c r="EB39" s="337">
        <f t="shared" si="24"/>
        <v>0</v>
      </c>
      <c r="EC39" s="338"/>
      <c r="ED39" s="369">
        <f t="shared" si="54"/>
        <v>0</v>
      </c>
      <c r="EE39" s="338">
        <f t="shared" si="7"/>
        <v>0</v>
      </c>
      <c r="EF39" s="369">
        <f>+S39+AG39+AJ39++AM39+AS39+AV39+BE39+BK39+BN39+BQ39+BT39+BW39+CA39+CE39+CH39+CL39+CX39+DB39+DE39+DH39+DM39</f>
        <v>0</v>
      </c>
      <c r="EH39" s="322"/>
    </row>
    <row r="40" spans="1:138" ht="13.5" hidden="1" customHeight="1" outlineLevel="1" x14ac:dyDescent="0.25">
      <c r="A40" s="222">
        <v>5192</v>
      </c>
      <c r="B40" s="205" t="s">
        <v>357</v>
      </c>
      <c r="C40" s="369">
        <v>0</v>
      </c>
      <c r="D40" s="369">
        <v>0</v>
      </c>
      <c r="E40" s="369">
        <v>0</v>
      </c>
      <c r="F40" s="369">
        <v>0</v>
      </c>
      <c r="G40" s="369">
        <f t="shared" si="51"/>
        <v>0</v>
      </c>
      <c r="H40" s="234"/>
      <c r="I40" s="155"/>
      <c r="J40" s="155"/>
      <c r="K40" s="155"/>
      <c r="L40" s="155"/>
      <c r="M40" s="155"/>
      <c r="N40" s="155"/>
      <c r="O40" s="155"/>
      <c r="P40" s="155"/>
      <c r="Q40" s="155">
        <f t="shared" si="26"/>
        <v>0</v>
      </c>
      <c r="R40" s="370"/>
      <c r="S40" s="371"/>
      <c r="T40" s="155"/>
      <c r="U40" s="380">
        <f t="shared" si="56"/>
        <v>0</v>
      </c>
      <c r="V40" s="155"/>
      <c r="W40" s="155"/>
      <c r="X40" s="155"/>
      <c r="Y40" s="155"/>
      <c r="Z40" s="155"/>
      <c r="AA40" s="155"/>
      <c r="AB40" s="155"/>
      <c r="AC40" s="155"/>
      <c r="AD40" s="155"/>
      <c r="AE40" s="155">
        <f t="shared" si="27"/>
        <v>0</v>
      </c>
      <c r="AF40" s="370"/>
      <c r="AG40" s="370"/>
      <c r="AH40" s="155">
        <f t="shared" si="28"/>
        <v>0</v>
      </c>
      <c r="AI40" s="370"/>
      <c r="AJ40" s="370"/>
      <c r="AK40" s="155">
        <f t="shared" si="29"/>
        <v>0</v>
      </c>
      <c r="AL40" s="370"/>
      <c r="AM40" s="370"/>
      <c r="AN40" s="155"/>
      <c r="AO40" s="155"/>
      <c r="AP40" s="155"/>
      <c r="AQ40" s="155">
        <f t="shared" si="30"/>
        <v>0</v>
      </c>
      <c r="AR40" s="370"/>
      <c r="AS40" s="370"/>
      <c r="AT40" s="155">
        <f t="shared" si="31"/>
        <v>0</v>
      </c>
      <c r="AU40" s="370"/>
      <c r="AV40" s="370"/>
      <c r="AW40" s="155">
        <f t="shared" si="57"/>
        <v>0</v>
      </c>
      <c r="AX40" s="370"/>
      <c r="AY40" s="370"/>
      <c r="AZ40" s="155">
        <f t="shared" si="58"/>
        <v>0</v>
      </c>
      <c r="BA40" s="370"/>
      <c r="BB40" s="370"/>
      <c r="BC40" s="155">
        <f t="shared" si="34"/>
        <v>0</v>
      </c>
      <c r="BD40" s="370"/>
      <c r="BE40" s="370"/>
      <c r="BF40" s="155">
        <f t="shared" si="35"/>
        <v>0</v>
      </c>
      <c r="BG40" s="370"/>
      <c r="BH40" s="370"/>
      <c r="BI40" s="155">
        <f t="shared" si="36"/>
        <v>0</v>
      </c>
      <c r="BJ40" s="370"/>
      <c r="BK40" s="370"/>
      <c r="BL40" s="155">
        <f t="shared" si="37"/>
        <v>0</v>
      </c>
      <c r="BM40" s="370"/>
      <c r="BN40" s="370"/>
      <c r="BO40" s="155">
        <f t="shared" si="38"/>
        <v>0</v>
      </c>
      <c r="BP40" s="370"/>
      <c r="BQ40" s="370"/>
      <c r="BR40" s="155">
        <f t="shared" si="39"/>
        <v>0</v>
      </c>
      <c r="BS40" s="370"/>
      <c r="BT40" s="370"/>
      <c r="BU40" s="155">
        <f t="shared" si="40"/>
        <v>0</v>
      </c>
      <c r="BV40" s="370"/>
      <c r="BW40" s="370"/>
      <c r="BX40" s="155"/>
      <c r="BY40" s="155">
        <f t="shared" si="41"/>
        <v>0</v>
      </c>
      <c r="BZ40" s="370"/>
      <c r="CA40" s="370"/>
      <c r="CB40" s="155"/>
      <c r="CC40" s="155">
        <f t="shared" si="42"/>
        <v>0</v>
      </c>
      <c r="CD40" s="370"/>
      <c r="CE40" s="370"/>
      <c r="CF40" s="155">
        <f t="shared" si="43"/>
        <v>0</v>
      </c>
      <c r="CG40" s="370"/>
      <c r="CH40" s="370"/>
      <c r="CI40" s="155"/>
      <c r="CJ40" s="155">
        <f t="shared" si="44"/>
        <v>0</v>
      </c>
      <c r="CK40" s="370"/>
      <c r="CL40" s="370"/>
      <c r="CM40" s="155"/>
      <c r="CN40" s="370"/>
      <c r="CO40" s="370"/>
      <c r="CP40" s="155"/>
      <c r="CQ40" s="370"/>
      <c r="CR40" s="370"/>
      <c r="CS40" s="155"/>
      <c r="CT40" s="370"/>
      <c r="CU40" s="370"/>
      <c r="CV40" s="155">
        <f t="shared" si="45"/>
        <v>0</v>
      </c>
      <c r="CW40" s="370"/>
      <c r="CX40" s="370"/>
      <c r="CY40" s="155"/>
      <c r="CZ40" s="155">
        <f t="shared" si="46"/>
        <v>0</v>
      </c>
      <c r="DA40" s="370"/>
      <c r="DB40" s="370"/>
      <c r="DC40" s="155">
        <f t="shared" si="47"/>
        <v>0</v>
      </c>
      <c r="DD40" s="370"/>
      <c r="DE40" s="370"/>
      <c r="DF40" s="155">
        <f t="shared" si="48"/>
        <v>0</v>
      </c>
      <c r="DG40" s="370"/>
      <c r="DH40" s="370"/>
      <c r="DI40" s="155"/>
      <c r="DJ40" s="155">
        <f t="shared" si="49"/>
        <v>0</v>
      </c>
      <c r="DK40" s="370"/>
      <c r="DL40" s="370"/>
      <c r="DM40" s="370"/>
      <c r="DN40" s="155"/>
      <c r="DO40" s="155"/>
      <c r="DP40" s="155"/>
      <c r="DQ40" s="155"/>
      <c r="DR40" s="155"/>
      <c r="DS40" s="155"/>
      <c r="DT40" s="155"/>
      <c r="DU40" s="155"/>
      <c r="DV40" s="370"/>
      <c r="DW40" s="370"/>
      <c r="DX40" s="155"/>
      <c r="DY40" s="155"/>
      <c r="DZ40" s="373"/>
      <c r="EA40" s="190">
        <f t="shared" si="74"/>
        <v>0</v>
      </c>
      <c r="EB40" s="337">
        <f t="shared" ref="EB40:EB73" si="75">EA40-G40</f>
        <v>0</v>
      </c>
      <c r="EC40" s="338"/>
      <c r="ED40" s="369">
        <f t="shared" si="54"/>
        <v>0</v>
      </c>
      <c r="EE40" s="338">
        <f t="shared" si="7"/>
        <v>0</v>
      </c>
      <c r="EF40" s="369">
        <f t="shared" si="25"/>
        <v>0</v>
      </c>
      <c r="EH40" s="322"/>
    </row>
    <row r="41" spans="1:138" ht="13.5" customHeight="1" outlineLevel="1" x14ac:dyDescent="0.25">
      <c r="A41" s="222">
        <v>5213</v>
      </c>
      <c r="B41" s="205" t="s">
        <v>94</v>
      </c>
      <c r="C41" s="369">
        <v>3178575</v>
      </c>
      <c r="D41" s="369">
        <v>3178575</v>
      </c>
      <c r="E41" s="369">
        <v>3178575</v>
      </c>
      <c r="F41" s="369">
        <v>3178575</v>
      </c>
      <c r="G41" s="369">
        <f t="shared" si="51"/>
        <v>3178575</v>
      </c>
      <c r="H41" s="234"/>
      <c r="I41" s="155"/>
      <c r="J41" s="155"/>
      <c r="K41" s="155"/>
      <c r="L41" s="155"/>
      <c r="M41" s="155"/>
      <c r="N41" s="155"/>
      <c r="O41" s="155"/>
      <c r="P41" s="155"/>
      <c r="Q41" s="155">
        <f t="shared" si="26"/>
        <v>0</v>
      </c>
      <c r="R41" s="370"/>
      <c r="S41" s="371"/>
      <c r="T41" s="155"/>
      <c r="U41" s="380">
        <f t="shared" si="56"/>
        <v>0</v>
      </c>
      <c r="V41" s="155"/>
      <c r="W41" s="155"/>
      <c r="X41" s="155"/>
      <c r="Y41" s="155"/>
      <c r="Z41" s="155"/>
      <c r="AA41" s="155"/>
      <c r="AB41" s="155"/>
      <c r="AC41" s="155"/>
      <c r="AD41" s="155"/>
      <c r="AE41" s="155">
        <f t="shared" si="27"/>
        <v>0</v>
      </c>
      <c r="AF41" s="370"/>
      <c r="AG41" s="370"/>
      <c r="AH41" s="155">
        <f t="shared" si="28"/>
        <v>0</v>
      </c>
      <c r="AI41" s="370"/>
      <c r="AJ41" s="370"/>
      <c r="AK41" s="155">
        <f t="shared" si="29"/>
        <v>0</v>
      </c>
      <c r="AL41" s="370"/>
      <c r="AM41" s="370"/>
      <c r="AN41" s="155"/>
      <c r="AO41" s="155"/>
      <c r="AP41" s="155"/>
      <c r="AQ41" s="155">
        <f t="shared" si="30"/>
        <v>0</v>
      </c>
      <c r="AR41" s="370"/>
      <c r="AS41" s="370"/>
      <c r="AT41" s="155">
        <f t="shared" si="31"/>
        <v>0</v>
      </c>
      <c r="AU41" s="370"/>
      <c r="AV41" s="370"/>
      <c r="AW41" s="155">
        <f t="shared" si="57"/>
        <v>0</v>
      </c>
      <c r="AX41" s="370"/>
      <c r="AY41" s="370"/>
      <c r="AZ41" s="155">
        <f t="shared" si="58"/>
        <v>0</v>
      </c>
      <c r="BA41" s="370"/>
      <c r="BB41" s="370"/>
      <c r="BC41" s="155">
        <f t="shared" si="34"/>
        <v>0</v>
      </c>
      <c r="BD41" s="370"/>
      <c r="BE41" s="370"/>
      <c r="BF41" s="155">
        <f t="shared" si="35"/>
        <v>0</v>
      </c>
      <c r="BG41" s="370"/>
      <c r="BH41" s="370"/>
      <c r="BI41" s="155">
        <f t="shared" si="36"/>
        <v>0</v>
      </c>
      <c r="BJ41" s="370"/>
      <c r="BK41" s="370"/>
      <c r="BL41" s="155">
        <f t="shared" si="37"/>
        <v>0</v>
      </c>
      <c r="BM41" s="370"/>
      <c r="BN41" s="370"/>
      <c r="BO41" s="155">
        <f t="shared" si="38"/>
        <v>0</v>
      </c>
      <c r="BP41" s="370"/>
      <c r="BQ41" s="370"/>
      <c r="BR41" s="155">
        <f t="shared" si="39"/>
        <v>0</v>
      </c>
      <c r="BS41" s="370"/>
      <c r="BT41" s="370"/>
      <c r="BU41" s="155">
        <f t="shared" si="40"/>
        <v>0</v>
      </c>
      <c r="BV41" s="370"/>
      <c r="BW41" s="370"/>
      <c r="BX41" s="155"/>
      <c r="BY41" s="155">
        <f t="shared" si="41"/>
        <v>0</v>
      </c>
      <c r="BZ41" s="370"/>
      <c r="CA41" s="370"/>
      <c r="CB41" s="155"/>
      <c r="CC41" s="155">
        <f t="shared" si="42"/>
        <v>0</v>
      </c>
      <c r="CD41" s="370"/>
      <c r="CE41" s="370"/>
      <c r="CF41" s="155">
        <f t="shared" si="43"/>
        <v>0</v>
      </c>
      <c r="CG41" s="370"/>
      <c r="CH41" s="370"/>
      <c r="CI41" s="155">
        <f>[5]Doprava!$B$11</f>
        <v>3178575</v>
      </c>
      <c r="CJ41" s="155">
        <f t="shared" si="44"/>
        <v>0</v>
      </c>
      <c r="CK41" s="370"/>
      <c r="CL41" s="370"/>
      <c r="CM41" s="155"/>
      <c r="CN41" s="370"/>
      <c r="CO41" s="370"/>
      <c r="CP41" s="155"/>
      <c r="CQ41" s="370"/>
      <c r="CR41" s="370"/>
      <c r="CS41" s="155"/>
      <c r="CT41" s="370"/>
      <c r="CU41" s="370"/>
      <c r="CV41" s="155">
        <f t="shared" si="45"/>
        <v>0</v>
      </c>
      <c r="CW41" s="370"/>
      <c r="CX41" s="370"/>
      <c r="CY41" s="155"/>
      <c r="CZ41" s="155">
        <f t="shared" si="46"/>
        <v>0</v>
      </c>
      <c r="DA41" s="370"/>
      <c r="DB41" s="370"/>
      <c r="DC41" s="155">
        <f t="shared" si="47"/>
        <v>0</v>
      </c>
      <c r="DD41" s="370"/>
      <c r="DE41" s="370"/>
      <c r="DF41" s="155">
        <f t="shared" si="48"/>
        <v>0</v>
      </c>
      <c r="DG41" s="370"/>
      <c r="DH41" s="370"/>
      <c r="DI41" s="155"/>
      <c r="DJ41" s="155">
        <f t="shared" si="49"/>
        <v>0</v>
      </c>
      <c r="DK41" s="370"/>
      <c r="DL41" s="370"/>
      <c r="DM41" s="370"/>
      <c r="DN41" s="155"/>
      <c r="DO41" s="155"/>
      <c r="DP41" s="155"/>
      <c r="DQ41" s="155"/>
      <c r="DR41" s="155"/>
      <c r="DS41" s="155"/>
      <c r="DT41" s="155"/>
      <c r="DU41" s="155"/>
      <c r="DV41" s="370"/>
      <c r="DW41" s="370"/>
      <c r="DX41" s="155"/>
      <c r="DY41" s="155"/>
      <c r="DZ41" s="373"/>
      <c r="EA41" s="190">
        <f t="shared" si="74"/>
        <v>3178575</v>
      </c>
      <c r="EB41" s="337">
        <f t="shared" si="75"/>
        <v>0</v>
      </c>
      <c r="EC41" s="338"/>
      <c r="ED41" s="369">
        <f t="shared" si="54"/>
        <v>3178575</v>
      </c>
      <c r="EE41" s="338">
        <f t="shared" si="7"/>
        <v>0</v>
      </c>
      <c r="EF41" s="369">
        <f t="shared" si="25"/>
        <v>0</v>
      </c>
      <c r="EH41" s="322"/>
    </row>
    <row r="42" spans="1:138" ht="13.5" customHeight="1" outlineLevel="1" x14ac:dyDescent="0.25">
      <c r="A42" s="222">
        <v>5194</v>
      </c>
      <c r="B42" s="205" t="s">
        <v>95</v>
      </c>
      <c r="C42" s="369">
        <v>325000</v>
      </c>
      <c r="D42" s="369">
        <v>325000</v>
      </c>
      <c r="E42" s="369">
        <v>325000</v>
      </c>
      <c r="F42" s="369">
        <v>325000</v>
      </c>
      <c r="G42" s="369">
        <f t="shared" si="51"/>
        <v>333000</v>
      </c>
      <c r="H42" s="234"/>
      <c r="I42" s="155"/>
      <c r="J42" s="155"/>
      <c r="K42" s="155"/>
      <c r="L42" s="155"/>
      <c r="M42" s="155"/>
      <c r="N42" s="155">
        <f>[3]Zastupitelé!$B$80</f>
        <v>103000</v>
      </c>
      <c r="O42" s="155"/>
      <c r="P42" s="155"/>
      <c r="Q42" s="155">
        <f t="shared" si="26"/>
        <v>100000</v>
      </c>
      <c r="R42" s="370">
        <f>[3]Správa!$D$104</f>
        <v>100000</v>
      </c>
      <c r="S42" s="371">
        <f>[3]Správa!$E$104</f>
        <v>0</v>
      </c>
      <c r="T42" s="155"/>
      <c r="U42" s="380">
        <f t="shared" si="56"/>
        <v>0</v>
      </c>
      <c r="V42" s="155">
        <f>'[3]Pečovatelská služba'!$B$87</f>
        <v>15000</v>
      </c>
      <c r="W42" s="155"/>
      <c r="X42" s="155"/>
      <c r="Y42" s="155">
        <f>'[3]Městská policie'!$B$120</f>
        <v>10000</v>
      </c>
      <c r="Z42" s="155"/>
      <c r="AA42" s="155"/>
      <c r="AB42" s="155"/>
      <c r="AC42" s="155"/>
      <c r="AD42" s="155">
        <f>[3]Kultura!$B$46</f>
        <v>105000</v>
      </c>
      <c r="AE42" s="155">
        <f t="shared" si="27"/>
        <v>0</v>
      </c>
      <c r="AF42" s="370"/>
      <c r="AG42" s="370"/>
      <c r="AH42" s="155">
        <f t="shared" si="28"/>
        <v>0</v>
      </c>
      <c r="AI42" s="370"/>
      <c r="AJ42" s="370"/>
      <c r="AK42" s="155">
        <f t="shared" si="29"/>
        <v>0</v>
      </c>
      <c r="AL42" s="370"/>
      <c r="AM42" s="370"/>
      <c r="AN42" s="155"/>
      <c r="AO42" s="155"/>
      <c r="AP42" s="155"/>
      <c r="AQ42" s="155">
        <f t="shared" si="30"/>
        <v>0</v>
      </c>
      <c r="AR42" s="370"/>
      <c r="AS42" s="370"/>
      <c r="AT42" s="155">
        <f t="shared" si="31"/>
        <v>0</v>
      </c>
      <c r="AU42" s="370"/>
      <c r="AV42" s="370"/>
      <c r="AW42" s="155">
        <f t="shared" si="57"/>
        <v>0</v>
      </c>
      <c r="AX42" s="370"/>
      <c r="AY42" s="370"/>
      <c r="AZ42" s="155">
        <f t="shared" si="58"/>
        <v>0</v>
      </c>
      <c r="BA42" s="370"/>
      <c r="BB42" s="370"/>
      <c r="BC42" s="155">
        <f t="shared" si="34"/>
        <v>0</v>
      </c>
      <c r="BD42" s="370"/>
      <c r="BE42" s="370"/>
      <c r="BF42" s="155">
        <f t="shared" si="35"/>
        <v>0</v>
      </c>
      <c r="BG42" s="370"/>
      <c r="BH42" s="370"/>
      <c r="BI42" s="155">
        <f t="shared" si="36"/>
        <v>0</v>
      </c>
      <c r="BJ42" s="370"/>
      <c r="BK42" s="370"/>
      <c r="BL42" s="155">
        <f t="shared" si="37"/>
        <v>0</v>
      </c>
      <c r="BM42" s="370"/>
      <c r="BN42" s="370"/>
      <c r="BO42" s="155">
        <f t="shared" si="38"/>
        <v>0</v>
      </c>
      <c r="BP42" s="370"/>
      <c r="BQ42" s="370"/>
      <c r="BR42" s="155">
        <f t="shared" si="39"/>
        <v>0</v>
      </c>
      <c r="BS42" s="370"/>
      <c r="BT42" s="370"/>
      <c r="BU42" s="155">
        <f t="shared" si="40"/>
        <v>0</v>
      </c>
      <c r="BV42" s="370"/>
      <c r="BW42" s="370"/>
      <c r="BX42" s="155"/>
      <c r="BY42" s="155">
        <f t="shared" si="41"/>
        <v>0</v>
      </c>
      <c r="BZ42" s="370"/>
      <c r="CA42" s="370"/>
      <c r="CB42" s="155"/>
      <c r="CC42" s="155">
        <f t="shared" si="42"/>
        <v>0</v>
      </c>
      <c r="CD42" s="370"/>
      <c r="CE42" s="370"/>
      <c r="CF42" s="155">
        <f t="shared" si="43"/>
        <v>0</v>
      </c>
      <c r="CG42" s="370"/>
      <c r="CH42" s="370"/>
      <c r="CI42" s="155"/>
      <c r="CJ42" s="155">
        <f t="shared" si="44"/>
        <v>0</v>
      </c>
      <c r="CK42" s="370"/>
      <c r="CL42" s="370"/>
      <c r="CM42" s="155"/>
      <c r="CN42" s="370"/>
      <c r="CO42" s="370"/>
      <c r="CP42" s="155"/>
      <c r="CQ42" s="370"/>
      <c r="CR42" s="370"/>
      <c r="CS42" s="155"/>
      <c r="CT42" s="370"/>
      <c r="CU42" s="370"/>
      <c r="CV42" s="155">
        <f t="shared" si="45"/>
        <v>0</v>
      </c>
      <c r="CW42" s="370"/>
      <c r="CX42" s="370"/>
      <c r="CY42" s="155"/>
      <c r="CZ42" s="155">
        <f t="shared" si="46"/>
        <v>0</v>
      </c>
      <c r="DA42" s="370"/>
      <c r="DB42" s="370"/>
      <c r="DC42" s="155">
        <f t="shared" si="47"/>
        <v>0</v>
      </c>
      <c r="DD42" s="370"/>
      <c r="DE42" s="370"/>
      <c r="DF42" s="155">
        <f t="shared" si="48"/>
        <v>0</v>
      </c>
      <c r="DG42" s="370"/>
      <c r="DH42" s="370"/>
      <c r="DI42" s="155"/>
      <c r="DJ42" s="155">
        <f t="shared" si="49"/>
        <v>0</v>
      </c>
      <c r="DK42" s="370"/>
      <c r="DL42" s="370"/>
      <c r="DM42" s="370"/>
      <c r="DN42" s="155"/>
      <c r="DO42" s="155"/>
      <c r="DP42" s="155"/>
      <c r="DQ42" s="155"/>
      <c r="DR42" s="155"/>
      <c r="DS42" s="155"/>
      <c r="DT42" s="155"/>
      <c r="DU42" s="155"/>
      <c r="DV42" s="370"/>
      <c r="DW42" s="370"/>
      <c r="DX42" s="155"/>
      <c r="DY42" s="155"/>
      <c r="DZ42" s="373"/>
      <c r="EA42" s="190">
        <f t="shared" si="74"/>
        <v>333000</v>
      </c>
      <c r="EB42" s="337">
        <f t="shared" si="75"/>
        <v>0</v>
      </c>
      <c r="EC42" s="338"/>
      <c r="ED42" s="369">
        <f t="shared" si="54"/>
        <v>333000</v>
      </c>
      <c r="EE42" s="338">
        <f t="shared" si="7"/>
        <v>0</v>
      </c>
      <c r="EF42" s="369">
        <f t="shared" si="25"/>
        <v>0</v>
      </c>
      <c r="EH42" s="322"/>
    </row>
    <row r="43" spans="1:138" ht="13.5" customHeight="1" outlineLevel="1" x14ac:dyDescent="0.25">
      <c r="A43" s="222">
        <v>5329</v>
      </c>
      <c r="B43" s="205" t="s">
        <v>96</v>
      </c>
      <c r="C43" s="369">
        <v>3912960</v>
      </c>
      <c r="D43" s="369">
        <v>3912960</v>
      </c>
      <c r="E43" s="369">
        <v>3912960</v>
      </c>
      <c r="F43" s="369">
        <v>3912960</v>
      </c>
      <c r="G43" s="369">
        <f t="shared" si="51"/>
        <v>7836808.3799999999</v>
      </c>
      <c r="H43" s="234"/>
      <c r="I43" s="155"/>
      <c r="J43" s="155"/>
      <c r="K43" s="155"/>
      <c r="L43" s="155">
        <f>'[2]Všebecná pokladna'!$B$49</f>
        <v>2312960</v>
      </c>
      <c r="M43" s="155"/>
      <c r="N43" s="155"/>
      <c r="O43" s="155"/>
      <c r="P43" s="155"/>
      <c r="Q43" s="155">
        <f t="shared" si="26"/>
        <v>0</v>
      </c>
      <c r="R43" s="370"/>
      <c r="S43" s="371"/>
      <c r="T43" s="155"/>
      <c r="U43" s="380">
        <f t="shared" si="56"/>
        <v>0</v>
      </c>
      <c r="V43" s="155"/>
      <c r="W43" s="155"/>
      <c r="X43" s="155"/>
      <c r="Y43" s="155"/>
      <c r="Z43" s="155"/>
      <c r="AA43" s="155"/>
      <c r="AB43" s="155"/>
      <c r="AC43" s="155"/>
      <c r="AD43" s="155"/>
      <c r="AE43" s="155">
        <f t="shared" si="27"/>
        <v>0</v>
      </c>
      <c r="AF43" s="370"/>
      <c r="AG43" s="370"/>
      <c r="AH43" s="155">
        <f t="shared" si="28"/>
        <v>0</v>
      </c>
      <c r="AI43" s="370"/>
      <c r="AJ43" s="370"/>
      <c r="AK43" s="155">
        <f t="shared" si="29"/>
        <v>0</v>
      </c>
      <c r="AL43" s="370"/>
      <c r="AM43" s="370"/>
      <c r="AN43" s="155"/>
      <c r="AO43" s="155"/>
      <c r="AP43" s="155"/>
      <c r="AQ43" s="155">
        <f t="shared" si="30"/>
        <v>0</v>
      </c>
      <c r="AR43" s="370"/>
      <c r="AS43" s="370"/>
      <c r="AT43" s="155">
        <f t="shared" si="31"/>
        <v>0</v>
      </c>
      <c r="AU43" s="370"/>
      <c r="AV43" s="370"/>
      <c r="AW43" s="155">
        <f t="shared" si="57"/>
        <v>0</v>
      </c>
      <c r="AX43" s="370"/>
      <c r="AY43" s="370"/>
      <c r="AZ43" s="155">
        <f t="shared" si="58"/>
        <v>0</v>
      </c>
      <c r="BA43" s="370"/>
      <c r="BB43" s="370"/>
      <c r="BC43" s="155">
        <f t="shared" si="34"/>
        <v>0</v>
      </c>
      <c r="BD43" s="370"/>
      <c r="BE43" s="370"/>
      <c r="BF43" s="155">
        <f t="shared" si="35"/>
        <v>5523848.3799999999</v>
      </c>
      <c r="BG43" s="370">
        <f>+[2]SŠ!$D$32</f>
        <v>5523848.3799999999</v>
      </c>
      <c r="BH43" s="370">
        <f>+[2]SŠ!$E$32</f>
        <v>0</v>
      </c>
      <c r="BI43" s="155">
        <f t="shared" si="36"/>
        <v>0</v>
      </c>
      <c r="BJ43" s="370"/>
      <c r="BK43" s="370"/>
      <c r="BL43" s="155">
        <f t="shared" si="37"/>
        <v>0</v>
      </c>
      <c r="BM43" s="370"/>
      <c r="BN43" s="370"/>
      <c r="BO43" s="155">
        <f t="shared" si="38"/>
        <v>0</v>
      </c>
      <c r="BP43" s="370"/>
      <c r="BQ43" s="370"/>
      <c r="BR43" s="155">
        <f t="shared" si="39"/>
        <v>0</v>
      </c>
      <c r="BS43" s="370"/>
      <c r="BT43" s="370"/>
      <c r="BU43" s="155">
        <f t="shared" si="40"/>
        <v>0</v>
      </c>
      <c r="BV43" s="370"/>
      <c r="BW43" s="370"/>
      <c r="BX43" s="155"/>
      <c r="BY43" s="155">
        <f t="shared" si="41"/>
        <v>0</v>
      </c>
      <c r="BZ43" s="370"/>
      <c r="CA43" s="370"/>
      <c r="CB43" s="155"/>
      <c r="CC43" s="155">
        <f t="shared" si="42"/>
        <v>0</v>
      </c>
      <c r="CD43" s="370"/>
      <c r="CE43" s="370"/>
      <c r="CF43" s="155">
        <f t="shared" si="43"/>
        <v>0</v>
      </c>
      <c r="CG43" s="370"/>
      <c r="CH43" s="370"/>
      <c r="CI43" s="155"/>
      <c r="CJ43" s="155">
        <f t="shared" si="44"/>
        <v>0</v>
      </c>
      <c r="CK43" s="370"/>
      <c r="CL43" s="370"/>
      <c r="CM43" s="155"/>
      <c r="CN43" s="370"/>
      <c r="CO43" s="370"/>
      <c r="CP43" s="155"/>
      <c r="CQ43" s="370"/>
      <c r="CR43" s="370"/>
      <c r="CS43" s="155"/>
      <c r="CT43" s="370"/>
      <c r="CU43" s="370"/>
      <c r="CV43" s="155">
        <f t="shared" si="45"/>
        <v>0</v>
      </c>
      <c r="CW43" s="370"/>
      <c r="CX43" s="370"/>
      <c r="CY43" s="155"/>
      <c r="CZ43" s="155">
        <f t="shared" si="46"/>
        <v>0</v>
      </c>
      <c r="DA43" s="370"/>
      <c r="DB43" s="370"/>
      <c r="DC43" s="155">
        <f t="shared" si="47"/>
        <v>0</v>
      </c>
      <c r="DD43" s="370"/>
      <c r="DE43" s="370"/>
      <c r="DF43" s="155">
        <f t="shared" si="48"/>
        <v>0</v>
      </c>
      <c r="DG43" s="370"/>
      <c r="DH43" s="370"/>
      <c r="DI43" s="155"/>
      <c r="DJ43" s="155">
        <f t="shared" si="49"/>
        <v>0</v>
      </c>
      <c r="DK43" s="370"/>
      <c r="DL43" s="370"/>
      <c r="DM43" s="370"/>
      <c r="DN43" s="155"/>
      <c r="DO43" s="155"/>
      <c r="DP43" s="155"/>
      <c r="DQ43" s="155"/>
      <c r="DR43" s="155"/>
      <c r="DS43" s="155"/>
      <c r="DT43" s="155"/>
      <c r="DU43" s="155"/>
      <c r="DV43" s="370"/>
      <c r="DW43" s="370"/>
      <c r="DX43" s="155"/>
      <c r="DY43" s="155"/>
      <c r="DZ43" s="373"/>
      <c r="EA43" s="190">
        <f t="shared" si="74"/>
        <v>7836808.3799999999</v>
      </c>
      <c r="EB43" s="337">
        <f t="shared" si="75"/>
        <v>0</v>
      </c>
      <c r="EC43" s="338"/>
      <c r="ED43" s="369">
        <f t="shared" si="54"/>
        <v>7836808.3799999999</v>
      </c>
      <c r="EE43" s="338">
        <f t="shared" si="7"/>
        <v>0</v>
      </c>
      <c r="EF43" s="369">
        <f t="shared" si="25"/>
        <v>0</v>
      </c>
      <c r="EH43" s="322"/>
    </row>
    <row r="44" spans="1:138" ht="13.5" customHeight="1" outlineLevel="1" x14ac:dyDescent="0.25">
      <c r="A44" s="222">
        <v>5331</v>
      </c>
      <c r="B44" s="205" t="s">
        <v>97</v>
      </c>
      <c r="C44" s="369">
        <v>46821803</v>
      </c>
      <c r="D44" s="369">
        <v>46821803</v>
      </c>
      <c r="E44" s="369">
        <v>46821803</v>
      </c>
      <c r="F44" s="369">
        <v>46821803</v>
      </c>
      <c r="G44" s="369">
        <f>SUM(H44:Q44)+SUM(V44:AE44)+AH44+AK44+SUM(AN44:AQ44)+AT44+BC44+BI44+BL44+BO44+BR44+BU44+BX44+BY44+CB44+CC44+CF44+SUM(CI44:CJ44)+CS44+CV44+CY44+CZ44+DC44+DF44+DI44+DJ44+SUM(DN44:DU44)+CM44+CP44+SUM(DX44:DZ44)+T44+AW44+AZ44+U44+BF44</f>
        <v>46821803</v>
      </c>
      <c r="H44" s="234"/>
      <c r="I44" s="155"/>
      <c r="J44" s="155"/>
      <c r="K44" s="155"/>
      <c r="L44" s="155"/>
      <c r="M44" s="155"/>
      <c r="N44" s="155"/>
      <c r="O44" s="155"/>
      <c r="P44" s="155"/>
      <c r="Q44" s="155">
        <f t="shared" si="26"/>
        <v>0</v>
      </c>
      <c r="R44" s="370"/>
      <c r="S44" s="371"/>
      <c r="T44" s="155"/>
      <c r="U44" s="381">
        <f>19700000*1.05+5524403</f>
        <v>26209403</v>
      </c>
      <c r="V44" s="155"/>
      <c r="W44" s="155"/>
      <c r="X44" s="155"/>
      <c r="Y44" s="155"/>
      <c r="Z44" s="155"/>
      <c r="AA44" s="155"/>
      <c r="AB44" s="155"/>
      <c r="AC44" s="155"/>
      <c r="AD44" s="155"/>
      <c r="AE44" s="155">
        <f t="shared" si="27"/>
        <v>0</v>
      </c>
      <c r="AF44" s="370"/>
      <c r="AG44" s="370"/>
      <c r="AH44" s="155">
        <f t="shared" si="28"/>
        <v>0</v>
      </c>
      <c r="AI44" s="370"/>
      <c r="AJ44" s="370"/>
      <c r="AK44" s="155">
        <f t="shared" si="29"/>
        <v>0</v>
      </c>
      <c r="AL44" s="370"/>
      <c r="AM44" s="370"/>
      <c r="AN44" s="155"/>
      <c r="AO44" s="155"/>
      <c r="AP44" s="155"/>
      <c r="AQ44" s="155">
        <f t="shared" si="30"/>
        <v>0</v>
      </c>
      <c r="AR44" s="370"/>
      <c r="AS44" s="370"/>
      <c r="AT44" s="155">
        <f t="shared" si="31"/>
        <v>0</v>
      </c>
      <c r="AU44" s="370"/>
      <c r="AV44" s="370"/>
      <c r="AW44" s="155">
        <f t="shared" si="57"/>
        <v>0</v>
      </c>
      <c r="AX44" s="370"/>
      <c r="AY44" s="370"/>
      <c r="AZ44" s="155">
        <f t="shared" si="58"/>
        <v>0</v>
      </c>
      <c r="BA44" s="370"/>
      <c r="BB44" s="370"/>
      <c r="BC44" s="336">
        <f t="shared" si="34"/>
        <v>15538400</v>
      </c>
      <c r="BD44" s="370">
        <f>[2]ZŠ!$B$32</f>
        <v>15538400</v>
      </c>
      <c r="BE44" s="370"/>
      <c r="BF44" s="155">
        <f t="shared" si="35"/>
        <v>0</v>
      </c>
      <c r="BG44" s="370"/>
      <c r="BH44" s="370"/>
      <c r="BI44" s="155">
        <f t="shared" si="36"/>
        <v>0</v>
      </c>
      <c r="BJ44" s="370"/>
      <c r="BK44" s="370"/>
      <c r="BL44" s="155">
        <f t="shared" si="37"/>
        <v>600000</v>
      </c>
      <c r="BM44" s="370">
        <f>+[2]MDDM!$D$4</f>
        <v>600000</v>
      </c>
      <c r="BN44" s="370">
        <f>+[2]MDDM!$E$4</f>
        <v>0</v>
      </c>
      <c r="BO44" s="155">
        <f t="shared" si="38"/>
        <v>0</v>
      </c>
      <c r="BP44" s="370"/>
      <c r="BQ44" s="370"/>
      <c r="BR44" s="155">
        <f t="shared" si="39"/>
        <v>4274000</v>
      </c>
      <c r="BS44" s="370">
        <f>'[2]MŠ Koll'!$B$4</f>
        <v>4274000</v>
      </c>
      <c r="BT44" s="370"/>
      <c r="BU44" s="155">
        <f t="shared" si="40"/>
        <v>0</v>
      </c>
      <c r="BV44" s="370">
        <f>'[2]Jídelna ZŠ'!$B$4</f>
        <v>0</v>
      </c>
      <c r="BW44" s="370"/>
      <c r="BX44" s="155">
        <f>'[2]Jídelna MŠ Koll.'!$B$4</f>
        <v>200000</v>
      </c>
      <c r="BY44" s="155">
        <f t="shared" si="41"/>
        <v>0</v>
      </c>
      <c r="BZ44" s="370"/>
      <c r="CA44" s="370"/>
      <c r="CB44" s="155"/>
      <c r="CC44" s="155">
        <f t="shared" si="42"/>
        <v>0</v>
      </c>
      <c r="CD44" s="370"/>
      <c r="CE44" s="370"/>
      <c r="CF44" s="155">
        <f t="shared" si="43"/>
        <v>0</v>
      </c>
      <c r="CG44" s="370"/>
      <c r="CH44" s="370"/>
      <c r="CI44" s="155"/>
      <c r="CJ44" s="155">
        <f t="shared" si="44"/>
        <v>0</v>
      </c>
      <c r="CK44" s="370"/>
      <c r="CL44" s="370"/>
      <c r="CM44" s="155"/>
      <c r="CN44" s="370"/>
      <c r="CO44" s="370"/>
      <c r="CP44" s="155"/>
      <c r="CQ44" s="370"/>
      <c r="CR44" s="370"/>
      <c r="CS44" s="155"/>
      <c r="CT44" s="370"/>
      <c r="CU44" s="370"/>
      <c r="CV44" s="155">
        <f t="shared" si="45"/>
        <v>0</v>
      </c>
      <c r="CW44" s="370"/>
      <c r="CX44" s="370"/>
      <c r="CY44" s="155"/>
      <c r="CZ44" s="155">
        <f t="shared" si="46"/>
        <v>0</v>
      </c>
      <c r="DA44" s="370"/>
      <c r="DB44" s="370"/>
      <c r="DC44" s="155">
        <f t="shared" si="47"/>
        <v>0</v>
      </c>
      <c r="DD44" s="370"/>
      <c r="DE44" s="370"/>
      <c r="DF44" s="155">
        <f t="shared" si="48"/>
        <v>0</v>
      </c>
      <c r="DG44" s="370"/>
      <c r="DH44" s="370"/>
      <c r="DI44" s="155"/>
      <c r="DJ44" s="155">
        <f t="shared" si="49"/>
        <v>0</v>
      </c>
      <c r="DK44" s="370"/>
      <c r="DL44" s="370"/>
      <c r="DM44" s="370"/>
      <c r="DN44" s="155"/>
      <c r="DO44" s="155"/>
      <c r="DP44" s="155"/>
      <c r="DQ44" s="155"/>
      <c r="DR44" s="155"/>
      <c r="DS44" s="155"/>
      <c r="DT44" s="155"/>
      <c r="DU44" s="155"/>
      <c r="DV44" s="370"/>
      <c r="DW44" s="370"/>
      <c r="DX44" s="155"/>
      <c r="DY44" s="155"/>
      <c r="DZ44" s="373"/>
      <c r="EA44" s="190">
        <f>+H44+I44+J44+L44+N44+O44+Q44+T44+U44+V44+X44+Y44+Z44+AB44+AC44+AD44+AE44+AH44+AK44+AN44+AO44+AP44+AQ44+AT44+BC44+BI44+BL44+BO44+BR44+BU44+BX44+BY44+CB44+CC44+CF44+CI44+CJ44+CM44+CP44+CS44+CV44+CY44+CZ44+DC44+DF44+DI44+DJ44+DN44+DO44+DP44+DQ44+DR44+DT44+DU44+DX44+DY44+DZ44+BF44+AZ44+AW44+AA44-U44+K44+M44+W44+U44</f>
        <v>46821803</v>
      </c>
      <c r="EB44" s="337">
        <f t="shared" si="75"/>
        <v>0</v>
      </c>
      <c r="EC44" s="338"/>
      <c r="ED44" s="369">
        <f t="shared" si="54"/>
        <v>20612400</v>
      </c>
      <c r="EE44" s="338">
        <f t="shared" si="7"/>
        <v>0</v>
      </c>
      <c r="EF44" s="369">
        <f>+S44+AG44+AJ44++AM44+AS44+AV44+BE44+BK44+BN44+BQ44+BT44+BW44+CA44+CE44+CH44+CL44+CX44+DB44+DE44+DH44+DM44+U44</f>
        <v>26209403</v>
      </c>
      <c r="EH44" s="322"/>
    </row>
    <row r="45" spans="1:138" ht="13.5" customHeight="1" outlineLevel="1" x14ac:dyDescent="0.25">
      <c r="A45" s="222">
        <v>5361</v>
      </c>
      <c r="B45" s="205" t="s">
        <v>98</v>
      </c>
      <c r="C45" s="369">
        <v>40000</v>
      </c>
      <c r="D45" s="369">
        <v>40000</v>
      </c>
      <c r="E45" s="369">
        <v>40000</v>
      </c>
      <c r="F45" s="369">
        <v>40000</v>
      </c>
      <c r="G45" s="369">
        <f t="shared" si="51"/>
        <v>40000</v>
      </c>
      <c r="H45" s="234"/>
      <c r="I45" s="155"/>
      <c r="J45" s="155"/>
      <c r="K45" s="155"/>
      <c r="L45" s="155"/>
      <c r="M45" s="155"/>
      <c r="N45" s="155"/>
      <c r="O45" s="155"/>
      <c r="P45" s="155"/>
      <c r="Q45" s="155">
        <f t="shared" si="26"/>
        <v>30000</v>
      </c>
      <c r="R45" s="370">
        <f>[3]Správa!$D$111</f>
        <v>30000</v>
      </c>
      <c r="S45" s="371">
        <f>[3]Správa!$E$111</f>
        <v>0</v>
      </c>
      <c r="T45" s="155"/>
      <c r="U45" s="380">
        <f t="shared" si="56"/>
        <v>0</v>
      </c>
      <c r="V45" s="155"/>
      <c r="W45" s="155"/>
      <c r="X45" s="155"/>
      <c r="Y45" s="155">
        <f>'[3]Městská policie'!$B$127</f>
        <v>10000</v>
      </c>
      <c r="Z45" s="155"/>
      <c r="AA45" s="155"/>
      <c r="AB45" s="155"/>
      <c r="AC45" s="155"/>
      <c r="AD45" s="155"/>
      <c r="AE45" s="155">
        <f t="shared" si="27"/>
        <v>0</v>
      </c>
      <c r="AF45" s="370"/>
      <c r="AG45" s="370"/>
      <c r="AH45" s="155">
        <f t="shared" si="28"/>
        <v>0</v>
      </c>
      <c r="AI45" s="370"/>
      <c r="AJ45" s="370"/>
      <c r="AK45" s="155">
        <f t="shared" si="29"/>
        <v>0</v>
      </c>
      <c r="AL45" s="370"/>
      <c r="AM45" s="370"/>
      <c r="AN45" s="155"/>
      <c r="AO45" s="155"/>
      <c r="AP45" s="155"/>
      <c r="AQ45" s="155">
        <f t="shared" si="30"/>
        <v>0</v>
      </c>
      <c r="AR45" s="370"/>
      <c r="AS45" s="370"/>
      <c r="AT45" s="155">
        <f t="shared" si="31"/>
        <v>0</v>
      </c>
      <c r="AU45" s="370"/>
      <c r="AV45" s="370"/>
      <c r="AW45" s="155">
        <f t="shared" si="57"/>
        <v>0</v>
      </c>
      <c r="AX45" s="370"/>
      <c r="AY45" s="370"/>
      <c r="AZ45" s="155">
        <f t="shared" si="58"/>
        <v>0</v>
      </c>
      <c r="BA45" s="370"/>
      <c r="BB45" s="370"/>
      <c r="BC45" s="155">
        <f t="shared" si="34"/>
        <v>0</v>
      </c>
      <c r="BD45" s="370"/>
      <c r="BE45" s="370"/>
      <c r="BF45" s="155">
        <f t="shared" si="35"/>
        <v>0</v>
      </c>
      <c r="BG45" s="370"/>
      <c r="BH45" s="370"/>
      <c r="BI45" s="155">
        <f t="shared" si="36"/>
        <v>0</v>
      </c>
      <c r="BJ45" s="370"/>
      <c r="BK45" s="370"/>
      <c r="BL45" s="155">
        <f t="shared" si="37"/>
        <v>0</v>
      </c>
      <c r="BM45" s="370"/>
      <c r="BN45" s="370"/>
      <c r="BO45" s="155">
        <f t="shared" si="38"/>
        <v>0</v>
      </c>
      <c r="BP45" s="370"/>
      <c r="BQ45" s="370"/>
      <c r="BR45" s="155">
        <f t="shared" si="39"/>
        <v>0</v>
      </c>
      <c r="BS45" s="370"/>
      <c r="BT45" s="370"/>
      <c r="BU45" s="155">
        <f t="shared" si="40"/>
        <v>0</v>
      </c>
      <c r="BV45" s="370"/>
      <c r="BW45" s="370"/>
      <c r="BX45" s="155"/>
      <c r="BY45" s="155">
        <f t="shared" si="41"/>
        <v>0</v>
      </c>
      <c r="BZ45" s="370"/>
      <c r="CA45" s="370"/>
      <c r="CB45" s="155"/>
      <c r="CC45" s="155">
        <f t="shared" si="42"/>
        <v>0</v>
      </c>
      <c r="CD45" s="370"/>
      <c r="CE45" s="370"/>
      <c r="CF45" s="155">
        <f t="shared" si="43"/>
        <v>0</v>
      </c>
      <c r="CG45" s="370"/>
      <c r="CH45" s="370"/>
      <c r="CI45" s="155"/>
      <c r="CJ45" s="155">
        <f t="shared" si="44"/>
        <v>0</v>
      </c>
      <c r="CK45" s="370"/>
      <c r="CL45" s="370"/>
      <c r="CM45" s="155"/>
      <c r="CN45" s="370"/>
      <c r="CO45" s="370"/>
      <c r="CP45" s="155"/>
      <c r="CQ45" s="370"/>
      <c r="CR45" s="370"/>
      <c r="CS45" s="155"/>
      <c r="CT45" s="370"/>
      <c r="CU45" s="370"/>
      <c r="CV45" s="155">
        <f t="shared" si="45"/>
        <v>0</v>
      </c>
      <c r="CW45" s="370"/>
      <c r="CX45" s="370"/>
      <c r="CY45" s="155"/>
      <c r="CZ45" s="155">
        <f t="shared" si="46"/>
        <v>0</v>
      </c>
      <c r="DA45" s="370"/>
      <c r="DB45" s="370"/>
      <c r="DC45" s="155">
        <f t="shared" si="47"/>
        <v>0</v>
      </c>
      <c r="DD45" s="370"/>
      <c r="DE45" s="370"/>
      <c r="DF45" s="155">
        <f t="shared" si="48"/>
        <v>0</v>
      </c>
      <c r="DG45" s="370"/>
      <c r="DH45" s="370"/>
      <c r="DI45" s="155"/>
      <c r="DJ45" s="155">
        <f t="shared" si="49"/>
        <v>0</v>
      </c>
      <c r="DK45" s="370"/>
      <c r="DL45" s="370"/>
      <c r="DM45" s="370"/>
      <c r="DN45" s="155"/>
      <c r="DO45" s="155"/>
      <c r="DP45" s="155"/>
      <c r="DQ45" s="155"/>
      <c r="DR45" s="155"/>
      <c r="DS45" s="155"/>
      <c r="DT45" s="155"/>
      <c r="DU45" s="155"/>
      <c r="DV45" s="370"/>
      <c r="DW45" s="370"/>
      <c r="DX45" s="155"/>
      <c r="DY45" s="155"/>
      <c r="DZ45" s="373"/>
      <c r="EA45" s="190">
        <f t="shared" ref="EA45:EA51" si="76">+H45+I45+J45+L45+N45+O45+Q45+T45+U45+V45+X45+Y45+Z45+AB45+AC45+AD45+AE45+AH45+AK45+AN45+AO45+AP45+AQ45+AT45+BC45+BI45+BL45+BO45+BR45+BU45+BX45+BY45+CB45+CC45+CF45+CI45+CJ45+CM45+CP45+CS45+CV45+CY45+CZ45+DC45+DF45+DI45+DJ45+DN45+DO45+DP45+DQ45+DR45+DT45+DU45+DX45+DY45+DZ45+BF45+AZ45+AW45+AA45-U45+K45+M45+W45</f>
        <v>40000</v>
      </c>
      <c r="EB45" s="337">
        <f t="shared" si="75"/>
        <v>0</v>
      </c>
      <c r="EC45" s="338"/>
      <c r="ED45" s="369">
        <f t="shared" si="54"/>
        <v>40000</v>
      </c>
      <c r="EE45" s="338">
        <f t="shared" si="7"/>
        <v>0</v>
      </c>
      <c r="EF45" s="369">
        <f t="shared" si="25"/>
        <v>0</v>
      </c>
      <c r="EH45" s="322"/>
    </row>
    <row r="46" spans="1:138" ht="13.5" customHeight="1" outlineLevel="1" x14ac:dyDescent="0.25">
      <c r="A46" s="222">
        <v>5362</v>
      </c>
      <c r="B46" s="205" t="s">
        <v>99</v>
      </c>
      <c r="C46" s="369">
        <v>3710000</v>
      </c>
      <c r="D46" s="369">
        <v>3710000</v>
      </c>
      <c r="E46" s="369">
        <v>3710000</v>
      </c>
      <c r="F46" s="369">
        <v>4990970</v>
      </c>
      <c r="G46" s="369">
        <f t="shared" si="51"/>
        <v>4990970</v>
      </c>
      <c r="H46" s="234"/>
      <c r="I46" s="155"/>
      <c r="J46" s="155"/>
      <c r="K46" s="155"/>
      <c r="L46" s="155">
        <f>+'[4]Všeob. pokladna'!$B$39+'[6]Všeobecná pokladna 6409'!$B$21+'[2]Všebecná pokladna'!$B$57</f>
        <v>4830970</v>
      </c>
      <c r="M46" s="155"/>
      <c r="N46" s="155"/>
      <c r="O46" s="155"/>
      <c r="P46" s="155"/>
      <c r="Q46" s="155">
        <f t="shared" si="26"/>
        <v>100000</v>
      </c>
      <c r="R46" s="370">
        <f>[3]Správa!$D$118</f>
        <v>100000</v>
      </c>
      <c r="S46" s="371">
        <f>[3]Správa!$E$118</f>
        <v>0</v>
      </c>
      <c r="T46" s="155"/>
      <c r="U46" s="380">
        <f t="shared" si="56"/>
        <v>0</v>
      </c>
      <c r="V46" s="155">
        <f>'[3]Pečovatelská služba'!$B$94</f>
        <v>6000</v>
      </c>
      <c r="W46" s="155"/>
      <c r="X46" s="155"/>
      <c r="Y46" s="155">
        <f>'[3]Městská policie'!$B$134</f>
        <v>5000</v>
      </c>
      <c r="Z46" s="155"/>
      <c r="AA46" s="155"/>
      <c r="AB46" s="155">
        <f>[3]Knihovna!$B$89</f>
        <v>4000</v>
      </c>
      <c r="AC46" s="155"/>
      <c r="AD46" s="155">
        <f>[3]Kultura!$B$53</f>
        <v>15000</v>
      </c>
      <c r="AE46" s="155">
        <f t="shared" si="27"/>
        <v>0</v>
      </c>
      <c r="AF46" s="370"/>
      <c r="AG46" s="370"/>
      <c r="AH46" s="155">
        <f t="shared" si="28"/>
        <v>0</v>
      </c>
      <c r="AI46" s="370"/>
      <c r="AJ46" s="370"/>
      <c r="AK46" s="155">
        <f t="shared" si="29"/>
        <v>30000</v>
      </c>
      <c r="AL46" s="370">
        <f>+[4]Nebyty!$B$22</f>
        <v>30000</v>
      </c>
      <c r="AM46" s="370"/>
      <c r="AN46" s="155"/>
      <c r="AO46" s="155"/>
      <c r="AP46" s="155"/>
      <c r="AQ46" s="155">
        <f t="shared" si="30"/>
        <v>0</v>
      </c>
      <c r="AR46" s="370"/>
      <c r="AS46" s="370"/>
      <c r="AT46" s="155">
        <f t="shared" si="31"/>
        <v>0</v>
      </c>
      <c r="AU46" s="370"/>
      <c r="AV46" s="370"/>
      <c r="AW46" s="155">
        <f t="shared" si="57"/>
        <v>0</v>
      </c>
      <c r="AX46" s="370"/>
      <c r="AY46" s="370"/>
      <c r="AZ46" s="155">
        <f t="shared" si="58"/>
        <v>0</v>
      </c>
      <c r="BA46" s="370"/>
      <c r="BB46" s="370"/>
      <c r="BC46" s="155">
        <f t="shared" si="34"/>
        <v>0</v>
      </c>
      <c r="BD46" s="370"/>
      <c r="BE46" s="370"/>
      <c r="BF46" s="155">
        <f t="shared" si="35"/>
        <v>0</v>
      </c>
      <c r="BG46" s="370"/>
      <c r="BH46" s="370"/>
      <c r="BI46" s="155">
        <f t="shared" si="36"/>
        <v>0</v>
      </c>
      <c r="BJ46" s="370"/>
      <c r="BK46" s="370"/>
      <c r="BL46" s="155">
        <f t="shared" si="37"/>
        <v>0</v>
      </c>
      <c r="BM46" s="370"/>
      <c r="BN46" s="370"/>
      <c r="BO46" s="155">
        <f t="shared" si="38"/>
        <v>0</v>
      </c>
      <c r="BP46" s="370"/>
      <c r="BQ46" s="370"/>
      <c r="BR46" s="155">
        <f t="shared" si="39"/>
        <v>0</v>
      </c>
      <c r="BS46" s="370"/>
      <c r="BT46" s="370"/>
      <c r="BU46" s="155">
        <f t="shared" si="40"/>
        <v>0</v>
      </c>
      <c r="BV46" s="370"/>
      <c r="BW46" s="370"/>
      <c r="BX46" s="155"/>
      <c r="BY46" s="155">
        <f t="shared" si="41"/>
        <v>0</v>
      </c>
      <c r="BZ46" s="370"/>
      <c r="CA46" s="370"/>
      <c r="CB46" s="155"/>
      <c r="CC46" s="155">
        <f t="shared" si="42"/>
        <v>0</v>
      </c>
      <c r="CD46" s="370"/>
      <c r="CE46" s="370"/>
      <c r="CF46" s="155">
        <f t="shared" si="43"/>
        <v>0</v>
      </c>
      <c r="CG46" s="370">
        <f>'[5]Silnice světelná křižovatka'!$D$28</f>
        <v>0</v>
      </c>
      <c r="CH46" s="370">
        <f>'[5]Silnice světelná křižovatka'!$E$28</f>
        <v>0</v>
      </c>
      <c r="CI46" s="155"/>
      <c r="CJ46" s="155">
        <f t="shared" si="44"/>
        <v>0</v>
      </c>
      <c r="CK46" s="370"/>
      <c r="CL46" s="370"/>
      <c r="CM46" s="155"/>
      <c r="CN46" s="370"/>
      <c r="CO46" s="370"/>
      <c r="CP46" s="155"/>
      <c r="CQ46" s="370"/>
      <c r="CR46" s="370"/>
      <c r="CS46" s="155"/>
      <c r="CT46" s="370"/>
      <c r="CU46" s="370"/>
      <c r="CV46" s="155">
        <f t="shared" si="45"/>
        <v>0</v>
      </c>
      <c r="CW46" s="370"/>
      <c r="CX46" s="370"/>
      <c r="CY46" s="155"/>
      <c r="CZ46" s="155">
        <f t="shared" si="46"/>
        <v>0</v>
      </c>
      <c r="DA46" s="370"/>
      <c r="DB46" s="370"/>
      <c r="DC46" s="155">
        <f t="shared" si="47"/>
        <v>0</v>
      </c>
      <c r="DD46" s="370"/>
      <c r="DE46" s="370"/>
      <c r="DF46" s="155">
        <f t="shared" si="48"/>
        <v>0</v>
      </c>
      <c r="DG46" s="370"/>
      <c r="DH46" s="370"/>
      <c r="DI46" s="155"/>
      <c r="DJ46" s="155">
        <f t="shared" si="49"/>
        <v>0</v>
      </c>
      <c r="DK46" s="370"/>
      <c r="DL46" s="370"/>
      <c r="DM46" s="370"/>
      <c r="DN46" s="155"/>
      <c r="DO46" s="155"/>
      <c r="DP46" s="155"/>
      <c r="DQ46" s="155"/>
      <c r="DR46" s="155"/>
      <c r="DS46" s="155"/>
      <c r="DT46" s="155"/>
      <c r="DU46" s="155"/>
      <c r="DV46" s="370"/>
      <c r="DW46" s="370"/>
      <c r="DX46" s="155"/>
      <c r="DY46" s="155"/>
      <c r="DZ46" s="373"/>
      <c r="EA46" s="190">
        <f t="shared" si="76"/>
        <v>4990970</v>
      </c>
      <c r="EB46" s="337">
        <f t="shared" si="75"/>
        <v>0</v>
      </c>
      <c r="EC46" s="338"/>
      <c r="ED46" s="369">
        <f t="shared" si="54"/>
        <v>4990970</v>
      </c>
      <c r="EE46" s="338">
        <f t="shared" si="7"/>
        <v>0</v>
      </c>
      <c r="EF46" s="369">
        <f t="shared" si="25"/>
        <v>0</v>
      </c>
      <c r="EH46" s="322"/>
    </row>
    <row r="47" spans="1:138" ht="13.5" hidden="1" customHeight="1" outlineLevel="1" x14ac:dyDescent="0.25">
      <c r="A47" s="222">
        <v>5363</v>
      </c>
      <c r="B47" s="205" t="s">
        <v>775</v>
      </c>
      <c r="C47" s="369">
        <v>0</v>
      </c>
      <c r="D47" s="369">
        <v>0</v>
      </c>
      <c r="E47" s="369">
        <v>0</v>
      </c>
      <c r="F47" s="369">
        <v>0</v>
      </c>
      <c r="G47" s="369">
        <f t="shared" si="51"/>
        <v>0</v>
      </c>
      <c r="H47" s="234"/>
      <c r="I47" s="155"/>
      <c r="J47" s="155"/>
      <c r="K47" s="155"/>
      <c r="L47" s="155"/>
      <c r="M47" s="155"/>
      <c r="N47" s="155"/>
      <c r="O47" s="155"/>
      <c r="P47" s="155"/>
      <c r="Q47" s="155">
        <f t="shared" si="26"/>
        <v>0</v>
      </c>
      <c r="R47" s="370"/>
      <c r="S47" s="371"/>
      <c r="T47" s="155"/>
      <c r="U47" s="380">
        <f t="shared" si="56"/>
        <v>0</v>
      </c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370"/>
      <c r="AG47" s="370"/>
      <c r="AH47" s="155"/>
      <c r="AI47" s="370"/>
      <c r="AJ47" s="370"/>
      <c r="AK47" s="155"/>
      <c r="AL47" s="370"/>
      <c r="AM47" s="370"/>
      <c r="AN47" s="155"/>
      <c r="AO47" s="155"/>
      <c r="AP47" s="155"/>
      <c r="AQ47" s="155"/>
      <c r="AR47" s="370"/>
      <c r="AS47" s="370"/>
      <c r="AT47" s="155"/>
      <c r="AU47" s="370"/>
      <c r="AV47" s="370"/>
      <c r="AW47" s="155"/>
      <c r="AX47" s="370"/>
      <c r="AY47" s="370"/>
      <c r="AZ47" s="155"/>
      <c r="BA47" s="370"/>
      <c r="BB47" s="370"/>
      <c r="BC47" s="155"/>
      <c r="BD47" s="370"/>
      <c r="BE47" s="370"/>
      <c r="BF47" s="155"/>
      <c r="BG47" s="370"/>
      <c r="BH47" s="370"/>
      <c r="BI47" s="155"/>
      <c r="BJ47" s="370"/>
      <c r="BK47" s="370"/>
      <c r="BL47" s="155"/>
      <c r="BM47" s="370"/>
      <c r="BN47" s="370"/>
      <c r="BO47" s="155"/>
      <c r="BP47" s="370"/>
      <c r="BQ47" s="370"/>
      <c r="BR47" s="155"/>
      <c r="BS47" s="370"/>
      <c r="BT47" s="370"/>
      <c r="BU47" s="155"/>
      <c r="BV47" s="370"/>
      <c r="BW47" s="370"/>
      <c r="BX47" s="155"/>
      <c r="BY47" s="155"/>
      <c r="BZ47" s="370"/>
      <c r="CA47" s="370"/>
      <c r="CB47" s="155"/>
      <c r="CC47" s="155"/>
      <c r="CD47" s="370"/>
      <c r="CE47" s="370"/>
      <c r="CF47" s="155"/>
      <c r="CG47" s="370"/>
      <c r="CH47" s="370"/>
      <c r="CI47" s="155"/>
      <c r="CJ47" s="155">
        <f t="shared" si="44"/>
        <v>0</v>
      </c>
      <c r="CK47" s="370">
        <f>+[4]Vodovod!$B$27</f>
        <v>0</v>
      </c>
      <c r="CL47" s="370"/>
      <c r="CM47" s="155"/>
      <c r="CN47" s="370"/>
      <c r="CO47" s="370"/>
      <c r="CP47" s="155"/>
      <c r="CQ47" s="370"/>
      <c r="CR47" s="370"/>
      <c r="CS47" s="155"/>
      <c r="CT47" s="370"/>
      <c r="CU47" s="370"/>
      <c r="CV47" s="155"/>
      <c r="CW47" s="370"/>
      <c r="CX47" s="370"/>
      <c r="CY47" s="155"/>
      <c r="CZ47" s="155"/>
      <c r="DA47" s="370"/>
      <c r="DB47" s="370"/>
      <c r="DC47" s="155"/>
      <c r="DD47" s="370"/>
      <c r="DE47" s="370"/>
      <c r="DF47" s="155"/>
      <c r="DG47" s="370"/>
      <c r="DH47" s="370"/>
      <c r="DI47" s="155"/>
      <c r="DJ47" s="155"/>
      <c r="DK47" s="370"/>
      <c r="DL47" s="370"/>
      <c r="DM47" s="370"/>
      <c r="DN47" s="155"/>
      <c r="DO47" s="155"/>
      <c r="DP47" s="155"/>
      <c r="DQ47" s="155"/>
      <c r="DR47" s="155"/>
      <c r="DS47" s="155"/>
      <c r="DT47" s="155"/>
      <c r="DU47" s="155"/>
      <c r="DV47" s="370"/>
      <c r="DW47" s="370"/>
      <c r="DX47" s="155"/>
      <c r="DY47" s="155"/>
      <c r="DZ47" s="373"/>
      <c r="EA47" s="190">
        <f t="shared" si="76"/>
        <v>0</v>
      </c>
      <c r="EB47" s="337">
        <f t="shared" si="75"/>
        <v>0</v>
      </c>
      <c r="EC47" s="338"/>
      <c r="ED47" s="369">
        <f t="shared" si="54"/>
        <v>0</v>
      </c>
      <c r="EE47" s="338">
        <f t="shared" si="7"/>
        <v>0</v>
      </c>
      <c r="EF47" s="369"/>
      <c r="EH47" s="322"/>
    </row>
    <row r="48" spans="1:138" ht="13.5" customHeight="1" outlineLevel="1" x14ac:dyDescent="0.25">
      <c r="A48" s="222">
        <v>5492</v>
      </c>
      <c r="B48" s="205" t="s">
        <v>100</v>
      </c>
      <c r="C48" s="369">
        <v>470000</v>
      </c>
      <c r="D48" s="369">
        <v>470000</v>
      </c>
      <c r="E48" s="369">
        <v>470000</v>
      </c>
      <c r="F48" s="369">
        <v>470000</v>
      </c>
      <c r="G48" s="369">
        <f t="shared" si="51"/>
        <v>470000</v>
      </c>
      <c r="H48" s="234"/>
      <c r="I48" s="155"/>
      <c r="J48" s="155"/>
      <c r="K48" s="155"/>
      <c r="L48" s="155"/>
      <c r="M48" s="155"/>
      <c r="N48" s="155">
        <f>[3]Zastupitelé!$B$88</f>
        <v>450000</v>
      </c>
      <c r="O48" s="155"/>
      <c r="P48" s="155"/>
      <c r="Q48" s="155">
        <f t="shared" si="26"/>
        <v>0</v>
      </c>
      <c r="R48" s="370"/>
      <c r="S48" s="371"/>
      <c r="T48" s="155"/>
      <c r="U48" s="380">
        <f t="shared" si="56"/>
        <v>0</v>
      </c>
      <c r="V48" s="155"/>
      <c r="W48" s="155"/>
      <c r="X48" s="155"/>
      <c r="Y48" s="155"/>
      <c r="Z48" s="155"/>
      <c r="AA48" s="155"/>
      <c r="AB48" s="155"/>
      <c r="AC48" s="155"/>
      <c r="AD48" s="155">
        <f>[3]Kultura!$B$60</f>
        <v>20000</v>
      </c>
      <c r="AE48" s="155">
        <f t="shared" si="27"/>
        <v>0</v>
      </c>
      <c r="AF48" s="370"/>
      <c r="AG48" s="370"/>
      <c r="AH48" s="155">
        <f t="shared" si="28"/>
        <v>0</v>
      </c>
      <c r="AI48" s="370"/>
      <c r="AJ48" s="370"/>
      <c r="AK48" s="155">
        <f t="shared" si="29"/>
        <v>0</v>
      </c>
      <c r="AL48" s="370"/>
      <c r="AM48" s="370"/>
      <c r="AN48" s="155"/>
      <c r="AO48" s="155"/>
      <c r="AP48" s="155"/>
      <c r="AQ48" s="155">
        <f t="shared" si="30"/>
        <v>0</v>
      </c>
      <c r="AR48" s="370"/>
      <c r="AS48" s="370"/>
      <c r="AT48" s="155">
        <f t="shared" si="31"/>
        <v>0</v>
      </c>
      <c r="AU48" s="370"/>
      <c r="AV48" s="370"/>
      <c r="AW48" s="155">
        <f t="shared" ref="AW48:AW50" si="77">+AX48+AY48</f>
        <v>0</v>
      </c>
      <c r="AX48" s="370"/>
      <c r="AY48" s="370"/>
      <c r="AZ48" s="155">
        <f t="shared" ref="AZ48:AZ50" si="78">+BA48+BB48</f>
        <v>0</v>
      </c>
      <c r="BA48" s="370"/>
      <c r="BB48" s="370"/>
      <c r="BC48" s="155">
        <f t="shared" si="34"/>
        <v>0</v>
      </c>
      <c r="BD48" s="370"/>
      <c r="BE48" s="370"/>
      <c r="BF48" s="155">
        <f t="shared" ref="BF48:BF50" si="79">+BG48+BH48</f>
        <v>0</v>
      </c>
      <c r="BG48" s="370"/>
      <c r="BH48" s="370"/>
      <c r="BI48" s="155">
        <f t="shared" si="36"/>
        <v>0</v>
      </c>
      <c r="BJ48" s="370"/>
      <c r="BK48" s="370"/>
      <c r="BL48" s="155">
        <f t="shared" si="37"/>
        <v>0</v>
      </c>
      <c r="BM48" s="370"/>
      <c r="BN48" s="370"/>
      <c r="BO48" s="155">
        <f t="shared" si="38"/>
        <v>0</v>
      </c>
      <c r="BP48" s="370"/>
      <c r="BQ48" s="370"/>
      <c r="BR48" s="155">
        <f t="shared" si="39"/>
        <v>0</v>
      </c>
      <c r="BS48" s="370"/>
      <c r="BT48" s="370"/>
      <c r="BU48" s="155">
        <f t="shared" si="40"/>
        <v>0</v>
      </c>
      <c r="BV48" s="370"/>
      <c r="BW48" s="370"/>
      <c r="BX48" s="155"/>
      <c r="BY48" s="155">
        <f t="shared" si="41"/>
        <v>0</v>
      </c>
      <c r="BZ48" s="370"/>
      <c r="CA48" s="370"/>
      <c r="CB48" s="155"/>
      <c r="CC48" s="155">
        <f t="shared" si="42"/>
        <v>0</v>
      </c>
      <c r="CD48" s="370"/>
      <c r="CE48" s="370"/>
      <c r="CF48" s="155">
        <f t="shared" si="43"/>
        <v>0</v>
      </c>
      <c r="CG48" s="370"/>
      <c r="CH48" s="370"/>
      <c r="CI48" s="155"/>
      <c r="CJ48" s="155">
        <f t="shared" si="44"/>
        <v>0</v>
      </c>
      <c r="CK48" s="370"/>
      <c r="CL48" s="370"/>
      <c r="CM48" s="155"/>
      <c r="CN48" s="370"/>
      <c r="CO48" s="370"/>
      <c r="CP48" s="155"/>
      <c r="CQ48" s="370"/>
      <c r="CR48" s="370"/>
      <c r="CS48" s="155"/>
      <c r="CT48" s="370"/>
      <c r="CU48" s="370"/>
      <c r="CV48" s="155">
        <f t="shared" si="45"/>
        <v>0</v>
      </c>
      <c r="CW48" s="370"/>
      <c r="CX48" s="370"/>
      <c r="CY48" s="155"/>
      <c r="CZ48" s="155">
        <f t="shared" si="46"/>
        <v>0</v>
      </c>
      <c r="DA48" s="370"/>
      <c r="DB48" s="370"/>
      <c r="DC48" s="155">
        <f t="shared" si="47"/>
        <v>0</v>
      </c>
      <c r="DD48" s="370"/>
      <c r="DE48" s="370"/>
      <c r="DF48" s="155">
        <f t="shared" si="48"/>
        <v>0</v>
      </c>
      <c r="DG48" s="370"/>
      <c r="DH48" s="370"/>
      <c r="DI48" s="155"/>
      <c r="DJ48" s="155">
        <f t="shared" si="49"/>
        <v>0</v>
      </c>
      <c r="DK48" s="370"/>
      <c r="DL48" s="370"/>
      <c r="DM48" s="370"/>
      <c r="DN48" s="155"/>
      <c r="DO48" s="155"/>
      <c r="DP48" s="155"/>
      <c r="DQ48" s="155"/>
      <c r="DR48" s="155"/>
      <c r="DS48" s="155"/>
      <c r="DT48" s="155"/>
      <c r="DU48" s="155"/>
      <c r="DV48" s="370"/>
      <c r="DW48" s="370"/>
      <c r="DX48" s="155"/>
      <c r="DY48" s="155"/>
      <c r="DZ48" s="373"/>
      <c r="EA48" s="190">
        <f t="shared" si="76"/>
        <v>470000</v>
      </c>
      <c r="EB48" s="337">
        <f t="shared" si="75"/>
        <v>0</v>
      </c>
      <c r="EC48" s="338"/>
      <c r="ED48" s="369">
        <f t="shared" si="54"/>
        <v>470000</v>
      </c>
      <c r="EE48" s="338">
        <f t="shared" si="7"/>
        <v>0</v>
      </c>
      <c r="EF48" s="369">
        <f t="shared" si="25"/>
        <v>0</v>
      </c>
      <c r="EH48" s="322"/>
    </row>
    <row r="49" spans="1:138" ht="13.5" customHeight="1" outlineLevel="1" x14ac:dyDescent="0.25">
      <c r="A49" s="222">
        <v>5499</v>
      </c>
      <c r="B49" s="205" t="s">
        <v>746</v>
      </c>
      <c r="C49" s="369">
        <v>1980000</v>
      </c>
      <c r="D49" s="369">
        <v>1980000</v>
      </c>
      <c r="E49" s="369">
        <v>1980000</v>
      </c>
      <c r="F49" s="369">
        <v>1980000</v>
      </c>
      <c r="G49" s="369">
        <f t="shared" si="51"/>
        <v>1980000</v>
      </c>
      <c r="H49" s="234"/>
      <c r="I49" s="155"/>
      <c r="J49" s="155"/>
      <c r="K49" s="155"/>
      <c r="L49" s="155">
        <f>'[2]Všebecná pokladna'!$B$64</f>
        <v>1980000</v>
      </c>
      <c r="M49" s="155"/>
      <c r="N49" s="155"/>
      <c r="O49" s="155"/>
      <c r="P49" s="155"/>
      <c r="Q49" s="155">
        <f t="shared" si="26"/>
        <v>0</v>
      </c>
      <c r="R49" s="370"/>
      <c r="S49" s="371"/>
      <c r="T49" s="155"/>
      <c r="U49" s="380">
        <f t="shared" si="56"/>
        <v>0</v>
      </c>
      <c r="V49" s="155"/>
      <c r="W49" s="155"/>
      <c r="X49" s="155"/>
      <c r="Y49" s="155"/>
      <c r="Z49" s="155"/>
      <c r="AA49" s="155"/>
      <c r="AB49" s="155"/>
      <c r="AC49" s="155"/>
      <c r="AD49" s="155"/>
      <c r="AE49" s="155">
        <f t="shared" si="27"/>
        <v>0</v>
      </c>
      <c r="AF49" s="370"/>
      <c r="AG49" s="370"/>
      <c r="AH49" s="155">
        <f t="shared" si="28"/>
        <v>0</v>
      </c>
      <c r="AI49" s="370"/>
      <c r="AJ49" s="370"/>
      <c r="AK49" s="155">
        <f t="shared" si="29"/>
        <v>0</v>
      </c>
      <c r="AL49" s="370"/>
      <c r="AM49" s="370"/>
      <c r="AN49" s="155"/>
      <c r="AO49" s="155"/>
      <c r="AP49" s="155"/>
      <c r="AQ49" s="155">
        <f t="shared" si="30"/>
        <v>0</v>
      </c>
      <c r="AR49" s="370"/>
      <c r="AS49" s="370"/>
      <c r="AT49" s="155">
        <f t="shared" si="31"/>
        <v>0</v>
      </c>
      <c r="AU49" s="370"/>
      <c r="AV49" s="370"/>
      <c r="AW49" s="155">
        <f t="shared" si="77"/>
        <v>0</v>
      </c>
      <c r="AX49" s="370"/>
      <c r="AY49" s="370"/>
      <c r="AZ49" s="155">
        <f t="shared" si="78"/>
        <v>0</v>
      </c>
      <c r="BA49" s="370"/>
      <c r="BB49" s="370"/>
      <c r="BC49" s="155">
        <f t="shared" si="34"/>
        <v>0</v>
      </c>
      <c r="BD49" s="370"/>
      <c r="BE49" s="370"/>
      <c r="BF49" s="155">
        <f t="shared" si="79"/>
        <v>0</v>
      </c>
      <c r="BG49" s="370"/>
      <c r="BH49" s="370"/>
      <c r="BI49" s="155">
        <f t="shared" si="36"/>
        <v>0</v>
      </c>
      <c r="BJ49" s="370"/>
      <c r="BK49" s="370"/>
      <c r="BL49" s="155">
        <f t="shared" si="37"/>
        <v>0</v>
      </c>
      <c r="BM49" s="370"/>
      <c r="BN49" s="370"/>
      <c r="BO49" s="155">
        <f t="shared" si="38"/>
        <v>0</v>
      </c>
      <c r="BP49" s="370"/>
      <c r="BQ49" s="370"/>
      <c r="BR49" s="155">
        <f t="shared" si="39"/>
        <v>0</v>
      </c>
      <c r="BS49" s="370"/>
      <c r="BT49" s="370"/>
      <c r="BU49" s="155">
        <f t="shared" si="40"/>
        <v>0</v>
      </c>
      <c r="BV49" s="370"/>
      <c r="BW49" s="370"/>
      <c r="BX49" s="155"/>
      <c r="BY49" s="155">
        <f t="shared" si="41"/>
        <v>0</v>
      </c>
      <c r="BZ49" s="370"/>
      <c r="CA49" s="370"/>
      <c r="CB49" s="155"/>
      <c r="CC49" s="155">
        <f t="shared" si="42"/>
        <v>0</v>
      </c>
      <c r="CD49" s="370"/>
      <c r="CE49" s="370"/>
      <c r="CF49" s="155">
        <f t="shared" si="43"/>
        <v>0</v>
      </c>
      <c r="CG49" s="370"/>
      <c r="CH49" s="370"/>
      <c r="CI49" s="155"/>
      <c r="CJ49" s="155">
        <f t="shared" si="44"/>
        <v>0</v>
      </c>
      <c r="CK49" s="370"/>
      <c r="CL49" s="370"/>
      <c r="CM49" s="155"/>
      <c r="CN49" s="370"/>
      <c r="CO49" s="370"/>
      <c r="CP49" s="155"/>
      <c r="CQ49" s="370"/>
      <c r="CR49" s="370"/>
      <c r="CS49" s="155"/>
      <c r="CT49" s="370"/>
      <c r="CU49" s="370"/>
      <c r="CV49" s="155">
        <f t="shared" si="45"/>
        <v>0</v>
      </c>
      <c r="CW49" s="370"/>
      <c r="CX49" s="370"/>
      <c r="CY49" s="155"/>
      <c r="CZ49" s="155">
        <f t="shared" si="46"/>
        <v>0</v>
      </c>
      <c r="DA49" s="370"/>
      <c r="DB49" s="370"/>
      <c r="DC49" s="155">
        <f t="shared" si="47"/>
        <v>0</v>
      </c>
      <c r="DD49" s="370"/>
      <c r="DE49" s="370"/>
      <c r="DF49" s="155">
        <f t="shared" si="48"/>
        <v>0</v>
      </c>
      <c r="DG49" s="370"/>
      <c r="DH49" s="370"/>
      <c r="DI49" s="155"/>
      <c r="DJ49" s="155">
        <f t="shared" si="49"/>
        <v>0</v>
      </c>
      <c r="DK49" s="370"/>
      <c r="DL49" s="370"/>
      <c r="DM49" s="370"/>
      <c r="DN49" s="155"/>
      <c r="DO49" s="155"/>
      <c r="DP49" s="155"/>
      <c r="DQ49" s="155"/>
      <c r="DR49" s="155"/>
      <c r="DS49" s="155"/>
      <c r="DT49" s="155"/>
      <c r="DU49" s="155"/>
      <c r="DV49" s="370"/>
      <c r="DW49" s="370"/>
      <c r="DX49" s="155"/>
      <c r="DY49" s="155"/>
      <c r="DZ49" s="373"/>
      <c r="EA49" s="190">
        <f t="shared" si="76"/>
        <v>1980000</v>
      </c>
      <c r="EB49" s="337">
        <f t="shared" si="75"/>
        <v>0</v>
      </c>
      <c r="EC49" s="338"/>
      <c r="ED49" s="369">
        <f t="shared" si="54"/>
        <v>1980000</v>
      </c>
      <c r="EE49" s="338">
        <f t="shared" si="7"/>
        <v>0</v>
      </c>
      <c r="EF49" s="369">
        <f t="shared" si="25"/>
        <v>0</v>
      </c>
      <c r="EH49" s="322"/>
    </row>
    <row r="50" spans="1:138" ht="13.5" customHeight="1" outlineLevel="1" x14ac:dyDescent="0.25">
      <c r="A50" s="222">
        <v>5222</v>
      </c>
      <c r="B50" s="205" t="s">
        <v>101</v>
      </c>
      <c r="C50" s="369">
        <v>1200000</v>
      </c>
      <c r="D50" s="369">
        <v>1200000</v>
      </c>
      <c r="E50" s="369">
        <v>1200000</v>
      </c>
      <c r="F50" s="369">
        <v>1200000</v>
      </c>
      <c r="G50" s="369">
        <f t="shared" si="51"/>
        <v>1200000</v>
      </c>
      <c r="H50" s="234"/>
      <c r="I50" s="155"/>
      <c r="J50" s="155"/>
      <c r="K50" s="155"/>
      <c r="L50" s="155"/>
      <c r="M50" s="155"/>
      <c r="N50" s="155"/>
      <c r="O50" s="155"/>
      <c r="P50" s="155"/>
      <c r="Q50" s="155">
        <f t="shared" si="26"/>
        <v>0</v>
      </c>
      <c r="R50" s="370"/>
      <c r="S50" s="371"/>
      <c r="T50" s="155"/>
      <c r="U50" s="380">
        <f t="shared" si="56"/>
        <v>0</v>
      </c>
      <c r="V50" s="155"/>
      <c r="W50" s="155"/>
      <c r="X50" s="155"/>
      <c r="Y50" s="155"/>
      <c r="Z50" s="155"/>
      <c r="AA50" s="155"/>
      <c r="AB50" s="155"/>
      <c r="AC50" s="155"/>
      <c r="AD50" s="155"/>
      <c r="AE50" s="155">
        <f t="shared" si="27"/>
        <v>0</v>
      </c>
      <c r="AF50" s="370"/>
      <c r="AG50" s="370"/>
      <c r="AH50" s="155">
        <f t="shared" si="28"/>
        <v>0</v>
      </c>
      <c r="AI50" s="370"/>
      <c r="AJ50" s="370"/>
      <c r="AK50" s="155">
        <f t="shared" si="29"/>
        <v>0</v>
      </c>
      <c r="AL50" s="370"/>
      <c r="AM50" s="370"/>
      <c r="AN50" s="155"/>
      <c r="AO50" s="155"/>
      <c r="AP50" s="155"/>
      <c r="AQ50" s="155">
        <f t="shared" si="30"/>
        <v>0</v>
      </c>
      <c r="AR50" s="370"/>
      <c r="AS50" s="370"/>
      <c r="AT50" s="155">
        <f t="shared" si="31"/>
        <v>0</v>
      </c>
      <c r="AU50" s="370">
        <f>[2]Koupaliště!$B$11</f>
        <v>0</v>
      </c>
      <c r="AV50" s="370"/>
      <c r="AW50" s="155">
        <f t="shared" si="77"/>
        <v>0</v>
      </c>
      <c r="AX50" s="370">
        <f>[2]Hřiště!$B$11</f>
        <v>0</v>
      </c>
      <c r="AY50" s="370"/>
      <c r="AZ50" s="155">
        <f t="shared" si="78"/>
        <v>1200000</v>
      </c>
      <c r="BA50" s="370">
        <f>+[2]Spolky!$D$11</f>
        <v>1200000</v>
      </c>
      <c r="BB50" s="370">
        <f>+[2]Spolky!$E$11</f>
        <v>0</v>
      </c>
      <c r="BC50" s="155">
        <f t="shared" si="34"/>
        <v>0</v>
      </c>
      <c r="BD50" s="370"/>
      <c r="BE50" s="370"/>
      <c r="BF50" s="155">
        <f t="shared" si="79"/>
        <v>0</v>
      </c>
      <c r="BG50" s="370"/>
      <c r="BH50" s="370"/>
      <c r="BI50" s="155">
        <f t="shared" si="36"/>
        <v>0</v>
      </c>
      <c r="BJ50" s="370"/>
      <c r="BK50" s="370"/>
      <c r="BL50" s="155">
        <f t="shared" si="37"/>
        <v>0</v>
      </c>
      <c r="BM50" s="370"/>
      <c r="BN50" s="370"/>
      <c r="BO50" s="155">
        <f t="shared" si="38"/>
        <v>0</v>
      </c>
      <c r="BP50" s="370"/>
      <c r="BQ50" s="370"/>
      <c r="BR50" s="155">
        <f t="shared" si="39"/>
        <v>0</v>
      </c>
      <c r="BS50" s="370"/>
      <c r="BT50" s="370"/>
      <c r="BU50" s="155">
        <f t="shared" si="40"/>
        <v>0</v>
      </c>
      <c r="BV50" s="370"/>
      <c r="BW50" s="370"/>
      <c r="BX50" s="155"/>
      <c r="BY50" s="155">
        <f t="shared" si="41"/>
        <v>0</v>
      </c>
      <c r="BZ50" s="370"/>
      <c r="CA50" s="370"/>
      <c r="CB50" s="155"/>
      <c r="CC50" s="155">
        <f t="shared" si="42"/>
        <v>0</v>
      </c>
      <c r="CD50" s="370"/>
      <c r="CE50" s="370"/>
      <c r="CF50" s="155">
        <f t="shared" si="43"/>
        <v>0</v>
      </c>
      <c r="CG50" s="370"/>
      <c r="CH50" s="370"/>
      <c r="CI50" s="155"/>
      <c r="CJ50" s="155">
        <f t="shared" si="44"/>
        <v>0</v>
      </c>
      <c r="CK50" s="370"/>
      <c r="CL50" s="370"/>
      <c r="CM50" s="155"/>
      <c r="CN50" s="370"/>
      <c r="CO50" s="370"/>
      <c r="CP50" s="155"/>
      <c r="CQ50" s="370"/>
      <c r="CR50" s="370"/>
      <c r="CS50" s="155"/>
      <c r="CT50" s="370"/>
      <c r="CU50" s="370"/>
      <c r="CV50" s="155">
        <f t="shared" si="45"/>
        <v>0</v>
      </c>
      <c r="CW50" s="370"/>
      <c r="CX50" s="370"/>
      <c r="CY50" s="155"/>
      <c r="CZ50" s="155">
        <f t="shared" si="46"/>
        <v>0</v>
      </c>
      <c r="DA50" s="370"/>
      <c r="DB50" s="370"/>
      <c r="DC50" s="155">
        <f t="shared" si="47"/>
        <v>0</v>
      </c>
      <c r="DD50" s="370"/>
      <c r="DE50" s="370"/>
      <c r="DF50" s="155">
        <f t="shared" si="48"/>
        <v>0</v>
      </c>
      <c r="DG50" s="370"/>
      <c r="DH50" s="370"/>
      <c r="DI50" s="155"/>
      <c r="DJ50" s="155">
        <f t="shared" si="49"/>
        <v>0</v>
      </c>
      <c r="DK50" s="370"/>
      <c r="DL50" s="370"/>
      <c r="DM50" s="370"/>
      <c r="DN50" s="155"/>
      <c r="DO50" s="155"/>
      <c r="DP50" s="155"/>
      <c r="DQ50" s="155"/>
      <c r="DR50" s="155"/>
      <c r="DS50" s="155"/>
      <c r="DT50" s="155"/>
      <c r="DU50" s="155"/>
      <c r="DV50" s="370"/>
      <c r="DW50" s="370"/>
      <c r="DX50" s="155"/>
      <c r="DY50" s="155"/>
      <c r="DZ50" s="373"/>
      <c r="EA50" s="190">
        <f t="shared" si="76"/>
        <v>1200000</v>
      </c>
      <c r="EB50" s="337">
        <f t="shared" si="75"/>
        <v>0</v>
      </c>
      <c r="EC50" s="338"/>
      <c r="ED50" s="369">
        <f t="shared" si="54"/>
        <v>1200000</v>
      </c>
      <c r="EE50" s="338">
        <f t="shared" si="7"/>
        <v>0</v>
      </c>
      <c r="EF50" s="369">
        <f t="shared" si="25"/>
        <v>0</v>
      </c>
      <c r="EH50" s="322"/>
    </row>
    <row r="51" spans="1:138" ht="12.75" customHeight="1" outlineLevel="1" x14ac:dyDescent="0.25">
      <c r="A51" s="388">
        <v>5903</v>
      </c>
      <c r="B51" s="389" t="s">
        <v>761</v>
      </c>
      <c r="C51" s="390">
        <v>77958.766499999998</v>
      </c>
      <c r="D51" s="390">
        <v>77958.766499999998</v>
      </c>
      <c r="E51" s="390">
        <v>77958.766499999998</v>
      </c>
      <c r="F51" s="390">
        <v>77958.766499999998</v>
      </c>
      <c r="G51" s="369">
        <f t="shared" si="51"/>
        <v>77958.766499999998</v>
      </c>
      <c r="H51" s="391"/>
      <c r="I51" s="392"/>
      <c r="J51" s="392">
        <f>+'[2]Krizové situace-5213'!$B$11</f>
        <v>77958.766499999998</v>
      </c>
      <c r="K51" s="392"/>
      <c r="L51" s="392"/>
      <c r="M51" s="392"/>
      <c r="N51" s="392"/>
      <c r="O51" s="392"/>
      <c r="P51" s="392"/>
      <c r="Q51" s="155">
        <f t="shared" si="26"/>
        <v>0</v>
      </c>
      <c r="R51" s="393"/>
      <c r="S51" s="394"/>
      <c r="T51" s="392"/>
      <c r="U51" s="395">
        <f>+S51+AS51+CH51+CE51+CA51+DM51+AG51+AM51+AV51+BE51+BK51+BN51+BQ51+BT51+BW51+CL51+CX51+DB51+DE51+DH51+AJ51+DW51</f>
        <v>0</v>
      </c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3"/>
      <c r="AG51" s="393"/>
      <c r="AH51" s="392"/>
      <c r="AI51" s="393"/>
      <c r="AJ51" s="393"/>
      <c r="AK51" s="392"/>
      <c r="AL51" s="393"/>
      <c r="AM51" s="393"/>
      <c r="AN51" s="392"/>
      <c r="AO51" s="392"/>
      <c r="AP51" s="392"/>
      <c r="AQ51" s="392"/>
      <c r="AR51" s="393"/>
      <c r="AS51" s="393"/>
      <c r="AT51" s="392"/>
      <c r="AU51" s="393"/>
      <c r="AV51" s="393"/>
      <c r="AW51" s="392"/>
      <c r="AX51" s="393"/>
      <c r="AY51" s="393"/>
      <c r="AZ51" s="392"/>
      <c r="BA51" s="393"/>
      <c r="BB51" s="393"/>
      <c r="BC51" s="392"/>
      <c r="BD51" s="393"/>
      <c r="BE51" s="393"/>
      <c r="BF51" s="392"/>
      <c r="BG51" s="393"/>
      <c r="BH51" s="393"/>
      <c r="BI51" s="392"/>
      <c r="BJ51" s="393"/>
      <c r="BK51" s="393"/>
      <c r="BL51" s="392"/>
      <c r="BM51" s="393"/>
      <c r="BN51" s="393"/>
      <c r="BO51" s="392"/>
      <c r="BP51" s="393"/>
      <c r="BQ51" s="393"/>
      <c r="BR51" s="392"/>
      <c r="BS51" s="393"/>
      <c r="BT51" s="393"/>
      <c r="BU51" s="392"/>
      <c r="BV51" s="393"/>
      <c r="BW51" s="393"/>
      <c r="BX51" s="392"/>
      <c r="BY51" s="392"/>
      <c r="BZ51" s="393"/>
      <c r="CA51" s="393"/>
      <c r="CB51" s="392"/>
      <c r="CC51" s="392"/>
      <c r="CD51" s="393"/>
      <c r="CE51" s="393"/>
      <c r="CF51" s="392"/>
      <c r="CG51" s="393"/>
      <c r="CH51" s="393"/>
      <c r="CI51" s="392"/>
      <c r="CJ51" s="392"/>
      <c r="CK51" s="393"/>
      <c r="CL51" s="393"/>
      <c r="CM51" s="392"/>
      <c r="CN51" s="393"/>
      <c r="CO51" s="393"/>
      <c r="CP51" s="392"/>
      <c r="CQ51" s="393"/>
      <c r="CR51" s="393"/>
      <c r="CS51" s="392"/>
      <c r="CT51" s="393"/>
      <c r="CU51" s="393"/>
      <c r="CV51" s="392"/>
      <c r="CW51" s="393"/>
      <c r="CX51" s="393"/>
      <c r="CY51" s="392"/>
      <c r="CZ51" s="392"/>
      <c r="DA51" s="393"/>
      <c r="DB51" s="393"/>
      <c r="DC51" s="392"/>
      <c r="DD51" s="393"/>
      <c r="DE51" s="393"/>
      <c r="DF51" s="392"/>
      <c r="DG51" s="393"/>
      <c r="DH51" s="393"/>
      <c r="DI51" s="392"/>
      <c r="DJ51" s="392"/>
      <c r="DK51" s="393"/>
      <c r="DL51" s="393"/>
      <c r="DM51" s="393"/>
      <c r="DN51" s="392"/>
      <c r="DO51" s="392"/>
      <c r="DP51" s="392"/>
      <c r="DQ51" s="392"/>
      <c r="DR51" s="392"/>
      <c r="DS51" s="392"/>
      <c r="DT51" s="392"/>
      <c r="DU51" s="392"/>
      <c r="DV51" s="393"/>
      <c r="DW51" s="393"/>
      <c r="DX51" s="392"/>
      <c r="DY51" s="392"/>
      <c r="DZ51" s="396"/>
      <c r="EA51" s="190">
        <f t="shared" si="76"/>
        <v>77958.766499999998</v>
      </c>
      <c r="EB51" s="337">
        <f t="shared" si="75"/>
        <v>0</v>
      </c>
      <c r="EC51" s="338"/>
      <c r="ED51" s="390">
        <f t="shared" si="54"/>
        <v>77958.766499999998</v>
      </c>
      <c r="EE51" s="338">
        <f t="shared" si="7"/>
        <v>0</v>
      </c>
      <c r="EF51" s="390"/>
      <c r="EH51" s="322"/>
    </row>
    <row r="52" spans="1:138" ht="14.25" thickBot="1" x14ac:dyDescent="0.3">
      <c r="A52" s="213" t="s">
        <v>102</v>
      </c>
      <c r="B52" s="214"/>
      <c r="C52" s="374">
        <v>134853109.85249999</v>
      </c>
      <c r="D52" s="374">
        <v>138770063.7665</v>
      </c>
      <c r="E52" s="374">
        <v>142230239.7665</v>
      </c>
      <c r="F52" s="374">
        <v>149548837.7665</v>
      </c>
      <c r="G52" s="374">
        <f>SUM(G17:G51)</f>
        <v>154095402.31650001</v>
      </c>
      <c r="H52" s="219">
        <f t="shared" ref="H52:I52" si="80">SUM(H17:H51)</f>
        <v>80000</v>
      </c>
      <c r="I52" s="217">
        <f t="shared" si="80"/>
        <v>0</v>
      </c>
      <c r="J52" s="217">
        <f>SUM(J17:J51)</f>
        <v>1137958.7664999999</v>
      </c>
      <c r="K52" s="217">
        <f>SUM(K17:K51)</f>
        <v>0</v>
      </c>
      <c r="L52" s="217">
        <f t="shared" ref="L52:T52" si="81">SUM(L17:L51)</f>
        <v>10638930</v>
      </c>
      <c r="M52" s="217">
        <f t="shared" ref="M52" si="82">SUM(M17:M51)</f>
        <v>0</v>
      </c>
      <c r="N52" s="217">
        <f t="shared" si="81"/>
        <v>1068000</v>
      </c>
      <c r="O52" s="217">
        <f t="shared" si="81"/>
        <v>27461</v>
      </c>
      <c r="P52" s="217">
        <f t="shared" ref="P52:Q52" si="83">SUM(P17:P51)</f>
        <v>19048.169999999998</v>
      </c>
      <c r="Q52" s="217">
        <f t="shared" si="83"/>
        <v>11090500</v>
      </c>
      <c r="R52" s="375">
        <f>SUM(R17:R51)</f>
        <v>11020500</v>
      </c>
      <c r="S52" s="376">
        <f t="shared" si="81"/>
        <v>70000</v>
      </c>
      <c r="T52" s="217">
        <f t="shared" si="81"/>
        <v>0</v>
      </c>
      <c r="U52" s="377">
        <f>SUM(U17:U50)-U22-U34-U35</f>
        <v>26209403</v>
      </c>
      <c r="V52" s="217">
        <f t="shared" ref="V52:CR52" si="84">SUM(V17:V51)</f>
        <v>487000</v>
      </c>
      <c r="W52" s="217">
        <f t="shared" ref="W52" si="85">SUM(W17:W51)</f>
        <v>600000</v>
      </c>
      <c r="X52" s="217">
        <f t="shared" si="84"/>
        <v>300000</v>
      </c>
      <c r="Y52" s="217">
        <f t="shared" si="84"/>
        <v>1254000</v>
      </c>
      <c r="Z52" s="217">
        <f t="shared" si="84"/>
        <v>117000</v>
      </c>
      <c r="AA52" s="217">
        <f t="shared" ref="AA52" si="86">SUM(AA17:AA51)</f>
        <v>785200</v>
      </c>
      <c r="AB52" s="217">
        <f t="shared" si="84"/>
        <v>1001850</v>
      </c>
      <c r="AC52" s="217">
        <f t="shared" si="84"/>
        <v>540000</v>
      </c>
      <c r="AD52" s="217">
        <f t="shared" si="84"/>
        <v>1610000</v>
      </c>
      <c r="AE52" s="217">
        <f t="shared" si="84"/>
        <v>5019000</v>
      </c>
      <c r="AF52" s="375">
        <f t="shared" si="84"/>
        <v>5019000</v>
      </c>
      <c r="AG52" s="375">
        <f t="shared" si="84"/>
        <v>0</v>
      </c>
      <c r="AH52" s="217">
        <f t="shared" si="84"/>
        <v>4130000</v>
      </c>
      <c r="AI52" s="375">
        <f t="shared" si="84"/>
        <v>4030000</v>
      </c>
      <c r="AJ52" s="375">
        <f t="shared" si="84"/>
        <v>100000</v>
      </c>
      <c r="AK52" s="217">
        <f t="shared" si="84"/>
        <v>5260800</v>
      </c>
      <c r="AL52" s="375">
        <f t="shared" si="84"/>
        <v>5260800</v>
      </c>
      <c r="AM52" s="375">
        <f t="shared" si="84"/>
        <v>0</v>
      </c>
      <c r="AN52" s="217">
        <f t="shared" si="84"/>
        <v>1162900</v>
      </c>
      <c r="AO52" s="217">
        <f t="shared" si="84"/>
        <v>430000</v>
      </c>
      <c r="AP52" s="217">
        <f t="shared" si="84"/>
        <v>0</v>
      </c>
      <c r="AQ52" s="217">
        <f t="shared" si="84"/>
        <v>210000</v>
      </c>
      <c r="AR52" s="375">
        <f t="shared" si="84"/>
        <v>190000</v>
      </c>
      <c r="AS52" s="375">
        <f t="shared" si="84"/>
        <v>20000</v>
      </c>
      <c r="AT52" s="217">
        <f t="shared" si="84"/>
        <v>500000</v>
      </c>
      <c r="AU52" s="375">
        <f t="shared" si="84"/>
        <v>500000</v>
      </c>
      <c r="AV52" s="375">
        <f t="shared" si="84"/>
        <v>0</v>
      </c>
      <c r="AW52" s="217">
        <f t="shared" ref="AW52:AY52" si="87">SUM(AW17:AW51)</f>
        <v>994000</v>
      </c>
      <c r="AX52" s="375">
        <f t="shared" si="87"/>
        <v>764000</v>
      </c>
      <c r="AY52" s="375">
        <f t="shared" si="87"/>
        <v>230000</v>
      </c>
      <c r="AZ52" s="217">
        <f t="shared" ref="AZ52:BB52" si="88">SUM(AZ17:AZ51)</f>
        <v>1766208</v>
      </c>
      <c r="BA52" s="375">
        <f t="shared" si="88"/>
        <v>1766208</v>
      </c>
      <c r="BB52" s="375">
        <f t="shared" si="88"/>
        <v>0</v>
      </c>
      <c r="BC52" s="217">
        <f t="shared" si="84"/>
        <v>16533400</v>
      </c>
      <c r="BD52" s="375">
        <f t="shared" si="84"/>
        <v>16533400</v>
      </c>
      <c r="BE52" s="375">
        <f t="shared" si="84"/>
        <v>0</v>
      </c>
      <c r="BF52" s="217">
        <f t="shared" ref="BF52:BH52" si="89">SUM(BF17:BF51)</f>
        <v>5523848.3799999999</v>
      </c>
      <c r="BG52" s="375">
        <f t="shared" si="89"/>
        <v>5523848.3799999999</v>
      </c>
      <c r="BH52" s="375">
        <f t="shared" si="89"/>
        <v>0</v>
      </c>
      <c r="BI52" s="217">
        <f t="shared" si="84"/>
        <v>740000</v>
      </c>
      <c r="BJ52" s="375">
        <f t="shared" si="84"/>
        <v>740000</v>
      </c>
      <c r="BK52" s="375">
        <f t="shared" si="84"/>
        <v>0</v>
      </c>
      <c r="BL52" s="217">
        <f t="shared" si="84"/>
        <v>850000</v>
      </c>
      <c r="BM52" s="375">
        <f t="shared" si="84"/>
        <v>830000</v>
      </c>
      <c r="BN52" s="375">
        <f t="shared" si="84"/>
        <v>20000</v>
      </c>
      <c r="BO52" s="217">
        <f t="shared" si="84"/>
        <v>560000</v>
      </c>
      <c r="BP52" s="375">
        <f t="shared" si="84"/>
        <v>530000</v>
      </c>
      <c r="BQ52" s="375">
        <f t="shared" si="84"/>
        <v>30000</v>
      </c>
      <c r="BR52" s="217">
        <f t="shared" si="84"/>
        <v>5329000</v>
      </c>
      <c r="BS52" s="375">
        <f t="shared" si="84"/>
        <v>5299000</v>
      </c>
      <c r="BT52" s="375">
        <f t="shared" si="84"/>
        <v>30000</v>
      </c>
      <c r="BU52" s="217">
        <f t="shared" si="84"/>
        <v>1930000</v>
      </c>
      <c r="BV52" s="375">
        <f t="shared" si="84"/>
        <v>1930000</v>
      </c>
      <c r="BW52" s="375">
        <f t="shared" si="84"/>
        <v>0</v>
      </c>
      <c r="BX52" s="217">
        <f t="shared" si="84"/>
        <v>270000</v>
      </c>
      <c r="BY52" s="217">
        <f t="shared" si="84"/>
        <v>360000</v>
      </c>
      <c r="BZ52" s="375">
        <f t="shared" si="84"/>
        <v>330000</v>
      </c>
      <c r="CA52" s="375">
        <f t="shared" si="84"/>
        <v>30000</v>
      </c>
      <c r="CB52" s="217">
        <f t="shared" si="84"/>
        <v>850000</v>
      </c>
      <c r="CC52" s="217">
        <f t="shared" si="84"/>
        <v>2892100</v>
      </c>
      <c r="CD52" s="375">
        <f t="shared" si="84"/>
        <v>2542100</v>
      </c>
      <c r="CE52" s="375">
        <f t="shared" si="84"/>
        <v>350000</v>
      </c>
      <c r="CF52" s="217">
        <f t="shared" si="84"/>
        <v>21629513</v>
      </c>
      <c r="CG52" s="375">
        <f t="shared" si="84"/>
        <v>19079513</v>
      </c>
      <c r="CH52" s="375">
        <f t="shared" si="84"/>
        <v>2550000</v>
      </c>
      <c r="CI52" s="217">
        <f t="shared" si="84"/>
        <v>3228575</v>
      </c>
      <c r="CJ52" s="217">
        <f t="shared" si="84"/>
        <v>780000</v>
      </c>
      <c r="CK52" s="375">
        <f t="shared" si="84"/>
        <v>780000</v>
      </c>
      <c r="CL52" s="375">
        <f t="shared" si="84"/>
        <v>0</v>
      </c>
      <c r="CM52" s="217">
        <f t="shared" si="84"/>
        <v>5500000</v>
      </c>
      <c r="CN52" s="375">
        <f t="shared" si="84"/>
        <v>5500000</v>
      </c>
      <c r="CO52" s="375">
        <f t="shared" si="84"/>
        <v>0</v>
      </c>
      <c r="CP52" s="217">
        <f t="shared" si="84"/>
        <v>80000</v>
      </c>
      <c r="CQ52" s="375">
        <f t="shared" si="84"/>
        <v>80000</v>
      </c>
      <c r="CR52" s="375">
        <f t="shared" si="84"/>
        <v>0</v>
      </c>
      <c r="CS52" s="217">
        <f t="shared" ref="CS52:DZ52" si="90">SUM(CS17:CS51)</f>
        <v>500000</v>
      </c>
      <c r="CT52" s="375">
        <f t="shared" si="90"/>
        <v>500000</v>
      </c>
      <c r="CU52" s="375">
        <f t="shared" si="90"/>
        <v>0</v>
      </c>
      <c r="CV52" s="217">
        <f t="shared" si="90"/>
        <v>1240000</v>
      </c>
      <c r="CW52" s="375">
        <f t="shared" si="90"/>
        <v>940000</v>
      </c>
      <c r="CX52" s="375">
        <f t="shared" si="90"/>
        <v>300000</v>
      </c>
      <c r="CY52" s="217">
        <f t="shared" si="90"/>
        <v>100000</v>
      </c>
      <c r="CZ52" s="217">
        <f t="shared" si="90"/>
        <v>6150000</v>
      </c>
      <c r="DA52" s="375">
        <f t="shared" si="90"/>
        <v>50000</v>
      </c>
      <c r="DB52" s="375">
        <f t="shared" si="90"/>
        <v>6100000</v>
      </c>
      <c r="DC52" s="217">
        <f t="shared" si="90"/>
        <v>0</v>
      </c>
      <c r="DD52" s="375">
        <f t="shared" si="90"/>
        <v>0</v>
      </c>
      <c r="DE52" s="375">
        <f t="shared" si="90"/>
        <v>0</v>
      </c>
      <c r="DF52" s="217">
        <f t="shared" si="90"/>
        <v>70000</v>
      </c>
      <c r="DG52" s="375">
        <f t="shared" si="90"/>
        <v>0</v>
      </c>
      <c r="DH52" s="375">
        <f t="shared" si="90"/>
        <v>70000</v>
      </c>
      <c r="DI52" s="217">
        <f t="shared" si="90"/>
        <v>34707</v>
      </c>
      <c r="DJ52" s="217">
        <f t="shared" si="90"/>
        <v>2150000</v>
      </c>
      <c r="DK52" s="375">
        <f t="shared" si="90"/>
        <v>600000</v>
      </c>
      <c r="DL52" s="375">
        <f t="shared" si="90"/>
        <v>0</v>
      </c>
      <c r="DM52" s="375">
        <f t="shared" si="90"/>
        <v>1550000</v>
      </c>
      <c r="DN52" s="217">
        <f t="shared" si="90"/>
        <v>355000</v>
      </c>
      <c r="DO52" s="217">
        <f t="shared" si="90"/>
        <v>0</v>
      </c>
      <c r="DP52" s="217">
        <f t="shared" si="90"/>
        <v>0</v>
      </c>
      <c r="DQ52" s="217">
        <f t="shared" si="90"/>
        <v>0</v>
      </c>
      <c r="DR52" s="217">
        <f t="shared" si="90"/>
        <v>0</v>
      </c>
      <c r="DS52" s="217">
        <f t="shared" si="90"/>
        <v>0</v>
      </c>
      <c r="DT52" s="217">
        <f t="shared" si="90"/>
        <v>0</v>
      </c>
      <c r="DU52" s="217">
        <f t="shared" si="90"/>
        <v>0</v>
      </c>
      <c r="DV52" s="375">
        <f t="shared" ref="DV52:DW52" si="91">SUM(DV17:DV51)</f>
        <v>0</v>
      </c>
      <c r="DW52" s="375">
        <f t="shared" si="91"/>
        <v>0</v>
      </c>
      <c r="DX52" s="217">
        <f t="shared" si="90"/>
        <v>0</v>
      </c>
      <c r="DY52" s="217">
        <f t="shared" si="90"/>
        <v>0</v>
      </c>
      <c r="DZ52" s="378">
        <f t="shared" si="90"/>
        <v>0</v>
      </c>
      <c r="EA52" s="190"/>
      <c r="EB52" s="337"/>
      <c r="EC52" s="338"/>
      <c r="ED52" s="374">
        <f>SUM(ED17:ED50)</f>
        <v>116358040.55</v>
      </c>
      <c r="EE52" s="338"/>
      <c r="EF52" s="374">
        <f>SUM(EF17:EF50)</f>
        <v>37659403</v>
      </c>
      <c r="EH52" s="322"/>
    </row>
    <row r="53" spans="1:138" outlineLevel="1" x14ac:dyDescent="0.25">
      <c r="A53" s="222">
        <v>5141</v>
      </c>
      <c r="B53" s="205" t="s">
        <v>7</v>
      </c>
      <c r="C53" s="361">
        <v>3168014.6474499996</v>
      </c>
      <c r="D53" s="361">
        <v>3233488.1372699994</v>
      </c>
      <c r="E53" s="361">
        <v>3233488.1372699994</v>
      </c>
      <c r="F53" s="361">
        <v>3233488.1372699994</v>
      </c>
      <c r="G53" s="361">
        <f t="shared" ref="G53:G54" si="92">SUM(H53:Q53)+SUM(V53:AE53)+AH53+AK53+SUM(AN53:AQ53)+AT53+BC53+BI53+BL53+BO53+BR53+BU53+BX53+BY53+CB53+CC53+CF53+SUM(CI53:CJ53)+CS53+CV53+CY53+CZ53+DC53+DF53+DI53+DJ53+SUM(DN53:DU53)+CM53+CP53+SUM(DX53:DZ53)+T53+AW53+AZ53+BF53</f>
        <v>2307952.5247400003</v>
      </c>
      <c r="H53" s="400">
        <f>[2]Úroky!$B$4</f>
        <v>2307952.5247400003</v>
      </c>
      <c r="I53" s="401"/>
      <c r="J53" s="401"/>
      <c r="K53" s="401"/>
      <c r="L53" s="401"/>
      <c r="M53" s="401"/>
      <c r="N53" s="401"/>
      <c r="O53" s="401"/>
      <c r="P53" s="401"/>
      <c r="Q53" s="401">
        <f t="shared" ref="Q53:Q54" si="93">+R53+S53</f>
        <v>0</v>
      </c>
      <c r="R53" s="402"/>
      <c r="S53" s="403"/>
      <c r="T53" s="401"/>
      <c r="U53" s="404">
        <f t="shared" ref="U53:U54" si="94">+S53+AS53+CH53+CE53+CA53+DM53+AG53+AM53+AV53+BE53+BK53+BN53+BQ53+BT53+BW53+CL53+CX53+DB53+DE53+DH53+AJ53+DW53</f>
        <v>0</v>
      </c>
      <c r="V53" s="401"/>
      <c r="W53" s="401"/>
      <c r="X53" s="401"/>
      <c r="Y53" s="401"/>
      <c r="Z53" s="401"/>
      <c r="AA53" s="401"/>
      <c r="AB53" s="401"/>
      <c r="AC53" s="401"/>
      <c r="AD53" s="401"/>
      <c r="AE53" s="401">
        <f t="shared" ref="AE53:AE54" si="95">+AF53+AG53</f>
        <v>0</v>
      </c>
      <c r="AF53" s="402"/>
      <c r="AG53" s="402"/>
      <c r="AH53" s="401">
        <f t="shared" ref="AH53:AH54" si="96">+AI53+AJ53</f>
        <v>0</v>
      </c>
      <c r="AI53" s="402"/>
      <c r="AJ53" s="402"/>
      <c r="AK53" s="401">
        <f t="shared" ref="AK53:AK54" si="97">+AL53+AM53</f>
        <v>0</v>
      </c>
      <c r="AL53" s="402"/>
      <c r="AM53" s="402"/>
      <c r="AN53" s="401"/>
      <c r="AO53" s="401"/>
      <c r="AP53" s="401"/>
      <c r="AQ53" s="401">
        <f t="shared" ref="AQ53:AQ54" si="98">+AR53+AS53</f>
        <v>0</v>
      </c>
      <c r="AR53" s="402"/>
      <c r="AS53" s="402"/>
      <c r="AT53" s="401">
        <f t="shared" ref="AT53:AT54" si="99">+AU53+AV53</f>
        <v>0</v>
      </c>
      <c r="AU53" s="402"/>
      <c r="AV53" s="402"/>
      <c r="AW53" s="401">
        <f t="shared" ref="AW53:AW54" si="100">+AX53+AY53</f>
        <v>0</v>
      </c>
      <c r="AX53" s="402"/>
      <c r="AY53" s="402"/>
      <c r="AZ53" s="401">
        <f t="shared" ref="AZ53:AZ54" si="101">+BA53+BB53</f>
        <v>0</v>
      </c>
      <c r="BA53" s="402"/>
      <c r="BB53" s="402"/>
      <c r="BC53" s="401">
        <f t="shared" ref="BC53:BC54" si="102">+BD53+BE53</f>
        <v>0</v>
      </c>
      <c r="BD53" s="402"/>
      <c r="BE53" s="402"/>
      <c r="BF53" s="401">
        <f t="shared" ref="BF53:BF54" si="103">+BG53+BH53</f>
        <v>0</v>
      </c>
      <c r="BG53" s="402"/>
      <c r="BH53" s="402"/>
      <c r="BI53" s="401">
        <f t="shared" ref="BI53:BI54" si="104">+BJ53+BK53</f>
        <v>0</v>
      </c>
      <c r="BJ53" s="402"/>
      <c r="BK53" s="402"/>
      <c r="BL53" s="401">
        <f t="shared" ref="BL53:BL54" si="105">+BM53+BN53</f>
        <v>0</v>
      </c>
      <c r="BM53" s="402"/>
      <c r="BN53" s="402"/>
      <c r="BO53" s="401">
        <f t="shared" ref="BO53:BO54" si="106">+BP53+BQ53</f>
        <v>0</v>
      </c>
      <c r="BP53" s="402"/>
      <c r="BQ53" s="402"/>
      <c r="BR53" s="401">
        <f t="shared" ref="BR53:BR54" si="107">+BS53+BT53</f>
        <v>0</v>
      </c>
      <c r="BS53" s="402"/>
      <c r="BT53" s="402"/>
      <c r="BU53" s="401">
        <f t="shared" ref="BU53:BU54" si="108">+BV53+BW53</f>
        <v>0</v>
      </c>
      <c r="BV53" s="402"/>
      <c r="BW53" s="402"/>
      <c r="BX53" s="401"/>
      <c r="BY53" s="401">
        <f t="shared" ref="BY53:BY54" si="109">+BZ53+CA53</f>
        <v>0</v>
      </c>
      <c r="BZ53" s="402"/>
      <c r="CA53" s="402"/>
      <c r="CB53" s="401"/>
      <c r="CC53" s="401">
        <f t="shared" ref="CC53:CC54" si="110">+CD53+CE53</f>
        <v>0</v>
      </c>
      <c r="CD53" s="402"/>
      <c r="CE53" s="402"/>
      <c r="CF53" s="401">
        <f t="shared" ref="CF53:CF54" si="111">+CG53+CH53</f>
        <v>0</v>
      </c>
      <c r="CG53" s="402"/>
      <c r="CH53" s="402"/>
      <c r="CI53" s="401"/>
      <c r="CJ53" s="401">
        <f t="shared" ref="CJ53:CJ54" si="112">+CK53+CL53</f>
        <v>0</v>
      </c>
      <c r="CK53" s="402"/>
      <c r="CL53" s="402"/>
      <c r="CM53" s="401"/>
      <c r="CN53" s="402"/>
      <c r="CO53" s="402"/>
      <c r="CP53" s="401"/>
      <c r="CQ53" s="402"/>
      <c r="CR53" s="402"/>
      <c r="CS53" s="401"/>
      <c r="CT53" s="402"/>
      <c r="CU53" s="402"/>
      <c r="CV53" s="401">
        <f t="shared" ref="CV53:CV54" si="113">+CW53+CX53</f>
        <v>0</v>
      </c>
      <c r="CW53" s="402"/>
      <c r="CX53" s="402"/>
      <c r="CY53" s="401"/>
      <c r="CZ53" s="401">
        <f t="shared" ref="CZ53:CZ54" si="114">+DA53+DB53</f>
        <v>0</v>
      </c>
      <c r="DA53" s="402"/>
      <c r="DB53" s="402"/>
      <c r="DC53" s="401">
        <f t="shared" ref="DC53:DC54" si="115">+DD53+DE53</f>
        <v>0</v>
      </c>
      <c r="DD53" s="402"/>
      <c r="DE53" s="402"/>
      <c r="DF53" s="401">
        <f t="shared" ref="DF53:DF54" si="116">+DG53+DH53</f>
        <v>0</v>
      </c>
      <c r="DG53" s="402"/>
      <c r="DH53" s="402"/>
      <c r="DI53" s="401"/>
      <c r="DJ53" s="401">
        <f t="shared" ref="DJ53:DJ54" si="117">+DK53+DL53+DM53</f>
        <v>0</v>
      </c>
      <c r="DK53" s="402"/>
      <c r="DL53" s="402"/>
      <c r="DM53" s="402"/>
      <c r="DN53" s="401"/>
      <c r="DO53" s="401"/>
      <c r="DP53" s="401"/>
      <c r="DQ53" s="401"/>
      <c r="DR53" s="401"/>
      <c r="DS53" s="401"/>
      <c r="DT53" s="401"/>
      <c r="DU53" s="401"/>
      <c r="DV53" s="402"/>
      <c r="DW53" s="402"/>
      <c r="DX53" s="401"/>
      <c r="DY53" s="401"/>
      <c r="DZ53" s="405"/>
      <c r="EA53" s="190">
        <f t="shared" ref="EA53:EA54" si="118">+H53+I53+J53+L53+N53+O53+Q53+T53+U53+V53+X53+Y53+Z53+AB53+AC53+AD53+AE53+AH53+AK53+AN53+AO53+AP53+AQ53+AT53+BC53+BI53+BL53+BO53+BR53+BU53+BX53+BY53+CB53+CC53+CF53+CI53+CJ53+CM53+CP53+CS53+CV53+CY53+CZ53+DC53+DF53+DI53+DJ53+DN53+DO53+DP53+DQ53+DR53+DT53+DU53+DX53+DY53+DZ53+BF53+AZ53+AW53+AA53-U53+K53+M53+W53</f>
        <v>2307952.5247400003</v>
      </c>
      <c r="EB53" s="337">
        <f t="shared" si="75"/>
        <v>0</v>
      </c>
      <c r="EC53" s="338"/>
      <c r="ED53" s="399">
        <f t="shared" ref="ED53:ED54" si="119">+G53-EF53</f>
        <v>2307952.5247400003</v>
      </c>
      <c r="EE53" s="338">
        <f t="shared" si="7"/>
        <v>0</v>
      </c>
      <c r="EF53" s="399"/>
      <c r="EH53" s="322"/>
    </row>
    <row r="54" spans="1:138" outlineLevel="1" x14ac:dyDescent="0.25">
      <c r="A54" s="397">
        <v>5144</v>
      </c>
      <c r="B54" s="406" t="s">
        <v>675</v>
      </c>
      <c r="C54" s="399">
        <v>0</v>
      </c>
      <c r="D54" s="399">
        <v>0</v>
      </c>
      <c r="E54" s="399">
        <v>0</v>
      </c>
      <c r="F54" s="399">
        <v>0</v>
      </c>
      <c r="G54" s="399">
        <f t="shared" si="92"/>
        <v>0</v>
      </c>
      <c r="H54" s="252"/>
      <c r="I54" s="407"/>
      <c r="J54" s="407"/>
      <c r="K54" s="407"/>
      <c r="L54" s="407"/>
      <c r="M54" s="407"/>
      <c r="N54" s="407"/>
      <c r="O54" s="407"/>
      <c r="P54" s="407"/>
      <c r="Q54" s="407">
        <f t="shared" si="93"/>
        <v>0</v>
      </c>
      <c r="R54" s="408"/>
      <c r="S54" s="409"/>
      <c r="T54" s="407"/>
      <c r="U54" s="410">
        <f t="shared" si="94"/>
        <v>0</v>
      </c>
      <c r="V54" s="407"/>
      <c r="W54" s="407"/>
      <c r="X54" s="407"/>
      <c r="Y54" s="407"/>
      <c r="Z54" s="407"/>
      <c r="AA54" s="407"/>
      <c r="AB54" s="407"/>
      <c r="AC54" s="407"/>
      <c r="AD54" s="407"/>
      <c r="AE54" s="407">
        <f t="shared" si="95"/>
        <v>0</v>
      </c>
      <c r="AF54" s="408"/>
      <c r="AG54" s="408"/>
      <c r="AH54" s="407">
        <f t="shared" si="96"/>
        <v>0</v>
      </c>
      <c r="AI54" s="408"/>
      <c r="AJ54" s="408"/>
      <c r="AK54" s="407">
        <f t="shared" si="97"/>
        <v>0</v>
      </c>
      <c r="AL54" s="408"/>
      <c r="AM54" s="408"/>
      <c r="AN54" s="407"/>
      <c r="AO54" s="407"/>
      <c r="AP54" s="407"/>
      <c r="AQ54" s="407">
        <f t="shared" si="98"/>
        <v>0</v>
      </c>
      <c r="AR54" s="408"/>
      <c r="AS54" s="408"/>
      <c r="AT54" s="407">
        <f t="shared" si="99"/>
        <v>0</v>
      </c>
      <c r="AU54" s="408"/>
      <c r="AV54" s="408"/>
      <c r="AW54" s="407">
        <f t="shared" si="100"/>
        <v>0</v>
      </c>
      <c r="AX54" s="408"/>
      <c r="AY54" s="408"/>
      <c r="AZ54" s="407">
        <f t="shared" si="101"/>
        <v>0</v>
      </c>
      <c r="BA54" s="408"/>
      <c r="BB54" s="408"/>
      <c r="BC54" s="407">
        <f t="shared" si="102"/>
        <v>0</v>
      </c>
      <c r="BD54" s="408"/>
      <c r="BE54" s="408"/>
      <c r="BF54" s="407">
        <f t="shared" si="103"/>
        <v>0</v>
      </c>
      <c r="BG54" s="408"/>
      <c r="BH54" s="408"/>
      <c r="BI54" s="407">
        <f t="shared" si="104"/>
        <v>0</v>
      </c>
      <c r="BJ54" s="408"/>
      <c r="BK54" s="408"/>
      <c r="BL54" s="407">
        <f t="shared" si="105"/>
        <v>0</v>
      </c>
      <c r="BM54" s="408"/>
      <c r="BN54" s="408"/>
      <c r="BO54" s="407">
        <f t="shared" si="106"/>
        <v>0</v>
      </c>
      <c r="BP54" s="408"/>
      <c r="BQ54" s="408"/>
      <c r="BR54" s="407">
        <f t="shared" si="107"/>
        <v>0</v>
      </c>
      <c r="BS54" s="408"/>
      <c r="BT54" s="408"/>
      <c r="BU54" s="407">
        <f t="shared" si="108"/>
        <v>0</v>
      </c>
      <c r="BV54" s="408"/>
      <c r="BW54" s="408"/>
      <c r="BX54" s="407"/>
      <c r="BY54" s="407">
        <f t="shared" si="109"/>
        <v>0</v>
      </c>
      <c r="BZ54" s="408"/>
      <c r="CA54" s="408"/>
      <c r="CB54" s="407"/>
      <c r="CC54" s="407">
        <f t="shared" si="110"/>
        <v>0</v>
      </c>
      <c r="CD54" s="408"/>
      <c r="CE54" s="408"/>
      <c r="CF54" s="407">
        <f t="shared" si="111"/>
        <v>0</v>
      </c>
      <c r="CG54" s="408"/>
      <c r="CH54" s="408"/>
      <c r="CI54" s="407"/>
      <c r="CJ54" s="407">
        <f t="shared" si="112"/>
        <v>0</v>
      </c>
      <c r="CK54" s="408"/>
      <c r="CL54" s="408"/>
      <c r="CM54" s="407"/>
      <c r="CN54" s="408"/>
      <c r="CO54" s="408"/>
      <c r="CP54" s="407"/>
      <c r="CQ54" s="408"/>
      <c r="CR54" s="408"/>
      <c r="CS54" s="407"/>
      <c r="CT54" s="408"/>
      <c r="CU54" s="408"/>
      <c r="CV54" s="407">
        <f t="shared" si="113"/>
        <v>0</v>
      </c>
      <c r="CW54" s="408"/>
      <c r="CX54" s="408"/>
      <c r="CY54" s="407"/>
      <c r="CZ54" s="407">
        <f t="shared" si="114"/>
        <v>0</v>
      </c>
      <c r="DA54" s="408"/>
      <c r="DB54" s="408"/>
      <c r="DC54" s="407">
        <f t="shared" si="115"/>
        <v>0</v>
      </c>
      <c r="DD54" s="408"/>
      <c r="DE54" s="408"/>
      <c r="DF54" s="407">
        <f t="shared" si="116"/>
        <v>0</v>
      </c>
      <c r="DG54" s="408"/>
      <c r="DH54" s="408"/>
      <c r="DI54" s="407"/>
      <c r="DJ54" s="407">
        <f t="shared" si="117"/>
        <v>0</v>
      </c>
      <c r="DK54" s="408"/>
      <c r="DL54" s="408"/>
      <c r="DM54" s="408"/>
      <c r="DN54" s="407"/>
      <c r="DO54" s="407"/>
      <c r="DP54" s="407"/>
      <c r="DQ54" s="407"/>
      <c r="DR54" s="407"/>
      <c r="DS54" s="407"/>
      <c r="DT54" s="407"/>
      <c r="DU54" s="407"/>
      <c r="DV54" s="408"/>
      <c r="DW54" s="408"/>
      <c r="DX54" s="407"/>
      <c r="DY54" s="407"/>
      <c r="DZ54" s="411"/>
      <c r="EA54" s="190">
        <f t="shared" si="118"/>
        <v>0</v>
      </c>
      <c r="EB54" s="337">
        <f t="shared" si="75"/>
        <v>0</v>
      </c>
      <c r="EC54" s="338"/>
      <c r="ED54" s="399">
        <f t="shared" si="119"/>
        <v>0</v>
      </c>
      <c r="EE54" s="338">
        <f t="shared" si="7"/>
        <v>0</v>
      </c>
      <c r="EF54" s="399"/>
      <c r="EH54" s="322"/>
    </row>
    <row r="55" spans="1:138" ht="14.25" thickBot="1" x14ac:dyDescent="0.3">
      <c r="A55" s="213" t="s">
        <v>103</v>
      </c>
      <c r="B55" s="214" t="s">
        <v>104</v>
      </c>
      <c r="C55" s="374">
        <v>182426265.09994999</v>
      </c>
      <c r="D55" s="374">
        <v>186963372.50376999</v>
      </c>
      <c r="E55" s="374">
        <v>190732714.50376999</v>
      </c>
      <c r="F55" s="374">
        <v>198145312.50376999</v>
      </c>
      <c r="G55" s="374">
        <f t="shared" ref="G55:K55" si="120">+G52+G53+G16+G54</f>
        <v>202094656.44124001</v>
      </c>
      <c r="H55" s="219">
        <f t="shared" si="120"/>
        <v>2387952.5247400003</v>
      </c>
      <c r="I55" s="217">
        <f t="shared" si="120"/>
        <v>0</v>
      </c>
      <c r="J55" s="217">
        <f t="shared" si="120"/>
        <v>1137958.7664999999</v>
      </c>
      <c r="K55" s="217">
        <f t="shared" si="120"/>
        <v>0</v>
      </c>
      <c r="L55" s="217">
        <f t="shared" ref="L55:AU55" si="121">+L52+L53+L16+L54</f>
        <v>10638930</v>
      </c>
      <c r="M55" s="217">
        <f t="shared" ref="M55" si="122">+M52+M53+M16+M54</f>
        <v>0</v>
      </c>
      <c r="N55" s="217">
        <f t="shared" si="121"/>
        <v>5611302</v>
      </c>
      <c r="O55" s="217">
        <f t="shared" si="121"/>
        <v>211127</v>
      </c>
      <c r="P55" s="217">
        <f t="shared" ref="P55" si="123">+P52+P53+P16+P54</f>
        <v>163697.16999999998</v>
      </c>
      <c r="Q55" s="217">
        <f t="shared" si="121"/>
        <v>37322845.799999997</v>
      </c>
      <c r="R55" s="375">
        <f t="shared" si="121"/>
        <v>37252845.799999997</v>
      </c>
      <c r="S55" s="376">
        <f t="shared" si="121"/>
        <v>70000</v>
      </c>
      <c r="T55" s="217">
        <f t="shared" si="121"/>
        <v>2584896.6</v>
      </c>
      <c r="U55" s="377">
        <f t="shared" si="121"/>
        <v>26209403</v>
      </c>
      <c r="V55" s="217">
        <f t="shared" si="121"/>
        <v>2772140</v>
      </c>
      <c r="W55" s="217">
        <f t="shared" ref="W55" si="124">+W52+W53+W16+W54</f>
        <v>600000</v>
      </c>
      <c r="X55" s="217">
        <f t="shared" si="121"/>
        <v>300000</v>
      </c>
      <c r="Y55" s="217">
        <f t="shared" si="121"/>
        <v>8444125.8000000007</v>
      </c>
      <c r="Z55" s="217">
        <f t="shared" si="121"/>
        <v>133130.4</v>
      </c>
      <c r="AA55" s="217">
        <f t="shared" ref="AA55" si="125">+AA52+AA53+AA16+AA54</f>
        <v>785200</v>
      </c>
      <c r="AB55" s="217">
        <f t="shared" si="121"/>
        <v>3081592</v>
      </c>
      <c r="AC55" s="217">
        <f t="shared" si="121"/>
        <v>780000</v>
      </c>
      <c r="AD55" s="217">
        <f t="shared" si="121"/>
        <v>1610000</v>
      </c>
      <c r="AE55" s="217">
        <f t="shared" si="121"/>
        <v>5019000</v>
      </c>
      <c r="AF55" s="375">
        <f t="shared" si="121"/>
        <v>5019000</v>
      </c>
      <c r="AG55" s="375">
        <f t="shared" si="121"/>
        <v>0</v>
      </c>
      <c r="AH55" s="217">
        <f t="shared" si="121"/>
        <v>4130000</v>
      </c>
      <c r="AI55" s="375">
        <f t="shared" si="121"/>
        <v>4030000</v>
      </c>
      <c r="AJ55" s="375">
        <f t="shared" si="121"/>
        <v>100000</v>
      </c>
      <c r="AK55" s="217">
        <f t="shared" si="121"/>
        <v>5260800</v>
      </c>
      <c r="AL55" s="375">
        <f t="shared" si="121"/>
        <v>5260800</v>
      </c>
      <c r="AM55" s="375">
        <f t="shared" si="121"/>
        <v>0</v>
      </c>
      <c r="AN55" s="217">
        <f t="shared" si="121"/>
        <v>1354204</v>
      </c>
      <c r="AO55" s="217">
        <f t="shared" si="121"/>
        <v>430000</v>
      </c>
      <c r="AP55" s="217">
        <f t="shared" si="121"/>
        <v>0</v>
      </c>
      <c r="AQ55" s="217">
        <f t="shared" si="121"/>
        <v>210000</v>
      </c>
      <c r="AR55" s="375">
        <f t="shared" si="121"/>
        <v>190000</v>
      </c>
      <c r="AS55" s="375">
        <f t="shared" si="121"/>
        <v>20000</v>
      </c>
      <c r="AT55" s="217">
        <f t="shared" si="121"/>
        <v>500000</v>
      </c>
      <c r="AU55" s="375">
        <f t="shared" si="121"/>
        <v>500000</v>
      </c>
      <c r="AV55" s="375">
        <f t="shared" ref="AV55:CJ55" si="126">+AV52+AV53+AV16+AV54</f>
        <v>0</v>
      </c>
      <c r="AW55" s="217">
        <f t="shared" si="126"/>
        <v>994000</v>
      </c>
      <c r="AX55" s="375">
        <f t="shared" si="126"/>
        <v>764000</v>
      </c>
      <c r="AY55" s="375">
        <f t="shared" ref="AY55:BA55" si="127">+AY52+AY53+AY16+AY54</f>
        <v>230000</v>
      </c>
      <c r="AZ55" s="217">
        <f t="shared" si="127"/>
        <v>1766208</v>
      </c>
      <c r="BA55" s="375">
        <f t="shared" si="127"/>
        <v>1766208</v>
      </c>
      <c r="BB55" s="375">
        <f t="shared" ref="BB55" si="128">+BB52+BB53+BB16+BB54</f>
        <v>0</v>
      </c>
      <c r="BC55" s="217">
        <f t="shared" si="126"/>
        <v>16533400</v>
      </c>
      <c r="BD55" s="375">
        <f t="shared" si="126"/>
        <v>16533400</v>
      </c>
      <c r="BE55" s="375">
        <f t="shared" si="126"/>
        <v>0</v>
      </c>
      <c r="BF55" s="217">
        <f t="shared" ref="BF55:BH55" si="129">+BF52+BF53+BF16+BF54</f>
        <v>5523848.3799999999</v>
      </c>
      <c r="BG55" s="375">
        <f t="shared" si="129"/>
        <v>5523848.3799999999</v>
      </c>
      <c r="BH55" s="375">
        <f t="shared" si="129"/>
        <v>0</v>
      </c>
      <c r="BI55" s="217">
        <f t="shared" si="126"/>
        <v>740000</v>
      </c>
      <c r="BJ55" s="375">
        <f t="shared" si="126"/>
        <v>740000</v>
      </c>
      <c r="BK55" s="375">
        <f t="shared" si="126"/>
        <v>0</v>
      </c>
      <c r="BL55" s="217">
        <f t="shared" si="126"/>
        <v>850000</v>
      </c>
      <c r="BM55" s="375">
        <f t="shared" si="126"/>
        <v>830000</v>
      </c>
      <c r="BN55" s="375">
        <f t="shared" si="126"/>
        <v>20000</v>
      </c>
      <c r="BO55" s="217">
        <f t="shared" si="126"/>
        <v>560000</v>
      </c>
      <c r="BP55" s="375">
        <f t="shared" si="126"/>
        <v>530000</v>
      </c>
      <c r="BQ55" s="375">
        <f t="shared" si="126"/>
        <v>30000</v>
      </c>
      <c r="BR55" s="217">
        <f t="shared" si="126"/>
        <v>5329000</v>
      </c>
      <c r="BS55" s="375">
        <f t="shared" si="126"/>
        <v>5299000</v>
      </c>
      <c r="BT55" s="375">
        <f t="shared" si="126"/>
        <v>30000</v>
      </c>
      <c r="BU55" s="217">
        <f t="shared" si="126"/>
        <v>1930000</v>
      </c>
      <c r="BV55" s="375">
        <f t="shared" si="126"/>
        <v>1930000</v>
      </c>
      <c r="BW55" s="375">
        <f t="shared" si="126"/>
        <v>0</v>
      </c>
      <c r="BX55" s="217">
        <f t="shared" si="126"/>
        <v>270000</v>
      </c>
      <c r="BY55" s="217">
        <f t="shared" si="126"/>
        <v>360000</v>
      </c>
      <c r="BZ55" s="375">
        <f t="shared" si="126"/>
        <v>330000</v>
      </c>
      <c r="CA55" s="375">
        <f t="shared" si="126"/>
        <v>30000</v>
      </c>
      <c r="CB55" s="217">
        <f t="shared" si="126"/>
        <v>850000</v>
      </c>
      <c r="CC55" s="217">
        <f t="shared" si="126"/>
        <v>2892100</v>
      </c>
      <c r="CD55" s="375">
        <f t="shared" si="126"/>
        <v>2542100</v>
      </c>
      <c r="CE55" s="375">
        <f t="shared" si="126"/>
        <v>350000</v>
      </c>
      <c r="CF55" s="217">
        <f t="shared" si="126"/>
        <v>21629513</v>
      </c>
      <c r="CG55" s="375">
        <f t="shared" si="126"/>
        <v>19079513</v>
      </c>
      <c r="CH55" s="375">
        <f t="shared" si="126"/>
        <v>2550000</v>
      </c>
      <c r="CI55" s="217">
        <f t="shared" si="126"/>
        <v>3228575</v>
      </c>
      <c r="CJ55" s="217">
        <f t="shared" si="126"/>
        <v>780000</v>
      </c>
      <c r="CK55" s="375">
        <f t="shared" ref="CK55:CM55" si="130">+CK52+CK53+CK16+CK54</f>
        <v>780000</v>
      </c>
      <c r="CL55" s="375">
        <f t="shared" si="130"/>
        <v>0</v>
      </c>
      <c r="CM55" s="217">
        <f t="shared" si="130"/>
        <v>5500000</v>
      </c>
      <c r="CN55" s="375"/>
      <c r="CO55" s="375"/>
      <c r="CP55" s="217">
        <f>+CP52+CP53+CP16+CP54</f>
        <v>80000</v>
      </c>
      <c r="CQ55" s="217">
        <f t="shared" ref="CQ55:CR55" si="131">+CQ52+CQ53+CQ16+CQ54</f>
        <v>80000</v>
      </c>
      <c r="CR55" s="217">
        <f t="shared" si="131"/>
        <v>0</v>
      </c>
      <c r="CS55" s="217">
        <f>+CS52+CS53+CS16+CS54</f>
        <v>500000</v>
      </c>
      <c r="CT55" s="217">
        <f t="shared" ref="CT55:CU55" si="132">+CT52+CT53+CT16+CT54</f>
        <v>500000</v>
      </c>
      <c r="CU55" s="217">
        <f t="shared" si="132"/>
        <v>0</v>
      </c>
      <c r="CV55" s="217">
        <f t="shared" ref="CV55:DZ55" si="133">+CV52+CV53+CV16+CV54</f>
        <v>1240000</v>
      </c>
      <c r="CW55" s="375">
        <f t="shared" si="133"/>
        <v>940000</v>
      </c>
      <c r="CX55" s="375">
        <f t="shared" si="133"/>
        <v>300000</v>
      </c>
      <c r="CY55" s="217">
        <f t="shared" si="133"/>
        <v>100000</v>
      </c>
      <c r="CZ55" s="217">
        <f t="shared" si="133"/>
        <v>6150000</v>
      </c>
      <c r="DA55" s="375">
        <f t="shared" si="133"/>
        <v>50000</v>
      </c>
      <c r="DB55" s="375">
        <f t="shared" si="133"/>
        <v>6100000</v>
      </c>
      <c r="DC55" s="217">
        <f t="shared" si="133"/>
        <v>0</v>
      </c>
      <c r="DD55" s="375">
        <f t="shared" si="133"/>
        <v>0</v>
      </c>
      <c r="DE55" s="375">
        <f t="shared" si="133"/>
        <v>0</v>
      </c>
      <c r="DF55" s="217">
        <f t="shared" si="133"/>
        <v>70000</v>
      </c>
      <c r="DG55" s="375">
        <f t="shared" si="133"/>
        <v>0</v>
      </c>
      <c r="DH55" s="375">
        <f t="shared" si="133"/>
        <v>70000</v>
      </c>
      <c r="DI55" s="217">
        <f t="shared" si="133"/>
        <v>34707</v>
      </c>
      <c r="DJ55" s="217">
        <f t="shared" si="133"/>
        <v>2150000</v>
      </c>
      <c r="DK55" s="375">
        <f t="shared" si="133"/>
        <v>600000</v>
      </c>
      <c r="DL55" s="375">
        <f t="shared" si="133"/>
        <v>0</v>
      </c>
      <c r="DM55" s="375">
        <f t="shared" si="133"/>
        <v>1550000</v>
      </c>
      <c r="DN55" s="217">
        <f t="shared" si="133"/>
        <v>355000</v>
      </c>
      <c r="DO55" s="217">
        <f t="shared" si="133"/>
        <v>0</v>
      </c>
      <c r="DP55" s="217">
        <f t="shared" si="133"/>
        <v>0</v>
      </c>
      <c r="DQ55" s="217">
        <f t="shared" si="133"/>
        <v>0</v>
      </c>
      <c r="DR55" s="217">
        <f t="shared" si="133"/>
        <v>0</v>
      </c>
      <c r="DS55" s="217">
        <f t="shared" si="133"/>
        <v>0</v>
      </c>
      <c r="DT55" s="217">
        <f t="shared" si="133"/>
        <v>0</v>
      </c>
      <c r="DU55" s="217">
        <f t="shared" si="133"/>
        <v>0</v>
      </c>
      <c r="DV55" s="375">
        <f t="shared" ref="DV55:DW55" si="134">+DV52+DV53+DV16+DV54</f>
        <v>0</v>
      </c>
      <c r="DW55" s="375">
        <f t="shared" si="134"/>
        <v>0</v>
      </c>
      <c r="DX55" s="217">
        <f t="shared" si="133"/>
        <v>0</v>
      </c>
      <c r="DY55" s="217">
        <f t="shared" si="133"/>
        <v>0</v>
      </c>
      <c r="DZ55" s="378">
        <f t="shared" si="133"/>
        <v>0</v>
      </c>
      <c r="EA55" s="190"/>
      <c r="EB55" s="337"/>
      <c r="EC55" s="338"/>
      <c r="ED55" s="374">
        <f>+ED52+ED53+ED16</f>
        <v>164357294.67473999</v>
      </c>
      <c r="EE55" s="338"/>
      <c r="EF55" s="374">
        <f>+EF52+EF53+EF16</f>
        <v>37659403</v>
      </c>
      <c r="EH55" s="322"/>
    </row>
    <row r="56" spans="1:138" outlineLevel="1" x14ac:dyDescent="0.25">
      <c r="A56" s="222"/>
      <c r="B56" s="205"/>
      <c r="C56" s="412"/>
      <c r="D56" s="412"/>
      <c r="E56" s="412"/>
      <c r="F56" s="412"/>
      <c r="G56" s="412"/>
      <c r="H56" s="413"/>
      <c r="I56" s="407"/>
      <c r="J56" s="407"/>
      <c r="K56" s="407"/>
      <c r="L56" s="407"/>
      <c r="M56" s="407"/>
      <c r="N56" s="407"/>
      <c r="O56" s="407"/>
      <c r="P56" s="407"/>
      <c r="Q56" s="407"/>
      <c r="R56" s="408"/>
      <c r="S56" s="409"/>
      <c r="T56" s="407"/>
      <c r="U56" s="410">
        <f t="shared" ref="U56:U64" si="135">+S56+AS56+CH56+CE56+CA56+DM56+AG56+AM56+AV56+BE56+BK56+BN56+BQ56+BT56+BW56+CL56+CX56+DB56+DE56+DH56+AJ56+DW56</f>
        <v>0</v>
      </c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8"/>
      <c r="AG56" s="408"/>
      <c r="AH56" s="407"/>
      <c r="AI56" s="408"/>
      <c r="AJ56" s="408"/>
      <c r="AK56" s="407"/>
      <c r="AL56" s="408"/>
      <c r="AM56" s="408"/>
      <c r="AN56" s="407"/>
      <c r="AO56" s="407"/>
      <c r="AP56" s="407"/>
      <c r="AQ56" s="407"/>
      <c r="AR56" s="408"/>
      <c r="AS56" s="408"/>
      <c r="AT56" s="407"/>
      <c r="AU56" s="408"/>
      <c r="AV56" s="408"/>
      <c r="AW56" s="407"/>
      <c r="AX56" s="408"/>
      <c r="AY56" s="408"/>
      <c r="AZ56" s="407"/>
      <c r="BA56" s="408"/>
      <c r="BB56" s="408"/>
      <c r="BC56" s="407"/>
      <c r="BD56" s="408"/>
      <c r="BE56" s="408"/>
      <c r="BF56" s="407"/>
      <c r="BG56" s="408"/>
      <c r="BH56" s="408"/>
      <c r="BI56" s="407"/>
      <c r="BJ56" s="408"/>
      <c r="BK56" s="408"/>
      <c r="BL56" s="407"/>
      <c r="BM56" s="408"/>
      <c r="BN56" s="408"/>
      <c r="BO56" s="407"/>
      <c r="BP56" s="408"/>
      <c r="BQ56" s="408"/>
      <c r="BR56" s="407"/>
      <c r="BS56" s="408"/>
      <c r="BT56" s="408"/>
      <c r="BU56" s="407"/>
      <c r="BV56" s="408"/>
      <c r="BW56" s="408"/>
      <c r="BX56" s="407"/>
      <c r="BY56" s="407"/>
      <c r="BZ56" s="408"/>
      <c r="CA56" s="408"/>
      <c r="CB56" s="407"/>
      <c r="CC56" s="407"/>
      <c r="CD56" s="408"/>
      <c r="CE56" s="408"/>
      <c r="CF56" s="407"/>
      <c r="CG56" s="408"/>
      <c r="CH56" s="408"/>
      <c r="CI56" s="407"/>
      <c r="CJ56" s="407"/>
      <c r="CK56" s="408"/>
      <c r="CL56" s="408"/>
      <c r="CM56" s="407"/>
      <c r="CN56" s="408"/>
      <c r="CO56" s="408"/>
      <c r="CP56" s="407"/>
      <c r="CQ56" s="408"/>
      <c r="CR56" s="408"/>
      <c r="CS56" s="407"/>
      <c r="CT56" s="408"/>
      <c r="CU56" s="408"/>
      <c r="CV56" s="407"/>
      <c r="CW56" s="408"/>
      <c r="CX56" s="408"/>
      <c r="CY56" s="407"/>
      <c r="CZ56" s="407"/>
      <c r="DA56" s="408"/>
      <c r="DB56" s="408"/>
      <c r="DC56" s="407"/>
      <c r="DD56" s="408"/>
      <c r="DE56" s="408"/>
      <c r="DF56" s="407"/>
      <c r="DG56" s="408"/>
      <c r="DH56" s="408"/>
      <c r="DI56" s="407"/>
      <c r="DJ56" s="407"/>
      <c r="DK56" s="408"/>
      <c r="DL56" s="408"/>
      <c r="DM56" s="408"/>
      <c r="DN56" s="407"/>
      <c r="DO56" s="407"/>
      <c r="DP56" s="407"/>
      <c r="DQ56" s="407"/>
      <c r="DR56" s="407"/>
      <c r="DS56" s="407"/>
      <c r="DT56" s="407"/>
      <c r="DU56" s="407"/>
      <c r="DV56" s="408"/>
      <c r="DW56" s="408"/>
      <c r="DX56" s="407"/>
      <c r="DY56" s="407"/>
      <c r="DZ56" s="411"/>
      <c r="EA56" s="190">
        <f t="shared" ref="EA56" si="136">+H56+I56+J56+L56+N56+O56+Q56+T56+U56+V56+X56+Y56+Z56+AB56+AC56+AD56+AE56+AH56+AK56+AN56+AO56+AP56+AQ56+AT56+BC56+BI56+BL56+BO56+BR56+BU56+BX56+BY56+CB56+CC56+CF56+CI56+CJ56+CM56+CP56+CS56+CV56+CY56+CZ56+DC56+DF56+DI56+DJ56+DN56+DO56+DP56+DQ56+DR56+DT56+DU56+DX56+DY56+DZ56+BF56+AZ56+AW56+AA56-U56</f>
        <v>0</v>
      </c>
      <c r="EB56" s="337">
        <f>EA56-G56</f>
        <v>0</v>
      </c>
      <c r="EC56" s="338"/>
      <c r="ED56" s="399"/>
      <c r="EE56" s="338">
        <f t="shared" si="7"/>
        <v>0</v>
      </c>
      <c r="EF56" s="399"/>
      <c r="EH56" s="322"/>
    </row>
    <row r="57" spans="1:138" outlineLevel="1" x14ac:dyDescent="0.25">
      <c r="A57" s="414">
        <v>6111</v>
      </c>
      <c r="B57" s="398" t="s">
        <v>90</v>
      </c>
      <c r="C57" s="369">
        <v>0</v>
      </c>
      <c r="D57" s="369">
        <v>0</v>
      </c>
      <c r="E57" s="369">
        <v>0</v>
      </c>
      <c r="F57" s="369">
        <v>0</v>
      </c>
      <c r="G57" s="369">
        <f t="shared" ref="G57:G64" si="137">SUM(H57:Q57)+SUM(V57:AE57)+AH57+AK57+SUM(AN57:AQ57)+AT57+BC57+BI57+BL57+BO57+BR57+BU57+BX57+BY57+CB57+CC57+CF57+SUM(CI57:CJ57)+CS57+CV57+CY57+CZ57+DC57+DF57+DI57+DJ57+SUM(DN57:DU57)+CM57+CP57+SUM(DX57:DZ57)+T57+AW57+AZ57+BF57</f>
        <v>0</v>
      </c>
      <c r="H57" s="234"/>
      <c r="I57" s="155"/>
      <c r="J57" s="155"/>
      <c r="K57" s="155"/>
      <c r="L57" s="155"/>
      <c r="M57" s="155"/>
      <c r="N57" s="155"/>
      <c r="O57" s="155"/>
      <c r="P57" s="155"/>
      <c r="Q57" s="155">
        <f t="shared" ref="Q57:Q68" si="138">+R57+S57</f>
        <v>0</v>
      </c>
      <c r="R57" s="370">
        <f>+[3]Správa!$B$125</f>
        <v>0</v>
      </c>
      <c r="S57" s="371"/>
      <c r="T57" s="155"/>
      <c r="U57" s="380">
        <f t="shared" si="135"/>
        <v>0</v>
      </c>
      <c r="V57" s="155"/>
      <c r="W57" s="155"/>
      <c r="X57" s="155"/>
      <c r="Y57" s="155"/>
      <c r="Z57" s="155"/>
      <c r="AA57" s="155"/>
      <c r="AB57" s="155"/>
      <c r="AC57" s="155"/>
      <c r="AD57" s="155"/>
      <c r="AE57" s="155">
        <f t="shared" ref="AE57:AE68" si="139">+AF57+AG57</f>
        <v>0</v>
      </c>
      <c r="AF57" s="370"/>
      <c r="AG57" s="370"/>
      <c r="AH57" s="155">
        <f t="shared" ref="AH57:AH68" si="140">+AI57+AJ57</f>
        <v>0</v>
      </c>
      <c r="AI57" s="370"/>
      <c r="AJ57" s="370"/>
      <c r="AK57" s="155">
        <f t="shared" ref="AK57:AK68" si="141">+AL57+AM57</f>
        <v>0</v>
      </c>
      <c r="AL57" s="370"/>
      <c r="AM57" s="370"/>
      <c r="AN57" s="155"/>
      <c r="AO57" s="155"/>
      <c r="AP57" s="155"/>
      <c r="AQ57" s="155">
        <f t="shared" ref="AQ57:AQ68" si="142">+AR57+AS57</f>
        <v>0</v>
      </c>
      <c r="AR57" s="370"/>
      <c r="AS57" s="370"/>
      <c r="AT57" s="155">
        <f t="shared" ref="AT57:AT68" si="143">+AU57+AV57</f>
        <v>0</v>
      </c>
      <c r="AU57" s="370"/>
      <c r="AV57" s="370"/>
      <c r="AW57" s="155">
        <f t="shared" ref="AW57:AW64" si="144">+AX57+AY57</f>
        <v>0</v>
      </c>
      <c r="AX57" s="370"/>
      <c r="AY57" s="370"/>
      <c r="AZ57" s="155">
        <f t="shared" ref="AZ57:AZ64" si="145">+BA57+BB57</f>
        <v>0</v>
      </c>
      <c r="BA57" s="370"/>
      <c r="BB57" s="370"/>
      <c r="BC57" s="155">
        <f t="shared" ref="BC57:BC68" si="146">+BD57+BE57</f>
        <v>0</v>
      </c>
      <c r="BD57" s="370"/>
      <c r="BE57" s="370"/>
      <c r="BF57" s="155">
        <f t="shared" ref="BF57:BF64" si="147">+BG57+BH57</f>
        <v>0</v>
      </c>
      <c r="BG57" s="370"/>
      <c r="BH57" s="370"/>
      <c r="BI57" s="155">
        <f t="shared" ref="BI57:BI68" si="148">+BJ57+BK57</f>
        <v>0</v>
      </c>
      <c r="BJ57" s="370"/>
      <c r="BK57" s="370"/>
      <c r="BL57" s="155">
        <f t="shared" ref="BL57:BL68" si="149">+BM57+BN57</f>
        <v>0</v>
      </c>
      <c r="BM57" s="370"/>
      <c r="BN57" s="370"/>
      <c r="BO57" s="155">
        <f t="shared" ref="BO57:BO68" si="150">+BP57+BQ57</f>
        <v>0</v>
      </c>
      <c r="BP57" s="370"/>
      <c r="BQ57" s="370"/>
      <c r="BR57" s="155">
        <f t="shared" ref="BR57:BR68" si="151">+BS57+BT57</f>
        <v>0</v>
      </c>
      <c r="BS57" s="370"/>
      <c r="BT57" s="370"/>
      <c r="BU57" s="155">
        <f t="shared" ref="BU57:BU68" si="152">+BV57+BW57</f>
        <v>0</v>
      </c>
      <c r="BV57" s="370"/>
      <c r="BW57" s="370"/>
      <c r="BX57" s="155"/>
      <c r="BY57" s="155">
        <f t="shared" ref="BY57:BY68" si="153">+BZ57+CA57</f>
        <v>0</v>
      </c>
      <c r="BZ57" s="370"/>
      <c r="CA57" s="370"/>
      <c r="CB57" s="155"/>
      <c r="CC57" s="155">
        <f t="shared" ref="CC57:CC68" si="154">+CD57+CE57</f>
        <v>0</v>
      </c>
      <c r="CD57" s="370"/>
      <c r="CE57" s="370"/>
      <c r="CF57" s="155">
        <f t="shared" ref="CF57:CF68" si="155">+CG57+CH57</f>
        <v>0</v>
      </c>
      <c r="CG57" s="370"/>
      <c r="CH57" s="370"/>
      <c r="CI57" s="155"/>
      <c r="CJ57" s="155">
        <f t="shared" ref="CJ57:CJ68" si="156">+CK57+CL57</f>
        <v>0</v>
      </c>
      <c r="CK57" s="370"/>
      <c r="CL57" s="370"/>
      <c r="CM57" s="155"/>
      <c r="CN57" s="370"/>
      <c r="CO57" s="370"/>
      <c r="CP57" s="155"/>
      <c r="CQ57" s="370"/>
      <c r="CR57" s="370"/>
      <c r="CS57" s="155"/>
      <c r="CT57" s="370"/>
      <c r="CU57" s="370"/>
      <c r="CV57" s="155">
        <f t="shared" ref="CV57:CV68" si="157">+CW57+CX57</f>
        <v>0</v>
      </c>
      <c r="CW57" s="370"/>
      <c r="CX57" s="370"/>
      <c r="CY57" s="155"/>
      <c r="CZ57" s="155">
        <f t="shared" ref="CZ57:CZ68" si="158">+DA57+DB57</f>
        <v>0</v>
      </c>
      <c r="DA57" s="370"/>
      <c r="DB57" s="370"/>
      <c r="DC57" s="155">
        <f t="shared" ref="DC57:DC68" si="159">+DD57+DE57</f>
        <v>0</v>
      </c>
      <c r="DD57" s="370"/>
      <c r="DE57" s="370"/>
      <c r="DF57" s="155">
        <f t="shared" ref="DF57:DF68" si="160">+DG57+DH57</f>
        <v>0</v>
      </c>
      <c r="DG57" s="370"/>
      <c r="DH57" s="370"/>
      <c r="DI57" s="155"/>
      <c r="DJ57" s="155">
        <f t="shared" ref="DJ57:DJ68" si="161">+DK57+DL57+DM57</f>
        <v>0</v>
      </c>
      <c r="DK57" s="370"/>
      <c r="DL57" s="370"/>
      <c r="DM57" s="370"/>
      <c r="DN57" s="155"/>
      <c r="DO57" s="155"/>
      <c r="DP57" s="155"/>
      <c r="DQ57" s="155"/>
      <c r="DR57" s="155"/>
      <c r="DS57" s="155"/>
      <c r="DT57" s="155"/>
      <c r="DU57" s="155"/>
      <c r="DV57" s="370"/>
      <c r="DW57" s="370"/>
      <c r="DX57" s="155"/>
      <c r="DY57" s="155"/>
      <c r="DZ57" s="373"/>
      <c r="EA57" s="190">
        <f t="shared" ref="EA57:EA68" si="162">+H57+I57+J57+L57+N57+O57+Q57+T57+U57+V57+X57+Y57+Z57+AB57+AC57+AD57+AE57+AH57+AK57+AN57+AO57+AP57+AQ57+AT57+BC57+BI57+BL57+BO57+BR57+BU57+BX57+BY57+CB57+CC57+CF57+CI57+CJ57+CM57+CP57+CS57+CV57+CY57+CZ57+DC57+DF57+DI57+DJ57+DN57+DO57+DP57+DQ57+DR57+DT57+DU57+DX57+DY57+DZ57+BF57+AZ57+AW57+AA57-U57+K57+M57+W57</f>
        <v>0</v>
      </c>
      <c r="EB57" s="337">
        <f>EA57-G57</f>
        <v>0</v>
      </c>
      <c r="EC57" s="338"/>
      <c r="ED57" s="369">
        <f t="shared" ref="ED57:ED68" si="163">+G57-EF57</f>
        <v>0</v>
      </c>
      <c r="EE57" s="338">
        <f t="shared" si="7"/>
        <v>0</v>
      </c>
      <c r="EF57" s="369">
        <f t="shared" ref="EF57:EF68" si="164">+S57+AG57+AJ57++AM57+AS57+AV57+BE57+BK57+BN57+BQ57+BT57+BW57+CA57+CE57+CH57+CL57+CX57+DB57+DE57+DH57+DM57</f>
        <v>0</v>
      </c>
      <c r="EH57" s="322"/>
    </row>
    <row r="58" spans="1:138" outlineLevel="1" x14ac:dyDescent="0.25">
      <c r="A58" s="222">
        <v>6121</v>
      </c>
      <c r="B58" s="205" t="s">
        <v>105</v>
      </c>
      <c r="C58" s="369">
        <v>59585267</v>
      </c>
      <c r="D58" s="369">
        <v>56426000</v>
      </c>
      <c r="E58" s="369">
        <v>60526000</v>
      </c>
      <c r="F58" s="369">
        <v>62948999.57</v>
      </c>
      <c r="G58" s="369">
        <f>SUM(H58:Q58)+SUM(V58:AE58)+AH58+AK58+SUM(AN58:AQ58)+AT58+BC58+BI58+BL58+BO58+BR58+BU58+BX58+BY58+CB58+CC58+CF58+SUM(CI58:CJ58)+CS58+CV58+CY58+CZ58+DC58+DF58+DI58+DJ58+SUM(DN58:DU58)+CM58+CP58+SUM(DX58:DZ58)+T58+AW58+AZ58+BF58</f>
        <v>34312940</v>
      </c>
      <c r="H58" s="234"/>
      <c r="I58" s="155"/>
      <c r="J58" s="155"/>
      <c r="K58" s="155"/>
      <c r="L58" s="155">
        <f>+'[2]Všebecná pokladna'!$B$92</f>
        <v>7560000</v>
      </c>
      <c r="M58" s="155"/>
      <c r="N58" s="155"/>
      <c r="O58" s="155"/>
      <c r="P58" s="155"/>
      <c r="Q58" s="155">
        <f t="shared" si="138"/>
        <v>0</v>
      </c>
      <c r="R58" s="370"/>
      <c r="S58" s="371"/>
      <c r="T58" s="155"/>
      <c r="U58" s="381">
        <f t="shared" si="135"/>
        <v>0</v>
      </c>
      <c r="V58" s="155"/>
      <c r="W58" s="155"/>
      <c r="X58" s="155"/>
      <c r="Y58" s="155"/>
      <c r="Z58" s="155"/>
      <c r="AA58" s="155">
        <f>+'[5]Hotel Budka'!$B$4</f>
        <v>0</v>
      </c>
      <c r="AB58" s="155">
        <f>+[4]Knihovna!$B$35+[4]Knihovna!$B$36</f>
        <v>250000</v>
      </c>
      <c r="AC58" s="155"/>
      <c r="AD58" s="155"/>
      <c r="AE58" s="155">
        <f t="shared" ref="AE58:AE60" si="165">+AF58+AG58</f>
        <v>2400000</v>
      </c>
      <c r="AF58" s="370">
        <f>+[5]Byty!$B$4</f>
        <v>2400000</v>
      </c>
      <c r="AG58" s="370"/>
      <c r="AH58" s="160">
        <f t="shared" si="140"/>
        <v>0</v>
      </c>
      <c r="AI58" s="177">
        <f>+[4]DPS!$B$49</f>
        <v>0</v>
      </c>
      <c r="AJ58" s="177"/>
      <c r="AK58" s="160">
        <f t="shared" si="141"/>
        <v>3139000</v>
      </c>
      <c r="AL58" s="177">
        <f>+[5]Nebyty!$B$4</f>
        <v>3139000</v>
      </c>
      <c r="AM58" s="177"/>
      <c r="AN58" s="155">
        <f>+[4]Hasiči!$B$40</f>
        <v>0</v>
      </c>
      <c r="AO58" s="155">
        <f>+'[4]Zdrav. středisko'!$B$18</f>
        <v>1500000</v>
      </c>
      <c r="AP58" s="155"/>
      <c r="AQ58" s="155">
        <f t="shared" si="142"/>
        <v>0</v>
      </c>
      <c r="AR58" s="370">
        <f>+[4]Hřbitov!$B$34</f>
        <v>0</v>
      </c>
      <c r="AS58" s="370"/>
      <c r="AT58" s="336">
        <f t="shared" si="143"/>
        <v>4600000</v>
      </c>
      <c r="AU58" s="370">
        <f>+[5]Koupaliště!$B$4+[4]koupaliště!$B$28</f>
        <v>4600000</v>
      </c>
      <c r="AV58" s="370"/>
      <c r="AW58" s="336">
        <f t="shared" si="144"/>
        <v>0</v>
      </c>
      <c r="AX58" s="370">
        <f>+[5]Hřiště!$B$4</f>
        <v>0</v>
      </c>
      <c r="AY58" s="370"/>
      <c r="AZ58" s="336">
        <f t="shared" si="145"/>
        <v>0</v>
      </c>
      <c r="BA58" s="370"/>
      <c r="BB58" s="370"/>
      <c r="BC58" s="155">
        <f t="shared" si="146"/>
        <v>315000</v>
      </c>
      <c r="BD58" s="370">
        <f>+[5]ZŠ!$B$4</f>
        <v>315000</v>
      </c>
      <c r="BE58" s="370"/>
      <c r="BF58" s="155">
        <f t="shared" si="147"/>
        <v>4400000</v>
      </c>
      <c r="BG58" s="370">
        <f>+[5]Sv.Š!$B$4</f>
        <v>4400000</v>
      </c>
      <c r="BH58" s="370"/>
      <c r="BI58" s="155">
        <f t="shared" si="148"/>
        <v>0</v>
      </c>
      <c r="BJ58" s="370">
        <f>+'[5]Č.p. 65'!$B$4</f>
        <v>0</v>
      </c>
      <c r="BK58" s="370"/>
      <c r="BL58" s="155">
        <f t="shared" si="149"/>
        <v>0</v>
      </c>
      <c r="BM58" s="370"/>
      <c r="BN58" s="370"/>
      <c r="BO58" s="155">
        <f t="shared" si="150"/>
        <v>0</v>
      </c>
      <c r="BP58" s="370">
        <f>+'[5]MŠ Pražská'!$B$4</f>
        <v>0</v>
      </c>
      <c r="BQ58" s="370"/>
      <c r="BR58" s="155">
        <f t="shared" si="151"/>
        <v>0</v>
      </c>
      <c r="BS58" s="370"/>
      <c r="BT58" s="370"/>
      <c r="BU58" s="155">
        <f t="shared" si="152"/>
        <v>0</v>
      </c>
      <c r="BV58" s="370">
        <f>+'[5]Jídelna ZŠ'!$B$3</f>
        <v>0</v>
      </c>
      <c r="BW58" s="370"/>
      <c r="BX58" s="155"/>
      <c r="BY58" s="336">
        <f t="shared" si="153"/>
        <v>130000</v>
      </c>
      <c r="BZ58" s="370">
        <f>+'[5]MŠ Cukrovar'!$B$4</f>
        <v>130000</v>
      </c>
      <c r="CA58" s="370"/>
      <c r="CB58" s="155"/>
      <c r="CC58" s="155">
        <f t="shared" si="154"/>
        <v>592000</v>
      </c>
      <c r="CD58" s="382">
        <f>+[4]VO!$B$37</f>
        <v>592000</v>
      </c>
      <c r="CE58" s="370">
        <v>0</v>
      </c>
      <c r="CF58" s="336">
        <f t="shared" si="155"/>
        <v>463000</v>
      </c>
      <c r="CG58" s="370">
        <f>+'[5]Silnice stavba'!$B$4</f>
        <v>463000</v>
      </c>
      <c r="CH58" s="370"/>
      <c r="CI58" s="155"/>
      <c r="CJ58" s="155">
        <f t="shared" si="156"/>
        <v>350000</v>
      </c>
      <c r="CK58" s="370">
        <f>+[5]Vodovod!$B$4</f>
        <v>350000</v>
      </c>
      <c r="CL58" s="370"/>
      <c r="CM58" s="155"/>
      <c r="CN58" s="370"/>
      <c r="CO58" s="370"/>
      <c r="CP58" s="155">
        <f>+CQ58+CR58</f>
        <v>8563940</v>
      </c>
      <c r="CQ58" s="370">
        <f>+[5]Kanalizace!$B$4</f>
        <v>8563940</v>
      </c>
      <c r="CR58" s="370"/>
      <c r="CS58" s="155"/>
      <c r="CT58" s="370"/>
      <c r="CU58" s="370"/>
      <c r="CV58" s="155">
        <f t="shared" si="157"/>
        <v>50000</v>
      </c>
      <c r="CW58" s="370">
        <f>+'[5]Inženýrské sítě'!$B$4</f>
        <v>50000</v>
      </c>
      <c r="CX58" s="370"/>
      <c r="CY58" s="155"/>
      <c r="CZ58" s="155">
        <f t="shared" si="158"/>
        <v>0</v>
      </c>
      <c r="DA58" s="370"/>
      <c r="DB58" s="370"/>
      <c r="DC58" s="155">
        <f t="shared" si="159"/>
        <v>0</v>
      </c>
      <c r="DD58" s="370"/>
      <c r="DE58" s="370"/>
      <c r="DF58" s="155">
        <f t="shared" si="160"/>
        <v>0</v>
      </c>
      <c r="DG58" s="370"/>
      <c r="DH58" s="370"/>
      <c r="DI58" s="155">
        <f>+'[6]Povodeň 3744'!$B$29</f>
        <v>0</v>
      </c>
      <c r="DJ58" s="155">
        <f t="shared" si="161"/>
        <v>0</v>
      </c>
      <c r="DK58" s="370"/>
      <c r="DL58" s="370"/>
      <c r="DM58" s="370"/>
      <c r="DN58" s="155"/>
      <c r="DO58" s="155"/>
      <c r="DP58" s="155"/>
      <c r="DQ58" s="155"/>
      <c r="DR58" s="155"/>
      <c r="DS58" s="155"/>
      <c r="DT58" s="155"/>
      <c r="DU58" s="370">
        <f>+DV58+DW58</f>
        <v>0</v>
      </c>
      <c r="DV58" s="370">
        <f>+'[5]Sběrný dvůr'!$B$4</f>
        <v>0</v>
      </c>
      <c r="DW58" s="370"/>
      <c r="DX58" s="155">
        <f>+[5]Pošembeří!$B$4</f>
        <v>0</v>
      </c>
      <c r="DY58" s="155">
        <f>+[5]Cyklostezky!$B$4</f>
        <v>0</v>
      </c>
      <c r="DZ58" s="373"/>
      <c r="EA58" s="190">
        <f t="shared" si="162"/>
        <v>34312940</v>
      </c>
      <c r="EB58" s="337">
        <f>EA58-G58</f>
        <v>0</v>
      </c>
      <c r="EC58" s="338"/>
      <c r="ED58" s="369">
        <f t="shared" si="163"/>
        <v>34312940</v>
      </c>
      <c r="EE58" s="338">
        <f t="shared" si="7"/>
        <v>0</v>
      </c>
      <c r="EF58" s="369">
        <f>+S58+AG58+AJ58++AM58+AS58+AV58+BE58+BK58+BN58+BQ58+BT58+BW58+CA58+CE58+CH58+CL58+CX58+DB58+DE58+DH58+DM58</f>
        <v>0</v>
      </c>
      <c r="EH58" s="322"/>
    </row>
    <row r="59" spans="1:138" outlineLevel="1" x14ac:dyDescent="0.25">
      <c r="A59" s="222">
        <v>6121</v>
      </c>
      <c r="B59" s="205" t="s">
        <v>106</v>
      </c>
      <c r="C59" s="369">
        <v>8203550</v>
      </c>
      <c r="D59" s="369">
        <v>8203550</v>
      </c>
      <c r="E59" s="369">
        <v>8503550</v>
      </c>
      <c r="F59" s="369">
        <v>8503550</v>
      </c>
      <c r="G59" s="369">
        <f t="shared" si="137"/>
        <v>8535343</v>
      </c>
      <c r="H59" s="234"/>
      <c r="I59" s="155"/>
      <c r="J59" s="155"/>
      <c r="K59" s="155"/>
      <c r="L59" s="155">
        <f>+'[2]Všebecná pokladna'!$B$72</f>
        <v>0</v>
      </c>
      <c r="M59" s="155">
        <f>+'[4]Particitivní rozpočet'!$B$89</f>
        <v>0</v>
      </c>
      <c r="N59" s="155"/>
      <c r="O59" s="155"/>
      <c r="P59" s="155"/>
      <c r="Q59" s="155">
        <f t="shared" si="138"/>
        <v>0</v>
      </c>
      <c r="R59" s="370"/>
      <c r="S59" s="371"/>
      <c r="T59" s="155"/>
      <c r="U59" s="380">
        <f t="shared" si="135"/>
        <v>0</v>
      </c>
      <c r="V59" s="155"/>
      <c r="W59" s="155"/>
      <c r="X59" s="155"/>
      <c r="Y59" s="155"/>
      <c r="Z59" s="155"/>
      <c r="AA59" s="155">
        <f>+'[5]Hotel Budka'!$B$5</f>
        <v>600000</v>
      </c>
      <c r="AB59" s="155">
        <f>+[4]Knihovna!$B$34</f>
        <v>30000</v>
      </c>
      <c r="AC59" s="155"/>
      <c r="AD59" s="155"/>
      <c r="AE59" s="155">
        <f t="shared" si="165"/>
        <v>0</v>
      </c>
      <c r="AF59" s="370">
        <f>+[5]Byty!$B$5</f>
        <v>0</v>
      </c>
      <c r="AG59" s="370"/>
      <c r="AH59" s="160">
        <f t="shared" si="140"/>
        <v>0</v>
      </c>
      <c r="AI59" s="177"/>
      <c r="AJ59" s="177"/>
      <c r="AK59" s="160">
        <f t="shared" si="141"/>
        <v>0</v>
      </c>
      <c r="AL59" s="370">
        <f>+[5]Nebyty!$B$5</f>
        <v>0</v>
      </c>
      <c r="AM59" s="177"/>
      <c r="AN59" s="155"/>
      <c r="AO59" s="155"/>
      <c r="AP59" s="155"/>
      <c r="AQ59" s="155">
        <f t="shared" si="142"/>
        <v>0</v>
      </c>
      <c r="AR59" s="370">
        <f>+[4]Hřbitov!$B$33</f>
        <v>0</v>
      </c>
      <c r="AS59" s="370"/>
      <c r="AT59" s="155">
        <f t="shared" si="143"/>
        <v>60000</v>
      </c>
      <c r="AU59" s="370">
        <f>+[5]Koupaliště!$B$5</f>
        <v>60000</v>
      </c>
      <c r="AV59" s="370"/>
      <c r="AW59" s="155">
        <f t="shared" si="144"/>
        <v>0</v>
      </c>
      <c r="AX59" s="370">
        <f>+[5]Hřiště!$B$5</f>
        <v>0</v>
      </c>
      <c r="AY59" s="370"/>
      <c r="AZ59" s="155">
        <f t="shared" si="145"/>
        <v>0</v>
      </c>
      <c r="BA59" s="370"/>
      <c r="BB59" s="370"/>
      <c r="BC59" s="155">
        <f t="shared" si="146"/>
        <v>0</v>
      </c>
      <c r="BD59" s="370">
        <f>+[5]ZŠ!$B$5</f>
        <v>0</v>
      </c>
      <c r="BE59" s="370"/>
      <c r="BF59" s="155">
        <f t="shared" si="147"/>
        <v>0</v>
      </c>
      <c r="BG59" s="370"/>
      <c r="BH59" s="370"/>
      <c r="BI59" s="155">
        <f t="shared" si="148"/>
        <v>0</v>
      </c>
      <c r="BJ59" s="370">
        <f>+'[5]Č.p. 65'!$B$5</f>
        <v>0</v>
      </c>
      <c r="BK59" s="370"/>
      <c r="BL59" s="155">
        <f t="shared" si="149"/>
        <v>0</v>
      </c>
      <c r="BM59" s="370"/>
      <c r="BN59" s="370"/>
      <c r="BO59" s="155">
        <f t="shared" si="150"/>
        <v>0</v>
      </c>
      <c r="BP59" s="370">
        <f>+'[5]MŠ Pražská'!$B$5</f>
        <v>0</v>
      </c>
      <c r="BQ59" s="370"/>
      <c r="BR59" s="155">
        <f t="shared" si="151"/>
        <v>0</v>
      </c>
      <c r="BS59" s="370"/>
      <c r="BT59" s="370"/>
      <c r="BU59" s="155">
        <f t="shared" si="152"/>
        <v>0</v>
      </c>
      <c r="BV59" s="370">
        <f>+'[5]Jídelna ZŠ'!$B$4</f>
        <v>0</v>
      </c>
      <c r="BW59" s="370"/>
      <c r="BX59" s="155"/>
      <c r="BY59" s="155">
        <f t="shared" si="153"/>
        <v>300000</v>
      </c>
      <c r="BZ59" s="370">
        <f>+'[5]MŠ Cukrovar'!$B$5</f>
        <v>300000</v>
      </c>
      <c r="CA59" s="370"/>
      <c r="CB59" s="155">
        <f>'[6]Územní plán 3635'!$B$29</f>
        <v>913550</v>
      </c>
      <c r="CC59" s="155">
        <f t="shared" si="154"/>
        <v>0</v>
      </c>
      <c r="CD59" s="370"/>
      <c r="CE59" s="370"/>
      <c r="CF59" s="155">
        <f t="shared" si="155"/>
        <v>2950000</v>
      </c>
      <c r="CG59" s="370">
        <f>+'[5]Silnice stavba'!$B$5</f>
        <v>2950000</v>
      </c>
      <c r="CH59" s="370"/>
      <c r="CI59" s="155"/>
      <c r="CJ59" s="155">
        <f t="shared" si="156"/>
        <v>0</v>
      </c>
      <c r="CK59" s="370">
        <f>+[5]Vodovod!$B$5</f>
        <v>0</v>
      </c>
      <c r="CL59" s="370"/>
      <c r="CM59" s="155"/>
      <c r="CN59" s="370"/>
      <c r="CO59" s="370"/>
      <c r="CP59" s="155">
        <f t="shared" ref="CP59" si="166">+CQ59+CR59</f>
        <v>3500000</v>
      </c>
      <c r="CQ59" s="370">
        <f>[5]Kanalizace!$B$5</f>
        <v>3500000</v>
      </c>
      <c r="CR59" s="370"/>
      <c r="CS59" s="155"/>
      <c r="CT59" s="370"/>
      <c r="CU59" s="370"/>
      <c r="CV59" s="155">
        <f t="shared" si="157"/>
        <v>31793</v>
      </c>
      <c r="CW59" s="370">
        <f>+'[5]Inženýrské sítě'!$B$5+'[6]Inženýrské sítě 3633'!$B$11</f>
        <v>31793</v>
      </c>
      <c r="CX59" s="370"/>
      <c r="CY59" s="155"/>
      <c r="CZ59" s="155">
        <f t="shared" si="158"/>
        <v>0</v>
      </c>
      <c r="DA59" s="370"/>
      <c r="DB59" s="370"/>
      <c r="DC59" s="155">
        <f t="shared" si="159"/>
        <v>0</v>
      </c>
      <c r="DD59" s="370"/>
      <c r="DE59" s="370"/>
      <c r="DF59" s="155">
        <f t="shared" si="160"/>
        <v>0</v>
      </c>
      <c r="DG59" s="370"/>
      <c r="DH59" s="370"/>
      <c r="DI59" s="155"/>
      <c r="DJ59" s="155">
        <f t="shared" si="161"/>
        <v>150000</v>
      </c>
      <c r="DK59" s="370">
        <f>'[6]Příroda 3749'!$B$24</f>
        <v>150000</v>
      </c>
      <c r="DL59" s="370"/>
      <c r="DM59" s="370"/>
      <c r="DN59" s="155">
        <f>'[6]Rybníky 3749-2'!$B$21</f>
        <v>0</v>
      </c>
      <c r="DO59" s="155"/>
      <c r="DP59" s="155"/>
      <c r="DQ59" s="155"/>
      <c r="DR59" s="155"/>
      <c r="DS59" s="155"/>
      <c r="DT59" s="155"/>
      <c r="DU59" s="370">
        <f t="shared" ref="DU59:DU60" si="167">+DV59+DW59</f>
        <v>0</v>
      </c>
      <c r="DV59" s="370">
        <f>+'[5]Sběrný dvůr'!$B$5</f>
        <v>0</v>
      </c>
      <c r="DW59" s="370"/>
      <c r="DX59" s="155">
        <f>+[5]Pošembeří!$B$5</f>
        <v>0</v>
      </c>
      <c r="DY59" s="155">
        <f>+[5]Cyklostezky!$B$5</f>
        <v>0</v>
      </c>
      <c r="DZ59" s="373"/>
      <c r="EA59" s="190">
        <f t="shared" si="162"/>
        <v>8535343</v>
      </c>
      <c r="EB59" s="337">
        <f t="shared" si="75"/>
        <v>0</v>
      </c>
      <c r="EC59" s="338"/>
      <c r="ED59" s="369">
        <f t="shared" si="163"/>
        <v>8535343</v>
      </c>
      <c r="EE59" s="338">
        <f t="shared" si="7"/>
        <v>0</v>
      </c>
      <c r="EF59" s="369">
        <f t="shared" si="164"/>
        <v>0</v>
      </c>
      <c r="EH59" s="322"/>
    </row>
    <row r="60" spans="1:138" hidden="1" outlineLevel="1" x14ac:dyDescent="0.25">
      <c r="A60" s="222">
        <v>6122</v>
      </c>
      <c r="B60" s="205" t="s">
        <v>107</v>
      </c>
      <c r="C60" s="369">
        <v>0</v>
      </c>
      <c r="D60" s="369">
        <v>0</v>
      </c>
      <c r="E60" s="369">
        <v>0</v>
      </c>
      <c r="F60" s="369">
        <v>0</v>
      </c>
      <c r="G60" s="369">
        <f t="shared" si="137"/>
        <v>0</v>
      </c>
      <c r="H60" s="234"/>
      <c r="I60" s="155"/>
      <c r="J60" s="155"/>
      <c r="K60" s="155"/>
      <c r="L60" s="155"/>
      <c r="M60" s="155"/>
      <c r="N60" s="155"/>
      <c r="O60" s="155"/>
      <c r="P60" s="155"/>
      <c r="Q60" s="155">
        <f t="shared" si="138"/>
        <v>0</v>
      </c>
      <c r="R60" s="370">
        <f>+[3]Správa!$B$132</f>
        <v>0</v>
      </c>
      <c r="S60" s="371"/>
      <c r="T60" s="155"/>
      <c r="U60" s="380">
        <f t="shared" si="135"/>
        <v>0</v>
      </c>
      <c r="V60" s="155"/>
      <c r="W60" s="155"/>
      <c r="X60" s="155"/>
      <c r="Y60" s="155"/>
      <c r="Z60" s="155"/>
      <c r="AA60" s="155"/>
      <c r="AB60" s="155"/>
      <c r="AC60" s="155"/>
      <c r="AD60" s="155"/>
      <c r="AE60" s="155">
        <f t="shared" si="165"/>
        <v>0</v>
      </c>
      <c r="AF60" s="370"/>
      <c r="AG60" s="370"/>
      <c r="AH60" s="155">
        <f t="shared" si="140"/>
        <v>0</v>
      </c>
      <c r="AI60" s="370"/>
      <c r="AJ60" s="370"/>
      <c r="AK60" s="155">
        <f t="shared" si="141"/>
        <v>0</v>
      </c>
      <c r="AL60" s="370"/>
      <c r="AM60" s="370"/>
      <c r="AN60" s="155">
        <f>[3]Hasiči!$B$82</f>
        <v>0</v>
      </c>
      <c r="AO60" s="155"/>
      <c r="AP60" s="155"/>
      <c r="AQ60" s="155">
        <f t="shared" si="142"/>
        <v>0</v>
      </c>
      <c r="AR60" s="370"/>
      <c r="AS60" s="370"/>
      <c r="AT60" s="155">
        <f t="shared" si="143"/>
        <v>0</v>
      </c>
      <c r="AU60" s="370"/>
      <c r="AV60" s="370"/>
      <c r="AW60" s="155">
        <f t="shared" si="144"/>
        <v>0</v>
      </c>
      <c r="AX60" s="370"/>
      <c r="AY60" s="370"/>
      <c r="AZ60" s="155">
        <f t="shared" si="145"/>
        <v>0</v>
      </c>
      <c r="BA60" s="370"/>
      <c r="BB60" s="370"/>
      <c r="BC60" s="155">
        <f t="shared" si="146"/>
        <v>0</v>
      </c>
      <c r="BD60" s="370"/>
      <c r="BE60" s="370"/>
      <c r="BF60" s="155">
        <f t="shared" si="147"/>
        <v>0</v>
      </c>
      <c r="BG60" s="370"/>
      <c r="BH60" s="370"/>
      <c r="BI60" s="155">
        <f t="shared" si="148"/>
        <v>0</v>
      </c>
      <c r="BJ60" s="370">
        <f>[3]č.p.65!$B$46</f>
        <v>0</v>
      </c>
      <c r="BK60" s="370"/>
      <c r="BL60" s="155">
        <f t="shared" si="149"/>
        <v>0</v>
      </c>
      <c r="BM60" s="370"/>
      <c r="BN60" s="370"/>
      <c r="BO60" s="155">
        <f t="shared" si="150"/>
        <v>0</v>
      </c>
      <c r="BP60" s="370"/>
      <c r="BQ60" s="370"/>
      <c r="BR60" s="155">
        <f t="shared" si="151"/>
        <v>0</v>
      </c>
      <c r="BS60" s="370"/>
      <c r="BT60" s="370"/>
      <c r="BU60" s="155">
        <f t="shared" si="152"/>
        <v>0</v>
      </c>
      <c r="BV60" s="370"/>
      <c r="BW60" s="370"/>
      <c r="BX60" s="155"/>
      <c r="BY60" s="155">
        <f t="shared" si="153"/>
        <v>0</v>
      </c>
      <c r="BZ60" s="370"/>
      <c r="CA60" s="370"/>
      <c r="CB60" s="155"/>
      <c r="CC60" s="155">
        <f t="shared" si="154"/>
        <v>0</v>
      </c>
      <c r="CD60" s="370"/>
      <c r="CE60" s="370"/>
      <c r="CF60" s="155">
        <f t="shared" si="155"/>
        <v>0</v>
      </c>
      <c r="CG60" s="370">
        <f>+[4]Silnice!$B$72</f>
        <v>0</v>
      </c>
      <c r="CH60" s="370"/>
      <c r="CI60" s="155"/>
      <c r="CJ60" s="155">
        <f t="shared" si="156"/>
        <v>0</v>
      </c>
      <c r="CK60" s="370"/>
      <c r="CL60" s="370"/>
      <c r="CM60" s="155"/>
      <c r="CN60" s="370"/>
      <c r="CO60" s="370"/>
      <c r="CP60" s="155"/>
      <c r="CQ60" s="370"/>
      <c r="CR60" s="370"/>
      <c r="CS60" s="155"/>
      <c r="CT60" s="370"/>
      <c r="CU60" s="370"/>
      <c r="CV60" s="155">
        <f t="shared" si="157"/>
        <v>0</v>
      </c>
      <c r="CW60" s="370"/>
      <c r="CX60" s="370"/>
      <c r="CY60" s="155"/>
      <c r="CZ60" s="155">
        <f t="shared" si="158"/>
        <v>0</v>
      </c>
      <c r="DA60" s="370"/>
      <c r="DB60" s="370"/>
      <c r="DC60" s="155">
        <f t="shared" si="159"/>
        <v>0</v>
      </c>
      <c r="DD60" s="370"/>
      <c r="DE60" s="370"/>
      <c r="DF60" s="155">
        <f t="shared" si="160"/>
        <v>0</v>
      </c>
      <c r="DG60" s="370"/>
      <c r="DH60" s="370"/>
      <c r="DI60" s="155"/>
      <c r="DJ60" s="155">
        <f t="shared" si="161"/>
        <v>0</v>
      </c>
      <c r="DK60" s="370"/>
      <c r="DL60" s="370"/>
      <c r="DM60" s="370"/>
      <c r="DN60" s="155"/>
      <c r="DO60" s="155"/>
      <c r="DP60" s="155"/>
      <c r="DQ60" s="155"/>
      <c r="DR60" s="155"/>
      <c r="DS60" s="155"/>
      <c r="DT60" s="155"/>
      <c r="DU60" s="370">
        <f t="shared" si="167"/>
        <v>0</v>
      </c>
      <c r="DV60" s="370"/>
      <c r="DW60" s="370"/>
      <c r="DX60" s="155"/>
      <c r="DY60" s="155"/>
      <c r="DZ60" s="373"/>
      <c r="EA60" s="190">
        <f t="shared" si="162"/>
        <v>0</v>
      </c>
      <c r="EB60" s="337">
        <f t="shared" si="75"/>
        <v>0</v>
      </c>
      <c r="EC60" s="338"/>
      <c r="ED60" s="369">
        <f t="shared" si="163"/>
        <v>0</v>
      </c>
      <c r="EE60" s="338">
        <f t="shared" si="7"/>
        <v>0</v>
      </c>
      <c r="EF60" s="369">
        <f t="shared" si="164"/>
        <v>0</v>
      </c>
      <c r="EH60" s="322"/>
    </row>
    <row r="61" spans="1:138" outlineLevel="1" x14ac:dyDescent="0.25">
      <c r="A61" s="222">
        <v>6123</v>
      </c>
      <c r="B61" s="205" t="s">
        <v>108</v>
      </c>
      <c r="C61" s="369">
        <v>800000</v>
      </c>
      <c r="D61" s="369">
        <v>1600000</v>
      </c>
      <c r="E61" s="369">
        <v>1600000</v>
      </c>
      <c r="F61" s="369">
        <v>1600000</v>
      </c>
      <c r="G61" s="369">
        <f t="shared" si="137"/>
        <v>1600000</v>
      </c>
      <c r="H61" s="234"/>
      <c r="I61" s="155"/>
      <c r="J61" s="155"/>
      <c r="K61" s="155"/>
      <c r="L61" s="155"/>
      <c r="M61" s="155"/>
      <c r="N61" s="155"/>
      <c r="O61" s="155"/>
      <c r="P61" s="155"/>
      <c r="Q61" s="160">
        <f t="shared" si="138"/>
        <v>1600000</v>
      </c>
      <c r="R61" s="177">
        <f>+[3]Správa!$B$139+[4]Správa!$B$18</f>
        <v>1600000</v>
      </c>
      <c r="S61" s="415"/>
      <c r="T61" s="155"/>
      <c r="U61" s="380">
        <f t="shared" si="135"/>
        <v>0</v>
      </c>
      <c r="V61" s="155"/>
      <c r="W61" s="155"/>
      <c r="X61" s="155"/>
      <c r="Y61" s="155">
        <f>'[3]Městská policie'!$B$155</f>
        <v>0</v>
      </c>
      <c r="Z61" s="155"/>
      <c r="AA61" s="155"/>
      <c r="AB61" s="155"/>
      <c r="AC61" s="155"/>
      <c r="AD61" s="155"/>
      <c r="AE61" s="155">
        <f t="shared" si="139"/>
        <v>0</v>
      </c>
      <c r="AF61" s="370">
        <v>0</v>
      </c>
      <c r="AG61" s="370"/>
      <c r="AH61" s="155">
        <f t="shared" si="140"/>
        <v>0</v>
      </c>
      <c r="AI61" s="370"/>
      <c r="AJ61" s="370"/>
      <c r="AK61" s="155">
        <f t="shared" si="141"/>
        <v>0</v>
      </c>
      <c r="AL61" s="370"/>
      <c r="AM61" s="370"/>
      <c r="AN61" s="155">
        <f>+[4]Hasiči!$B$33</f>
        <v>0</v>
      </c>
      <c r="AO61" s="155"/>
      <c r="AP61" s="155"/>
      <c r="AQ61" s="155">
        <f t="shared" si="142"/>
        <v>0</v>
      </c>
      <c r="AR61" s="370"/>
      <c r="AS61" s="370"/>
      <c r="AT61" s="155">
        <f t="shared" si="143"/>
        <v>0</v>
      </c>
      <c r="AU61" s="370"/>
      <c r="AV61" s="370"/>
      <c r="AW61" s="155">
        <f t="shared" si="144"/>
        <v>0</v>
      </c>
      <c r="AX61" s="370"/>
      <c r="AY61" s="370"/>
      <c r="AZ61" s="155">
        <f t="shared" si="145"/>
        <v>0</v>
      </c>
      <c r="BA61" s="370"/>
      <c r="BB61" s="370"/>
      <c r="BC61" s="155">
        <f t="shared" si="146"/>
        <v>0</v>
      </c>
      <c r="BD61" s="370"/>
      <c r="BE61" s="370"/>
      <c r="BF61" s="155">
        <f t="shared" si="147"/>
        <v>0</v>
      </c>
      <c r="BG61" s="370"/>
      <c r="BH61" s="370"/>
      <c r="BI61" s="155">
        <f t="shared" si="148"/>
        <v>0</v>
      </c>
      <c r="BJ61" s="370"/>
      <c r="BK61" s="370"/>
      <c r="BL61" s="155">
        <f t="shared" si="149"/>
        <v>0</v>
      </c>
      <c r="BM61" s="370"/>
      <c r="BN61" s="370"/>
      <c r="BO61" s="155">
        <f t="shared" si="150"/>
        <v>0</v>
      </c>
      <c r="BP61" s="370"/>
      <c r="BQ61" s="370"/>
      <c r="BR61" s="155">
        <f t="shared" si="151"/>
        <v>0</v>
      </c>
      <c r="BS61" s="370"/>
      <c r="BT61" s="370"/>
      <c r="BU61" s="155">
        <f t="shared" si="152"/>
        <v>0</v>
      </c>
      <c r="BV61" s="370"/>
      <c r="BW61" s="370"/>
      <c r="BX61" s="155"/>
      <c r="BY61" s="155">
        <f t="shared" si="153"/>
        <v>0</v>
      </c>
      <c r="BZ61" s="370"/>
      <c r="CA61" s="370"/>
      <c r="CB61" s="155"/>
      <c r="CC61" s="155">
        <f t="shared" si="154"/>
        <v>0</v>
      </c>
      <c r="CD61" s="370"/>
      <c r="CE61" s="370"/>
      <c r="CF61" s="155">
        <f t="shared" si="155"/>
        <v>0</v>
      </c>
      <c r="CG61" s="370"/>
      <c r="CH61" s="370"/>
      <c r="CI61" s="155"/>
      <c r="CJ61" s="155">
        <f t="shared" si="156"/>
        <v>0</v>
      </c>
      <c r="CK61" s="370"/>
      <c r="CL61" s="370"/>
      <c r="CM61" s="155"/>
      <c r="CN61" s="370"/>
      <c r="CO61" s="370"/>
      <c r="CP61" s="155"/>
      <c r="CQ61" s="370"/>
      <c r="CR61" s="370"/>
      <c r="CS61" s="155"/>
      <c r="CT61" s="370"/>
      <c r="CU61" s="370"/>
      <c r="CV61" s="155">
        <f t="shared" si="157"/>
        <v>0</v>
      </c>
      <c r="CW61" s="370"/>
      <c r="CX61" s="370"/>
      <c r="CY61" s="155"/>
      <c r="CZ61" s="155">
        <f t="shared" si="158"/>
        <v>0</v>
      </c>
      <c r="DA61" s="370"/>
      <c r="DB61" s="370"/>
      <c r="DC61" s="155">
        <f t="shared" si="159"/>
        <v>0</v>
      </c>
      <c r="DD61" s="370"/>
      <c r="DE61" s="370"/>
      <c r="DF61" s="155">
        <f t="shared" si="160"/>
        <v>0</v>
      </c>
      <c r="DG61" s="370"/>
      <c r="DH61" s="370"/>
      <c r="DI61" s="155"/>
      <c r="DJ61" s="155">
        <f t="shared" si="161"/>
        <v>0</v>
      </c>
      <c r="DK61" s="370"/>
      <c r="DL61" s="370"/>
      <c r="DM61" s="370"/>
      <c r="DN61" s="155"/>
      <c r="DO61" s="155"/>
      <c r="DP61" s="155"/>
      <c r="DQ61" s="155"/>
      <c r="DR61" s="155"/>
      <c r="DS61" s="155"/>
      <c r="DT61" s="155"/>
      <c r="DU61" s="155"/>
      <c r="DV61" s="370"/>
      <c r="DW61" s="370"/>
      <c r="DX61" s="155"/>
      <c r="DY61" s="155"/>
      <c r="DZ61" s="373"/>
      <c r="EA61" s="190">
        <f t="shared" si="162"/>
        <v>1600000</v>
      </c>
      <c r="EB61" s="337">
        <f t="shared" si="75"/>
        <v>0</v>
      </c>
      <c r="EC61" s="338"/>
      <c r="ED61" s="369">
        <f t="shared" si="163"/>
        <v>1600000</v>
      </c>
      <c r="EE61" s="338">
        <f t="shared" si="7"/>
        <v>0</v>
      </c>
      <c r="EF61" s="369">
        <f t="shared" si="164"/>
        <v>0</v>
      </c>
      <c r="EH61" s="322"/>
    </row>
    <row r="62" spans="1:138" outlineLevel="1" x14ac:dyDescent="0.25">
      <c r="A62" s="222">
        <v>6125</v>
      </c>
      <c r="B62" s="205" t="s">
        <v>109</v>
      </c>
      <c r="C62" s="369">
        <v>240000</v>
      </c>
      <c r="D62" s="369">
        <v>240000</v>
      </c>
      <c r="E62" s="369">
        <v>240000</v>
      </c>
      <c r="F62" s="369">
        <v>3986684</v>
      </c>
      <c r="G62" s="369">
        <f t="shared" si="137"/>
        <v>0</v>
      </c>
      <c r="H62" s="234"/>
      <c r="I62" s="155"/>
      <c r="J62" s="155"/>
      <c r="K62" s="155"/>
      <c r="L62" s="155"/>
      <c r="M62" s="155"/>
      <c r="N62" s="370"/>
      <c r="O62" s="155"/>
      <c r="P62" s="155"/>
      <c r="Q62" s="155">
        <f t="shared" si="138"/>
        <v>0</v>
      </c>
      <c r="R62" s="370">
        <f>[3]Správa!$B$146</f>
        <v>0</v>
      </c>
      <c r="S62" s="371"/>
      <c r="T62" s="155"/>
      <c r="U62" s="380">
        <f t="shared" si="135"/>
        <v>0</v>
      </c>
      <c r="V62" s="155"/>
      <c r="W62" s="155"/>
      <c r="X62" s="155"/>
      <c r="Y62" s="155">
        <f>'[3]Městská policie'!$B$162</f>
        <v>0</v>
      </c>
      <c r="Z62" s="155"/>
      <c r="AA62" s="155"/>
      <c r="AB62" s="155"/>
      <c r="AC62" s="155"/>
      <c r="AD62" s="155"/>
      <c r="AE62" s="155">
        <f t="shared" si="139"/>
        <v>0</v>
      </c>
      <c r="AF62" s="370"/>
      <c r="AG62" s="370"/>
      <c r="AH62" s="155">
        <f t="shared" si="140"/>
        <v>0</v>
      </c>
      <c r="AI62" s="370"/>
      <c r="AJ62" s="370"/>
      <c r="AK62" s="155">
        <f t="shared" si="141"/>
        <v>0</v>
      </c>
      <c r="AL62" s="370"/>
      <c r="AM62" s="370"/>
      <c r="AN62" s="155"/>
      <c r="AO62" s="155"/>
      <c r="AP62" s="155"/>
      <c r="AQ62" s="155">
        <f t="shared" si="142"/>
        <v>0</v>
      </c>
      <c r="AR62" s="370"/>
      <c r="AS62" s="370"/>
      <c r="AT62" s="155">
        <f t="shared" si="143"/>
        <v>0</v>
      </c>
      <c r="AU62" s="370"/>
      <c r="AV62" s="370"/>
      <c r="AW62" s="155">
        <f t="shared" si="144"/>
        <v>0</v>
      </c>
      <c r="AX62" s="370"/>
      <c r="AY62" s="370"/>
      <c r="AZ62" s="155">
        <f t="shared" si="145"/>
        <v>0</v>
      </c>
      <c r="BA62" s="370"/>
      <c r="BB62" s="370"/>
      <c r="BC62" s="155">
        <f t="shared" si="146"/>
        <v>0</v>
      </c>
      <c r="BD62" s="370"/>
      <c r="BE62" s="370"/>
      <c r="BF62" s="155">
        <f t="shared" si="147"/>
        <v>0</v>
      </c>
      <c r="BG62" s="370"/>
      <c r="BH62" s="370"/>
      <c r="BI62" s="155">
        <f t="shared" si="148"/>
        <v>0</v>
      </c>
      <c r="BJ62" s="370"/>
      <c r="BK62" s="370"/>
      <c r="BL62" s="155">
        <f t="shared" si="149"/>
        <v>0</v>
      </c>
      <c r="BM62" s="370"/>
      <c r="BN62" s="370"/>
      <c r="BO62" s="155">
        <f t="shared" si="150"/>
        <v>0</v>
      </c>
      <c r="BP62" s="370"/>
      <c r="BQ62" s="370"/>
      <c r="BR62" s="155">
        <f t="shared" si="151"/>
        <v>0</v>
      </c>
      <c r="BS62" s="370"/>
      <c r="BT62" s="370"/>
      <c r="BU62" s="155">
        <f t="shared" si="152"/>
        <v>0</v>
      </c>
      <c r="BV62" s="370"/>
      <c r="BW62" s="370"/>
      <c r="BX62" s="155"/>
      <c r="BY62" s="155">
        <f t="shared" si="153"/>
        <v>0</v>
      </c>
      <c r="BZ62" s="370"/>
      <c r="CA62" s="370"/>
      <c r="CB62" s="155"/>
      <c r="CC62" s="155">
        <f t="shared" si="154"/>
        <v>0</v>
      </c>
      <c r="CD62" s="370"/>
      <c r="CE62" s="370"/>
      <c r="CF62" s="155">
        <f t="shared" si="155"/>
        <v>0</v>
      </c>
      <c r="CG62" s="370"/>
      <c r="CH62" s="370"/>
      <c r="CI62" s="155"/>
      <c r="CJ62" s="155">
        <f t="shared" si="156"/>
        <v>0</v>
      </c>
      <c r="CK62" s="370"/>
      <c r="CL62" s="370"/>
      <c r="CM62" s="155"/>
      <c r="CN62" s="370"/>
      <c r="CO62" s="370"/>
      <c r="CP62" s="155"/>
      <c r="CQ62" s="370"/>
      <c r="CR62" s="370"/>
      <c r="CS62" s="155"/>
      <c r="CT62" s="370"/>
      <c r="CU62" s="370"/>
      <c r="CV62" s="155">
        <f t="shared" si="157"/>
        <v>0</v>
      </c>
      <c r="CW62" s="370"/>
      <c r="CX62" s="370"/>
      <c r="CY62" s="155"/>
      <c r="CZ62" s="155">
        <f t="shared" si="158"/>
        <v>0</v>
      </c>
      <c r="DA62" s="370"/>
      <c r="DB62" s="370"/>
      <c r="DC62" s="155">
        <f t="shared" si="159"/>
        <v>0</v>
      </c>
      <c r="DD62" s="370"/>
      <c r="DE62" s="370"/>
      <c r="DF62" s="155">
        <f t="shared" si="160"/>
        <v>0</v>
      </c>
      <c r="DG62" s="370"/>
      <c r="DH62" s="370"/>
      <c r="DI62" s="155"/>
      <c r="DJ62" s="155">
        <f t="shared" si="161"/>
        <v>0</v>
      </c>
      <c r="DK62" s="370"/>
      <c r="DL62" s="370"/>
      <c r="DM62" s="370"/>
      <c r="DN62" s="155"/>
      <c r="DO62" s="155"/>
      <c r="DP62" s="155"/>
      <c r="DQ62" s="155"/>
      <c r="DR62" s="155"/>
      <c r="DS62" s="155"/>
      <c r="DT62" s="155"/>
      <c r="DU62" s="155"/>
      <c r="DV62" s="370"/>
      <c r="DW62" s="370"/>
      <c r="DX62" s="155"/>
      <c r="DY62" s="155"/>
      <c r="DZ62" s="373"/>
      <c r="EA62" s="190">
        <f t="shared" si="162"/>
        <v>0</v>
      </c>
      <c r="EB62" s="337">
        <f t="shared" si="75"/>
        <v>0</v>
      </c>
      <c r="EC62" s="338"/>
      <c r="ED62" s="369">
        <f t="shared" si="163"/>
        <v>0</v>
      </c>
      <c r="EE62" s="338">
        <f t="shared" si="7"/>
        <v>0</v>
      </c>
      <c r="EF62" s="369">
        <f t="shared" si="164"/>
        <v>0</v>
      </c>
      <c r="EH62" s="322"/>
    </row>
    <row r="63" spans="1:138" hidden="1" outlineLevel="1" x14ac:dyDescent="0.25">
      <c r="A63" s="222">
        <v>6129</v>
      </c>
      <c r="B63" s="205" t="s">
        <v>110</v>
      </c>
      <c r="C63" s="369">
        <v>0</v>
      </c>
      <c r="D63" s="369">
        <v>0</v>
      </c>
      <c r="E63" s="369">
        <v>0</v>
      </c>
      <c r="F63" s="369">
        <v>0</v>
      </c>
      <c r="G63" s="369">
        <f t="shared" si="137"/>
        <v>0</v>
      </c>
      <c r="H63" s="234"/>
      <c r="I63" s="155"/>
      <c r="J63" s="155"/>
      <c r="K63" s="155"/>
      <c r="L63" s="155"/>
      <c r="M63" s="155"/>
      <c r="N63" s="155"/>
      <c r="O63" s="155"/>
      <c r="P63" s="155"/>
      <c r="Q63" s="155">
        <f t="shared" si="138"/>
        <v>0</v>
      </c>
      <c r="R63" s="370"/>
      <c r="S63" s="371"/>
      <c r="T63" s="155"/>
      <c r="U63" s="380">
        <f t="shared" si="135"/>
        <v>0</v>
      </c>
      <c r="V63" s="155"/>
      <c r="W63" s="155"/>
      <c r="X63" s="155"/>
      <c r="Y63" s="155"/>
      <c r="Z63" s="155"/>
      <c r="AA63" s="155"/>
      <c r="AB63" s="155"/>
      <c r="AC63" s="155"/>
      <c r="AD63" s="155"/>
      <c r="AE63" s="155">
        <f t="shared" si="139"/>
        <v>0</v>
      </c>
      <c r="AF63" s="370"/>
      <c r="AG63" s="370"/>
      <c r="AH63" s="155">
        <f t="shared" si="140"/>
        <v>0</v>
      </c>
      <c r="AI63" s="370"/>
      <c r="AJ63" s="370"/>
      <c r="AK63" s="155">
        <f t="shared" si="141"/>
        <v>0</v>
      </c>
      <c r="AL63" s="370"/>
      <c r="AM63" s="370"/>
      <c r="AN63" s="155"/>
      <c r="AO63" s="155"/>
      <c r="AP63" s="155"/>
      <c r="AQ63" s="155">
        <f t="shared" si="142"/>
        <v>0</v>
      </c>
      <c r="AR63" s="370"/>
      <c r="AS63" s="370"/>
      <c r="AT63" s="155">
        <f t="shared" si="143"/>
        <v>0</v>
      </c>
      <c r="AU63" s="370"/>
      <c r="AV63" s="370"/>
      <c r="AW63" s="155">
        <f t="shared" si="144"/>
        <v>0</v>
      </c>
      <c r="AX63" s="370"/>
      <c r="AY63" s="370"/>
      <c r="AZ63" s="155">
        <f t="shared" si="145"/>
        <v>0</v>
      </c>
      <c r="BA63" s="370"/>
      <c r="BB63" s="370"/>
      <c r="BC63" s="155">
        <f t="shared" si="146"/>
        <v>0</v>
      </c>
      <c r="BD63" s="370"/>
      <c r="BE63" s="370"/>
      <c r="BF63" s="155">
        <f t="shared" si="147"/>
        <v>0</v>
      </c>
      <c r="BG63" s="370"/>
      <c r="BH63" s="370"/>
      <c r="BI63" s="155">
        <f t="shared" si="148"/>
        <v>0</v>
      </c>
      <c r="BJ63" s="370"/>
      <c r="BK63" s="370"/>
      <c r="BL63" s="155">
        <f t="shared" si="149"/>
        <v>0</v>
      </c>
      <c r="BM63" s="370"/>
      <c r="BN63" s="370"/>
      <c r="BO63" s="155">
        <f t="shared" si="150"/>
        <v>0</v>
      </c>
      <c r="BP63" s="370"/>
      <c r="BQ63" s="370"/>
      <c r="BR63" s="155">
        <f t="shared" si="151"/>
        <v>0</v>
      </c>
      <c r="BS63" s="370"/>
      <c r="BT63" s="370"/>
      <c r="BU63" s="155">
        <f t="shared" si="152"/>
        <v>0</v>
      </c>
      <c r="BV63" s="370"/>
      <c r="BW63" s="370"/>
      <c r="BX63" s="155"/>
      <c r="BY63" s="155">
        <f t="shared" si="153"/>
        <v>0</v>
      </c>
      <c r="BZ63" s="370"/>
      <c r="CA63" s="370"/>
      <c r="CB63" s="155"/>
      <c r="CC63" s="155">
        <f t="shared" si="154"/>
        <v>0</v>
      </c>
      <c r="CD63" s="370"/>
      <c r="CE63" s="370"/>
      <c r="CF63" s="155">
        <f t="shared" si="155"/>
        <v>0</v>
      </c>
      <c r="CG63" s="370"/>
      <c r="CH63" s="370"/>
      <c r="CI63" s="155"/>
      <c r="CJ63" s="155">
        <f t="shared" si="156"/>
        <v>0</v>
      </c>
      <c r="CK63" s="370"/>
      <c r="CL63" s="370"/>
      <c r="CM63" s="155"/>
      <c r="CN63" s="370"/>
      <c r="CO63" s="370"/>
      <c r="CP63" s="155"/>
      <c r="CQ63" s="370"/>
      <c r="CR63" s="370"/>
      <c r="CS63" s="155"/>
      <c r="CT63" s="370"/>
      <c r="CU63" s="370"/>
      <c r="CV63" s="155">
        <f t="shared" si="157"/>
        <v>0</v>
      </c>
      <c r="CW63" s="370"/>
      <c r="CX63" s="370"/>
      <c r="CY63" s="155"/>
      <c r="CZ63" s="155">
        <f t="shared" si="158"/>
        <v>0</v>
      </c>
      <c r="DA63" s="370"/>
      <c r="DB63" s="370"/>
      <c r="DC63" s="155">
        <f t="shared" si="159"/>
        <v>0</v>
      </c>
      <c r="DD63" s="370"/>
      <c r="DE63" s="370"/>
      <c r="DF63" s="155">
        <f t="shared" si="160"/>
        <v>0</v>
      </c>
      <c r="DG63" s="370"/>
      <c r="DH63" s="370"/>
      <c r="DI63" s="155"/>
      <c r="DJ63" s="155">
        <f t="shared" si="161"/>
        <v>0</v>
      </c>
      <c r="DK63" s="370"/>
      <c r="DL63" s="370"/>
      <c r="DM63" s="370"/>
      <c r="DN63" s="155"/>
      <c r="DO63" s="155"/>
      <c r="DP63" s="155"/>
      <c r="DQ63" s="155"/>
      <c r="DR63" s="155"/>
      <c r="DS63" s="155"/>
      <c r="DT63" s="155"/>
      <c r="DU63" s="155"/>
      <c r="DV63" s="370"/>
      <c r="DW63" s="370"/>
      <c r="DX63" s="155"/>
      <c r="DY63" s="155"/>
      <c r="DZ63" s="373"/>
      <c r="EA63" s="190">
        <f t="shared" si="162"/>
        <v>0</v>
      </c>
      <c r="EB63" s="337">
        <f t="shared" si="75"/>
        <v>0</v>
      </c>
      <c r="EC63" s="338"/>
      <c r="ED63" s="369">
        <f t="shared" si="163"/>
        <v>0</v>
      </c>
      <c r="EE63" s="338">
        <f t="shared" si="7"/>
        <v>0</v>
      </c>
      <c r="EF63" s="369">
        <f t="shared" si="164"/>
        <v>0</v>
      </c>
      <c r="EH63" s="322"/>
    </row>
    <row r="64" spans="1:138" ht="18" customHeight="1" outlineLevel="1" x14ac:dyDescent="0.25">
      <c r="A64" s="222">
        <v>6130</v>
      </c>
      <c r="B64" s="205" t="s">
        <v>111</v>
      </c>
      <c r="C64" s="369">
        <v>5740255</v>
      </c>
      <c r="D64" s="369">
        <v>5740255</v>
      </c>
      <c r="E64" s="369">
        <v>7740255</v>
      </c>
      <c r="F64" s="369">
        <v>7740255</v>
      </c>
      <c r="G64" s="369">
        <f t="shared" si="137"/>
        <v>8424381</v>
      </c>
      <c r="H64" s="234"/>
      <c r="I64" s="155"/>
      <c r="J64" s="155"/>
      <c r="K64" s="155"/>
      <c r="L64" s="155">
        <f>+'[4]Všeob. pokladna'!$B$46+'[2]Všebecná pokladna'!$B$78+'[6]Všeobecná pokladna 6409'!$B$29</f>
        <v>4179126</v>
      </c>
      <c r="M64" s="155"/>
      <c r="N64" s="155"/>
      <c r="O64" s="155"/>
      <c r="P64" s="155"/>
      <c r="Q64" s="155">
        <f t="shared" si="138"/>
        <v>0</v>
      </c>
      <c r="R64" s="370"/>
      <c r="S64" s="371"/>
      <c r="T64" s="155"/>
      <c r="U64" s="380">
        <f t="shared" si="135"/>
        <v>0</v>
      </c>
      <c r="V64" s="155"/>
      <c r="W64" s="155"/>
      <c r="X64" s="155"/>
      <c r="Y64" s="155"/>
      <c r="Z64" s="155"/>
      <c r="AA64" s="155"/>
      <c r="AB64" s="155"/>
      <c r="AC64" s="155"/>
      <c r="AD64" s="155"/>
      <c r="AE64" s="155">
        <f t="shared" si="139"/>
        <v>0</v>
      </c>
      <c r="AF64" s="370"/>
      <c r="AG64" s="370"/>
      <c r="AH64" s="155">
        <f t="shared" si="140"/>
        <v>0</v>
      </c>
      <c r="AI64" s="370"/>
      <c r="AJ64" s="370"/>
      <c r="AK64" s="155">
        <f t="shared" si="141"/>
        <v>0</v>
      </c>
      <c r="AL64" s="370"/>
      <c r="AM64" s="370"/>
      <c r="AN64" s="155"/>
      <c r="AO64" s="155"/>
      <c r="AP64" s="155"/>
      <c r="AQ64" s="155">
        <f t="shared" si="142"/>
        <v>0</v>
      </c>
      <c r="AR64" s="370"/>
      <c r="AS64" s="370"/>
      <c r="AT64" s="155">
        <f t="shared" si="143"/>
        <v>0</v>
      </c>
      <c r="AU64" s="370"/>
      <c r="AV64" s="370"/>
      <c r="AW64" s="155">
        <f t="shared" si="144"/>
        <v>0</v>
      </c>
      <c r="AX64" s="370"/>
      <c r="AY64" s="370"/>
      <c r="AZ64" s="155">
        <f t="shared" si="145"/>
        <v>0</v>
      </c>
      <c r="BA64" s="370"/>
      <c r="BB64" s="370"/>
      <c r="BC64" s="155">
        <f t="shared" si="146"/>
        <v>0</v>
      </c>
      <c r="BD64" s="370"/>
      <c r="BE64" s="370"/>
      <c r="BF64" s="155">
        <f t="shared" si="147"/>
        <v>4145255</v>
      </c>
      <c r="BG64" s="370">
        <f>+[4]Sv.Š!$B$46</f>
        <v>4145255</v>
      </c>
      <c r="BH64" s="370"/>
      <c r="BI64" s="155">
        <f t="shared" si="148"/>
        <v>0</v>
      </c>
      <c r="BJ64" s="370"/>
      <c r="BK64" s="370"/>
      <c r="BL64" s="155">
        <f t="shared" si="149"/>
        <v>0</v>
      </c>
      <c r="BM64" s="370"/>
      <c r="BN64" s="370"/>
      <c r="BO64" s="155">
        <f t="shared" si="150"/>
        <v>0</v>
      </c>
      <c r="BP64" s="370"/>
      <c r="BQ64" s="370"/>
      <c r="BR64" s="155">
        <f t="shared" si="151"/>
        <v>0</v>
      </c>
      <c r="BS64" s="370"/>
      <c r="BT64" s="370"/>
      <c r="BU64" s="155">
        <f t="shared" si="152"/>
        <v>0</v>
      </c>
      <c r="BV64" s="370"/>
      <c r="BW64" s="370"/>
      <c r="BX64" s="155"/>
      <c r="BY64" s="155">
        <f t="shared" si="153"/>
        <v>0</v>
      </c>
      <c r="BZ64" s="370"/>
      <c r="CA64" s="370"/>
      <c r="CB64" s="155"/>
      <c r="CC64" s="155">
        <f t="shared" si="154"/>
        <v>0</v>
      </c>
      <c r="CD64" s="370"/>
      <c r="CE64" s="370"/>
      <c r="CF64" s="155">
        <f t="shared" si="155"/>
        <v>100000</v>
      </c>
      <c r="CG64" s="370">
        <f>+'[5]Silnice - pozemky'!$B$4</f>
        <v>100000</v>
      </c>
      <c r="CH64" s="370"/>
      <c r="CI64" s="155"/>
      <c r="CJ64" s="155">
        <f t="shared" si="156"/>
        <v>0</v>
      </c>
      <c r="CK64" s="370"/>
      <c r="CL64" s="370"/>
      <c r="CM64" s="155"/>
      <c r="CN64" s="370"/>
      <c r="CO64" s="370"/>
      <c r="CP64" s="155"/>
      <c r="CQ64" s="370"/>
      <c r="CR64" s="370"/>
      <c r="CS64" s="155"/>
      <c r="CT64" s="370"/>
      <c r="CU64" s="370"/>
      <c r="CV64" s="155">
        <f t="shared" si="157"/>
        <v>0</v>
      </c>
      <c r="CW64" s="370"/>
      <c r="CX64" s="370"/>
      <c r="CY64" s="155"/>
      <c r="CZ64" s="155">
        <f t="shared" si="158"/>
        <v>0</v>
      </c>
      <c r="DA64" s="370"/>
      <c r="DB64" s="370"/>
      <c r="DC64" s="155">
        <f t="shared" si="159"/>
        <v>0</v>
      </c>
      <c r="DD64" s="370"/>
      <c r="DE64" s="370"/>
      <c r="DF64" s="155">
        <f t="shared" si="160"/>
        <v>0</v>
      </c>
      <c r="DG64" s="370"/>
      <c r="DH64" s="370"/>
      <c r="DI64" s="155"/>
      <c r="DJ64" s="155">
        <f t="shared" si="161"/>
        <v>0</v>
      </c>
      <c r="DK64" s="370"/>
      <c r="DL64" s="370"/>
      <c r="DM64" s="370"/>
      <c r="DN64" s="155"/>
      <c r="DO64" s="155"/>
      <c r="DP64" s="155"/>
      <c r="DQ64" s="155"/>
      <c r="DR64" s="155"/>
      <c r="DS64" s="155"/>
      <c r="DT64" s="155"/>
      <c r="DU64" s="155"/>
      <c r="DV64" s="370"/>
      <c r="DW64" s="370"/>
      <c r="DX64" s="155"/>
      <c r="DY64" s="155"/>
      <c r="DZ64" s="373"/>
      <c r="EA64" s="190">
        <f t="shared" si="162"/>
        <v>8424381</v>
      </c>
      <c r="EB64" s="337">
        <f t="shared" si="75"/>
        <v>0</v>
      </c>
      <c r="EC64" s="338"/>
      <c r="ED64" s="369">
        <f t="shared" si="163"/>
        <v>8424381</v>
      </c>
      <c r="EE64" s="338">
        <f t="shared" si="7"/>
        <v>0</v>
      </c>
      <c r="EF64" s="369">
        <f t="shared" si="164"/>
        <v>0</v>
      </c>
      <c r="EH64" s="322"/>
    </row>
    <row r="65" spans="1:138" ht="18" customHeight="1" outlineLevel="1" x14ac:dyDescent="0.25">
      <c r="A65" s="222">
        <v>6349</v>
      </c>
      <c r="B65" s="205" t="s">
        <v>2469</v>
      </c>
      <c r="C65" s="369">
        <v>0</v>
      </c>
      <c r="D65" s="369">
        <v>40977883</v>
      </c>
      <c r="E65" s="369">
        <v>40977883</v>
      </c>
      <c r="F65" s="369">
        <v>33417507</v>
      </c>
      <c r="G65" s="369">
        <f>SUM(H65:Q65)+SUM(V65:AE65)+AH65+AK65+SUM(AN65:AQ65)+AT65+BC65+BI65+BL65+BO65+BR65+BU65+BX65+BY65+CB65+CC65+CF65+SUM(CI65:CJ65)+CS65+CV65+CY65+CZ65+DC65+DF65+DI65+DJ65+SUM(DN65:DU65)+CM65+CP65+SUM(DX65:DZ65)+T65+AW65+AZ65+BF65</f>
        <v>33417507</v>
      </c>
      <c r="H65" s="234"/>
      <c r="I65" s="155"/>
      <c r="J65" s="155"/>
      <c r="K65" s="155"/>
      <c r="L65" s="155">
        <f>+'[2]Všebecná pokladna'!$B$85</f>
        <v>33417507</v>
      </c>
      <c r="M65" s="155"/>
      <c r="N65" s="155"/>
      <c r="O65" s="155"/>
      <c r="P65" s="155"/>
      <c r="Q65" s="155"/>
      <c r="R65" s="370"/>
      <c r="S65" s="371"/>
      <c r="T65" s="155"/>
      <c r="U65" s="380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370"/>
      <c r="AG65" s="370"/>
      <c r="AH65" s="155"/>
      <c r="AI65" s="370"/>
      <c r="AJ65" s="370"/>
      <c r="AK65" s="155"/>
      <c r="AL65" s="370"/>
      <c r="AM65" s="370"/>
      <c r="AN65" s="155"/>
      <c r="AO65" s="155"/>
      <c r="AP65" s="155"/>
      <c r="AQ65" s="155"/>
      <c r="AR65" s="370"/>
      <c r="AS65" s="370"/>
      <c r="AT65" s="155"/>
      <c r="AU65" s="370"/>
      <c r="AV65" s="370"/>
      <c r="AW65" s="155"/>
      <c r="AX65" s="370"/>
      <c r="AY65" s="370"/>
      <c r="AZ65" s="155"/>
      <c r="BA65" s="370"/>
      <c r="BB65" s="370"/>
      <c r="BC65" s="155"/>
      <c r="BD65" s="370"/>
      <c r="BE65" s="370"/>
      <c r="BF65" s="155"/>
      <c r="BG65" s="370"/>
      <c r="BH65" s="370"/>
      <c r="BI65" s="155"/>
      <c r="BJ65" s="370"/>
      <c r="BK65" s="370"/>
      <c r="BL65" s="155"/>
      <c r="BM65" s="370"/>
      <c r="BN65" s="370"/>
      <c r="BO65" s="155"/>
      <c r="BP65" s="370"/>
      <c r="BQ65" s="370"/>
      <c r="BR65" s="155"/>
      <c r="BS65" s="370"/>
      <c r="BT65" s="370"/>
      <c r="BU65" s="155"/>
      <c r="BV65" s="370"/>
      <c r="BW65" s="370"/>
      <c r="BX65" s="155"/>
      <c r="BY65" s="155"/>
      <c r="BZ65" s="370"/>
      <c r="CA65" s="370"/>
      <c r="CB65" s="155"/>
      <c r="CC65" s="155"/>
      <c r="CD65" s="370"/>
      <c r="CE65" s="370"/>
      <c r="CF65" s="155"/>
      <c r="CG65" s="370"/>
      <c r="CH65" s="370"/>
      <c r="CI65" s="155"/>
      <c r="CJ65" s="155"/>
      <c r="CK65" s="370"/>
      <c r="CL65" s="370"/>
      <c r="CM65" s="155"/>
      <c r="CN65" s="370"/>
      <c r="CO65" s="370"/>
      <c r="CP65" s="155"/>
      <c r="CQ65" s="370"/>
      <c r="CR65" s="370"/>
      <c r="CS65" s="155"/>
      <c r="CT65" s="370"/>
      <c r="CU65" s="370"/>
      <c r="CV65" s="155"/>
      <c r="CW65" s="370"/>
      <c r="CX65" s="370"/>
      <c r="CY65" s="155"/>
      <c r="CZ65" s="155"/>
      <c r="DA65" s="370"/>
      <c r="DB65" s="370"/>
      <c r="DC65" s="155"/>
      <c r="DD65" s="370"/>
      <c r="DE65" s="370"/>
      <c r="DF65" s="155"/>
      <c r="DG65" s="370"/>
      <c r="DH65" s="370"/>
      <c r="DI65" s="155"/>
      <c r="DJ65" s="155"/>
      <c r="DK65" s="370"/>
      <c r="DL65" s="370"/>
      <c r="DM65" s="370"/>
      <c r="DN65" s="155"/>
      <c r="DO65" s="155"/>
      <c r="DP65" s="155"/>
      <c r="DQ65" s="155"/>
      <c r="DR65" s="155"/>
      <c r="DS65" s="155"/>
      <c r="DT65" s="155"/>
      <c r="DU65" s="155"/>
      <c r="DV65" s="370"/>
      <c r="DW65" s="370"/>
      <c r="DX65" s="155"/>
      <c r="DY65" s="155"/>
      <c r="DZ65" s="373"/>
      <c r="EA65" s="190">
        <f t="shared" si="162"/>
        <v>33417507</v>
      </c>
      <c r="EB65" s="337">
        <f t="shared" si="75"/>
        <v>0</v>
      </c>
      <c r="EC65" s="338"/>
      <c r="ED65" s="369">
        <f t="shared" si="163"/>
        <v>33417507</v>
      </c>
      <c r="EE65" s="338">
        <f t="shared" si="7"/>
        <v>0</v>
      </c>
      <c r="EF65" s="369"/>
      <c r="EH65" s="322"/>
    </row>
    <row r="66" spans="1:138" s="1716" customFormat="1" ht="14.25" outlineLevel="1" thickBot="1" x14ac:dyDescent="0.3">
      <c r="A66" s="1707">
        <v>6351</v>
      </c>
      <c r="B66" s="1708" t="s">
        <v>294</v>
      </c>
      <c r="C66" s="1709">
        <v>72656882</v>
      </c>
      <c r="D66" s="1709">
        <v>8641920</v>
      </c>
      <c r="E66" s="1709">
        <v>8641920</v>
      </c>
      <c r="F66" s="1709">
        <v>8641920</v>
      </c>
      <c r="G66" s="1709">
        <f>SUM(H66:Q66)+SUM(V66:AE66)+AH66+AK66+SUM(AN66:AQ66)+AT66+BC66+BI66+BL66+BO66+BR66+BU66+BX66+BY66+CB66+CC66+CF66+SUM(CI66:CJ66)+CS66+CV66+CY66+CZ66+DC66+DF66+DI66+DJ66+SUM(DN66:DU66)+CM66+CP66+SUM(DX66:DZ66)+T66+AW66+AZ66+U66</f>
        <v>10541920</v>
      </c>
      <c r="H66" s="1710"/>
      <c r="I66" s="1711"/>
      <c r="J66" s="1711"/>
      <c r="K66" s="1711"/>
      <c r="L66" s="1711">
        <f>+'[2]Všebecná pokladna'!$B$100</f>
        <v>0</v>
      </c>
      <c r="M66" s="1711">
        <f>+'[4]Particitivní rozpočet'!$B$117</f>
        <v>600000</v>
      </c>
      <c r="N66" s="1711"/>
      <c r="O66" s="1711"/>
      <c r="P66" s="1711"/>
      <c r="Q66" s="1711">
        <f t="shared" si="138"/>
        <v>0</v>
      </c>
      <c r="R66" s="1711"/>
      <c r="S66" s="1387"/>
      <c r="T66" s="1711"/>
      <c r="U66" s="1718">
        <f>+[5]TSÚ!$B$20</f>
        <v>6158080</v>
      </c>
      <c r="V66" s="1711"/>
      <c r="W66" s="1711"/>
      <c r="X66" s="1711"/>
      <c r="Y66" s="1711"/>
      <c r="Z66" s="1711"/>
      <c r="AA66" s="1711"/>
      <c r="AB66" s="1711"/>
      <c r="AC66" s="1711"/>
      <c r="AD66" s="1711"/>
      <c r="AE66" s="1711">
        <f t="shared" si="139"/>
        <v>0</v>
      </c>
      <c r="AF66" s="1711"/>
      <c r="AG66" s="1711"/>
      <c r="AH66" s="1711">
        <f t="shared" si="140"/>
        <v>0</v>
      </c>
      <c r="AI66" s="1711"/>
      <c r="AJ66" s="1711"/>
      <c r="AK66" s="1711">
        <f t="shared" si="141"/>
        <v>0</v>
      </c>
      <c r="AL66" s="1711"/>
      <c r="AM66" s="1711"/>
      <c r="AN66" s="1711"/>
      <c r="AO66" s="1711"/>
      <c r="AP66" s="1711"/>
      <c r="AQ66" s="1711">
        <f t="shared" si="142"/>
        <v>0</v>
      </c>
      <c r="AR66" s="1711"/>
      <c r="AS66" s="1711"/>
      <c r="AT66" s="1711">
        <f t="shared" si="143"/>
        <v>0</v>
      </c>
      <c r="AU66" s="1711"/>
      <c r="AV66" s="1711"/>
      <c r="AW66" s="1711">
        <f t="shared" ref="AW66:AW68" si="168">+AX66+AY66</f>
        <v>0</v>
      </c>
      <c r="AX66" s="1711"/>
      <c r="AY66" s="1711"/>
      <c r="AZ66" s="1711">
        <f t="shared" ref="AZ66:AZ68" si="169">+BA66+BB66</f>
        <v>0</v>
      </c>
      <c r="BA66" s="1711"/>
      <c r="BB66" s="1711"/>
      <c r="BC66" s="1711">
        <f t="shared" si="146"/>
        <v>3783840</v>
      </c>
      <c r="BD66" s="1711">
        <f>+[2]ZŠ!$B$39</f>
        <v>3783840</v>
      </c>
      <c r="BE66" s="1711"/>
      <c r="BF66" s="1711">
        <f t="shared" ref="BF66:BF68" si="170">+BG66+BH66</f>
        <v>0</v>
      </c>
      <c r="BG66" s="1711"/>
      <c r="BH66" s="1711"/>
      <c r="BI66" s="1711">
        <f t="shared" si="148"/>
        <v>0</v>
      </c>
      <c r="BJ66" s="1711"/>
      <c r="BK66" s="1711"/>
      <c r="BL66" s="1711">
        <f t="shared" si="149"/>
        <v>0</v>
      </c>
      <c r="BM66" s="1711"/>
      <c r="BN66" s="1711"/>
      <c r="BO66" s="1711">
        <f t="shared" si="150"/>
        <v>0</v>
      </c>
      <c r="BP66" s="1711"/>
      <c r="BQ66" s="1711"/>
      <c r="BR66" s="1711">
        <f t="shared" si="151"/>
        <v>0</v>
      </c>
      <c r="BS66" s="1711"/>
      <c r="BT66" s="1711"/>
      <c r="BU66" s="1711">
        <f t="shared" si="152"/>
        <v>0</v>
      </c>
      <c r="BV66" s="1711"/>
      <c r="BW66" s="1711"/>
      <c r="BX66" s="1711"/>
      <c r="BY66" s="1711">
        <f t="shared" si="153"/>
        <v>0</v>
      </c>
      <c r="BZ66" s="1711"/>
      <c r="CA66" s="1711"/>
      <c r="CB66" s="1711"/>
      <c r="CC66" s="1711">
        <f t="shared" si="154"/>
        <v>0</v>
      </c>
      <c r="CD66" s="1711"/>
      <c r="CE66" s="1711"/>
      <c r="CF66" s="1711">
        <f t="shared" si="155"/>
        <v>0</v>
      </c>
      <c r="CG66" s="1711"/>
      <c r="CH66" s="1711"/>
      <c r="CI66" s="1711"/>
      <c r="CJ66" s="1711">
        <f t="shared" si="156"/>
        <v>0</v>
      </c>
      <c r="CK66" s="1711"/>
      <c r="CL66" s="1711"/>
      <c r="CM66" s="1711"/>
      <c r="CN66" s="1711"/>
      <c r="CO66" s="1711"/>
      <c r="CP66" s="1711"/>
      <c r="CQ66" s="1711"/>
      <c r="CR66" s="1711"/>
      <c r="CS66" s="1711"/>
      <c r="CT66" s="1711"/>
      <c r="CU66" s="1711"/>
      <c r="CV66" s="1711">
        <f t="shared" si="157"/>
        <v>0</v>
      </c>
      <c r="CW66" s="1711"/>
      <c r="CX66" s="1711"/>
      <c r="CY66" s="1711"/>
      <c r="CZ66" s="1711">
        <f t="shared" si="158"/>
        <v>0</v>
      </c>
      <c r="DA66" s="1711"/>
      <c r="DB66" s="1711"/>
      <c r="DC66" s="1711">
        <f t="shared" si="159"/>
        <v>0</v>
      </c>
      <c r="DD66" s="1711"/>
      <c r="DE66" s="1711"/>
      <c r="DF66" s="1711">
        <f t="shared" si="160"/>
        <v>0</v>
      </c>
      <c r="DG66" s="1711"/>
      <c r="DH66" s="1711"/>
      <c r="DI66" s="1711"/>
      <c r="DJ66" s="1711">
        <f t="shared" si="161"/>
        <v>0</v>
      </c>
      <c r="DK66" s="1711"/>
      <c r="DL66" s="1711"/>
      <c r="DM66" s="1711"/>
      <c r="DN66" s="1711"/>
      <c r="DO66" s="1711"/>
      <c r="DP66" s="1711"/>
      <c r="DQ66" s="1711"/>
      <c r="DR66" s="1711"/>
      <c r="DS66" s="1711"/>
      <c r="DT66" s="1711"/>
      <c r="DU66" s="1711"/>
      <c r="DV66" s="1711"/>
      <c r="DW66" s="1711"/>
      <c r="DX66" s="1711"/>
      <c r="DY66" s="1711"/>
      <c r="DZ66" s="1712"/>
      <c r="EA66" s="1713">
        <f>+H66+I66+J66+L66+N66+O66+Q66+T66+U66+V66+X66+Y66+Z66+AB66+AC66+AD66+AE66+AH66+AK66+AN66+AO66+AP66+AQ66+AT66+BC66+BI66+BL66+BO66+BR66+BU66+BX66+BY66+CB66+CC66+CF66+CI66+CJ66+CM66+CP66+CS66+CV66+CY66+CZ66+DC66+DF66+DI66+DJ66+DN66+DO66+DP66+DQ66+DR66+DT66+DU66+DX66+DY66+DZ66+BF66+AZ66+AW66+AA66-U66+K66+M66+W66+U66</f>
        <v>10541920</v>
      </c>
      <c r="EB66" s="1714">
        <f t="shared" si="75"/>
        <v>0</v>
      </c>
      <c r="EC66" s="1715"/>
      <c r="ED66" s="1709">
        <f t="shared" si="163"/>
        <v>4383840</v>
      </c>
      <c r="EE66" s="1715">
        <f t="shared" si="7"/>
        <v>0</v>
      </c>
      <c r="EF66" s="1709">
        <f>+S66+AG66+AJ66++AM66+AS66+AV66+BE66+BK66+BN66+BQ66+BT66+BW66+CA66+CE66+CH66+CL66+CX66+DB66+DE66+DH66+DM66+U66</f>
        <v>6158080</v>
      </c>
      <c r="EH66" s="1717"/>
    </row>
    <row r="67" spans="1:138" s="327" customFormat="1" ht="16.5" outlineLevel="1" thickBot="1" x14ac:dyDescent="0.35">
      <c r="A67" s="383">
        <v>8115</v>
      </c>
      <c r="B67" s="384" t="s">
        <v>1533</v>
      </c>
      <c r="C67" s="385">
        <v>119326.90005001426</v>
      </c>
      <c r="D67" s="385">
        <v>1479579.4962300062</v>
      </c>
      <c r="E67" s="385">
        <v>335637.49623000622</v>
      </c>
      <c r="F67" s="385">
        <v>5946582.9262300134</v>
      </c>
      <c r="G67" s="385">
        <f t="shared" ref="G67" si="171">SUM(H67:Q67)+SUM(V67:AE67)+AH67+AK67+SUM(AN67:AQ67)+AT67+BC67+BI67+BL67+BO67+BR67+BU67+BX67+BY67+CB67+CC67+CF67+SUM(CI67:CJ67)+CS67+CV67+CY67+CZ67+DC67+DF67+DI67+DJ67+SUM(DN67:DU67)+CM67+CP67+SUM(DX67:DZ67)+T67+AW67+AZ67</f>
        <v>7129529.5587599874</v>
      </c>
      <c r="H67" s="386"/>
      <c r="I67" s="371"/>
      <c r="J67" s="370"/>
      <c r="K67" s="370"/>
      <c r="L67" s="1734">
        <f>L75</f>
        <v>7129529.5587599874</v>
      </c>
      <c r="M67" s="583"/>
      <c r="N67" s="583"/>
      <c r="O67" s="583"/>
      <c r="P67" s="583"/>
      <c r="Q67" s="370">
        <f t="shared" si="138"/>
        <v>0</v>
      </c>
      <c r="R67" s="370"/>
      <c r="S67" s="371"/>
      <c r="T67" s="370"/>
      <c r="U67" s="1719">
        <f>+S67+AS67+CH67+CE67+CA67+DM67+AG67+AM67+AV67+BE67+BK67+BN67+BQ67+BT67+BW67+CL67+CX67+DB67+DE67+DH67+AJ67+DW67</f>
        <v>0</v>
      </c>
      <c r="V67" s="370"/>
      <c r="W67" s="370"/>
      <c r="X67" s="370"/>
      <c r="Y67" s="370"/>
      <c r="Z67" s="370"/>
      <c r="AA67" s="370"/>
      <c r="AB67" s="370"/>
      <c r="AC67" s="370"/>
      <c r="AD67" s="370"/>
      <c r="AE67" s="370">
        <f t="shared" si="139"/>
        <v>0</v>
      </c>
      <c r="AF67" s="370"/>
      <c r="AG67" s="370"/>
      <c r="AH67" s="370">
        <f t="shared" si="140"/>
        <v>0</v>
      </c>
      <c r="AI67" s="370"/>
      <c r="AJ67" s="370"/>
      <c r="AK67" s="370">
        <f t="shared" si="141"/>
        <v>0</v>
      </c>
      <c r="AL67" s="370"/>
      <c r="AM67" s="370"/>
      <c r="AN67" s="370"/>
      <c r="AO67" s="370"/>
      <c r="AP67" s="370"/>
      <c r="AQ67" s="370">
        <f t="shared" si="142"/>
        <v>0</v>
      </c>
      <c r="AR67" s="370"/>
      <c r="AS67" s="370"/>
      <c r="AT67" s="370">
        <f t="shared" si="143"/>
        <v>0</v>
      </c>
      <c r="AU67" s="370"/>
      <c r="AV67" s="370"/>
      <c r="AW67" s="370">
        <f t="shared" si="168"/>
        <v>0</v>
      </c>
      <c r="AX67" s="370"/>
      <c r="AY67" s="370"/>
      <c r="AZ67" s="370">
        <f t="shared" si="169"/>
        <v>0</v>
      </c>
      <c r="BA67" s="370"/>
      <c r="BB67" s="370"/>
      <c r="BC67" s="370">
        <f t="shared" si="146"/>
        <v>0</v>
      </c>
      <c r="BD67" s="370"/>
      <c r="BE67" s="370"/>
      <c r="BF67" s="370">
        <f t="shared" si="170"/>
        <v>0</v>
      </c>
      <c r="BG67" s="370"/>
      <c r="BH67" s="370"/>
      <c r="BI67" s="370">
        <f t="shared" si="148"/>
        <v>0</v>
      </c>
      <c r="BJ67" s="370"/>
      <c r="BK67" s="370"/>
      <c r="BL67" s="370">
        <f t="shared" si="149"/>
        <v>0</v>
      </c>
      <c r="BM67" s="370"/>
      <c r="BN67" s="370"/>
      <c r="BO67" s="370">
        <f t="shared" si="150"/>
        <v>0</v>
      </c>
      <c r="BP67" s="370"/>
      <c r="BQ67" s="370"/>
      <c r="BR67" s="370">
        <f t="shared" si="151"/>
        <v>0</v>
      </c>
      <c r="BS67" s="370"/>
      <c r="BT67" s="370"/>
      <c r="BU67" s="370">
        <f t="shared" si="152"/>
        <v>0</v>
      </c>
      <c r="BV67" s="370"/>
      <c r="BW67" s="370"/>
      <c r="BX67" s="370"/>
      <c r="BY67" s="370">
        <f t="shared" si="153"/>
        <v>0</v>
      </c>
      <c r="BZ67" s="370"/>
      <c r="CA67" s="370"/>
      <c r="CB67" s="370"/>
      <c r="CC67" s="370">
        <f t="shared" si="154"/>
        <v>0</v>
      </c>
      <c r="CD67" s="370"/>
      <c r="CE67" s="370"/>
      <c r="CF67" s="370">
        <f t="shared" si="155"/>
        <v>0</v>
      </c>
      <c r="CG67" s="370"/>
      <c r="CH67" s="370"/>
      <c r="CI67" s="370"/>
      <c r="CJ67" s="370">
        <f t="shared" si="156"/>
        <v>0</v>
      </c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>
        <f t="shared" si="157"/>
        <v>0</v>
      </c>
      <c r="CW67" s="370"/>
      <c r="CX67" s="370"/>
      <c r="CY67" s="370"/>
      <c r="CZ67" s="370">
        <f t="shared" si="158"/>
        <v>0</v>
      </c>
      <c r="DA67" s="370"/>
      <c r="DB67" s="370"/>
      <c r="DC67" s="370">
        <f t="shared" si="159"/>
        <v>0</v>
      </c>
      <c r="DD67" s="370"/>
      <c r="DE67" s="370"/>
      <c r="DF67" s="370">
        <f t="shared" si="160"/>
        <v>0</v>
      </c>
      <c r="DG67" s="370"/>
      <c r="DH67" s="370"/>
      <c r="DI67" s="370"/>
      <c r="DJ67" s="370">
        <f t="shared" si="161"/>
        <v>0</v>
      </c>
      <c r="DK67" s="370"/>
      <c r="DL67" s="370"/>
      <c r="DM67" s="370"/>
      <c r="DN67" s="370"/>
      <c r="DO67" s="370"/>
      <c r="DP67" s="370"/>
      <c r="DQ67" s="370"/>
      <c r="DR67" s="370"/>
      <c r="DS67" s="370"/>
      <c r="DT67" s="370"/>
      <c r="DU67" s="370"/>
      <c r="DV67" s="370"/>
      <c r="DW67" s="370"/>
      <c r="DX67" s="370"/>
      <c r="DY67" s="370"/>
      <c r="DZ67" s="387"/>
      <c r="EA67" s="283">
        <f t="shared" si="162"/>
        <v>7129529.5587599874</v>
      </c>
      <c r="EB67" s="1049">
        <f t="shared" si="75"/>
        <v>0</v>
      </c>
      <c r="EC67" s="1050"/>
      <c r="ED67" s="385">
        <f t="shared" si="163"/>
        <v>7129529.5587599874</v>
      </c>
      <c r="EE67" s="1050">
        <f t="shared" si="7"/>
        <v>0</v>
      </c>
      <c r="EF67" s="385">
        <f t="shared" si="164"/>
        <v>0</v>
      </c>
      <c r="EH67" s="323"/>
    </row>
    <row r="68" spans="1:138" outlineLevel="1" x14ac:dyDescent="0.25">
      <c r="A68" s="222"/>
      <c r="B68" s="205"/>
      <c r="C68" s="369">
        <v>0</v>
      </c>
      <c r="D68" s="369">
        <v>0</v>
      </c>
      <c r="E68" s="369">
        <v>0</v>
      </c>
      <c r="F68" s="369">
        <v>0</v>
      </c>
      <c r="G68" s="369">
        <f>SUM(H68:Q68)+SUM(V68:AE68)+AH68+AK68+SUM(AN68:AQ68)+AT68+BC68+BI68+BL68+BO68+BR68+BU68+BX68+BY68+CB68+CC68+CF68+SUM(CI68:CJ68)+CS68+CV68+CY68+CZ68+DC68+DF68+DI68+DJ68+SUM(DN68:DU68)+CM68+CP68+SUM(DX68:DZ68)+T68+AW68+AZ68+BF68</f>
        <v>0</v>
      </c>
      <c r="H68" s="234"/>
      <c r="I68" s="155"/>
      <c r="J68" s="370"/>
      <c r="K68" s="364"/>
      <c r="L68" s="363"/>
      <c r="M68" s="363"/>
      <c r="N68" s="155"/>
      <c r="O68" s="155"/>
      <c r="P68" s="155"/>
      <c r="Q68" s="155">
        <f t="shared" si="138"/>
        <v>0</v>
      </c>
      <c r="R68" s="370"/>
      <c r="S68" s="371"/>
      <c r="T68" s="155"/>
      <c r="U68" s="380"/>
      <c r="V68" s="155"/>
      <c r="W68" s="155"/>
      <c r="X68" s="155"/>
      <c r="Y68" s="155"/>
      <c r="Z68" s="155"/>
      <c r="AA68" s="155"/>
      <c r="AB68" s="155"/>
      <c r="AC68" s="155"/>
      <c r="AD68" s="155"/>
      <c r="AE68" s="155">
        <f t="shared" si="139"/>
        <v>0</v>
      </c>
      <c r="AF68" s="370"/>
      <c r="AG68" s="370"/>
      <c r="AH68" s="155">
        <f t="shared" si="140"/>
        <v>0</v>
      </c>
      <c r="AI68" s="370"/>
      <c r="AJ68" s="370"/>
      <c r="AK68" s="155">
        <f t="shared" si="141"/>
        <v>0</v>
      </c>
      <c r="AL68" s="370"/>
      <c r="AM68" s="370"/>
      <c r="AN68" s="155"/>
      <c r="AO68" s="155"/>
      <c r="AP68" s="155"/>
      <c r="AQ68" s="155">
        <f t="shared" si="142"/>
        <v>0</v>
      </c>
      <c r="AR68" s="370"/>
      <c r="AS68" s="370"/>
      <c r="AT68" s="155">
        <f t="shared" si="143"/>
        <v>0</v>
      </c>
      <c r="AU68" s="370"/>
      <c r="AV68" s="370"/>
      <c r="AW68" s="155">
        <f t="shared" si="168"/>
        <v>0</v>
      </c>
      <c r="AX68" s="370"/>
      <c r="AY68" s="370"/>
      <c r="AZ68" s="155">
        <f t="shared" si="169"/>
        <v>0</v>
      </c>
      <c r="BA68" s="370"/>
      <c r="BB68" s="370"/>
      <c r="BC68" s="155">
        <f t="shared" si="146"/>
        <v>0</v>
      </c>
      <c r="BD68" s="370"/>
      <c r="BE68" s="370"/>
      <c r="BF68" s="155">
        <f t="shared" si="170"/>
        <v>0</v>
      </c>
      <c r="BG68" s="370"/>
      <c r="BH68" s="370"/>
      <c r="BI68" s="155">
        <f t="shared" si="148"/>
        <v>0</v>
      </c>
      <c r="BJ68" s="370"/>
      <c r="BK68" s="370"/>
      <c r="BL68" s="155">
        <f t="shared" si="149"/>
        <v>0</v>
      </c>
      <c r="BM68" s="370"/>
      <c r="BN68" s="370"/>
      <c r="BO68" s="155">
        <f t="shared" si="150"/>
        <v>0</v>
      </c>
      <c r="BP68" s="370"/>
      <c r="BQ68" s="370"/>
      <c r="BR68" s="155">
        <f t="shared" si="151"/>
        <v>0</v>
      </c>
      <c r="BS68" s="370"/>
      <c r="BT68" s="370"/>
      <c r="BU68" s="155">
        <f t="shared" si="152"/>
        <v>0</v>
      </c>
      <c r="BV68" s="370"/>
      <c r="BW68" s="370"/>
      <c r="BX68" s="155"/>
      <c r="BY68" s="155">
        <f t="shared" si="153"/>
        <v>0</v>
      </c>
      <c r="BZ68" s="370"/>
      <c r="CA68" s="370"/>
      <c r="CB68" s="155"/>
      <c r="CC68" s="155">
        <f t="shared" si="154"/>
        <v>0</v>
      </c>
      <c r="CD68" s="370"/>
      <c r="CE68" s="370"/>
      <c r="CF68" s="155">
        <f t="shared" si="155"/>
        <v>0</v>
      </c>
      <c r="CG68" s="370"/>
      <c r="CH68" s="370"/>
      <c r="CI68" s="155"/>
      <c r="CJ68" s="155">
        <f t="shared" si="156"/>
        <v>0</v>
      </c>
      <c r="CK68" s="370"/>
      <c r="CL68" s="370"/>
      <c r="CM68" s="155"/>
      <c r="CN68" s="370"/>
      <c r="CO68" s="370"/>
      <c r="CP68" s="155"/>
      <c r="CQ68" s="370"/>
      <c r="CR68" s="370"/>
      <c r="CS68" s="155"/>
      <c r="CT68" s="155"/>
      <c r="CU68" s="155"/>
      <c r="CV68" s="155">
        <f t="shared" si="157"/>
        <v>0</v>
      </c>
      <c r="CW68" s="370"/>
      <c r="CX68" s="370"/>
      <c r="CY68" s="155"/>
      <c r="CZ68" s="155">
        <f t="shared" si="158"/>
        <v>0</v>
      </c>
      <c r="DA68" s="370"/>
      <c r="DB68" s="370"/>
      <c r="DC68" s="155">
        <f t="shared" si="159"/>
        <v>0</v>
      </c>
      <c r="DD68" s="370"/>
      <c r="DE68" s="370"/>
      <c r="DF68" s="155">
        <f t="shared" si="160"/>
        <v>0</v>
      </c>
      <c r="DG68" s="370"/>
      <c r="DH68" s="370"/>
      <c r="DI68" s="155"/>
      <c r="DJ68" s="155">
        <f t="shared" si="161"/>
        <v>0</v>
      </c>
      <c r="DK68" s="370"/>
      <c r="DL68" s="370"/>
      <c r="DM68" s="370"/>
      <c r="DN68" s="155"/>
      <c r="DO68" s="155"/>
      <c r="DP68" s="155"/>
      <c r="DQ68" s="155"/>
      <c r="DR68" s="155"/>
      <c r="DS68" s="155"/>
      <c r="DT68" s="155"/>
      <c r="DU68" s="155"/>
      <c r="DV68" s="370"/>
      <c r="DW68" s="370"/>
      <c r="DX68" s="155"/>
      <c r="DY68" s="155"/>
      <c r="DZ68" s="373"/>
      <c r="EA68" s="190">
        <f t="shared" si="162"/>
        <v>0</v>
      </c>
      <c r="EB68" s="337">
        <f t="shared" si="75"/>
        <v>0</v>
      </c>
      <c r="EC68" s="338"/>
      <c r="ED68" s="369">
        <f t="shared" si="163"/>
        <v>0</v>
      </c>
      <c r="EE68" s="338">
        <f t="shared" si="7"/>
        <v>0</v>
      </c>
      <c r="EF68" s="369">
        <f t="shared" si="164"/>
        <v>0</v>
      </c>
      <c r="EH68" s="322"/>
    </row>
    <row r="69" spans="1:138" ht="14.25" thickBot="1" x14ac:dyDescent="0.3">
      <c r="A69" s="213" t="s">
        <v>113</v>
      </c>
      <c r="B69" s="214" t="s">
        <v>114</v>
      </c>
      <c r="C69" s="374">
        <v>147345280.90005001</v>
      </c>
      <c r="D69" s="374">
        <v>123309187.49623001</v>
      </c>
      <c r="E69" s="374">
        <v>128565245.49623001</v>
      </c>
      <c r="F69" s="374">
        <v>132785498.49623001</v>
      </c>
      <c r="G69" s="374">
        <f t="shared" ref="G69:K69" si="172">SUM(G57:G68)</f>
        <v>103961620.55875999</v>
      </c>
      <c r="H69" s="219">
        <f t="shared" si="172"/>
        <v>0</v>
      </c>
      <c r="I69" s="217">
        <f t="shared" si="172"/>
        <v>0</v>
      </c>
      <c r="J69" s="217">
        <f t="shared" si="172"/>
        <v>0</v>
      </c>
      <c r="K69" s="217">
        <f t="shared" si="172"/>
        <v>0</v>
      </c>
      <c r="L69" s="217">
        <f t="shared" ref="L69:T69" si="173">SUM(L57:L68)</f>
        <v>52286162.558759987</v>
      </c>
      <c r="M69" s="217">
        <f t="shared" si="173"/>
        <v>600000</v>
      </c>
      <c r="N69" s="217">
        <f t="shared" si="173"/>
        <v>0</v>
      </c>
      <c r="O69" s="217">
        <f t="shared" si="173"/>
        <v>0</v>
      </c>
      <c r="P69" s="217">
        <f t="shared" ref="P69" si="174">SUM(P57:P68)</f>
        <v>0</v>
      </c>
      <c r="Q69" s="217">
        <f t="shared" si="173"/>
        <v>1600000</v>
      </c>
      <c r="R69" s="375">
        <f t="shared" si="173"/>
        <v>1600000</v>
      </c>
      <c r="S69" s="376">
        <f t="shared" si="173"/>
        <v>0</v>
      </c>
      <c r="T69" s="217">
        <f t="shared" si="173"/>
        <v>0</v>
      </c>
      <c r="U69" s="377">
        <f>SUM(U66:U68)</f>
        <v>6158080</v>
      </c>
      <c r="V69" s="217">
        <f t="shared" ref="V69:BL69" si="175">SUM(V57:V68)</f>
        <v>0</v>
      </c>
      <c r="W69" s="217">
        <f t="shared" ref="W69" si="176">SUM(W57:W68)</f>
        <v>0</v>
      </c>
      <c r="X69" s="217">
        <f t="shared" si="175"/>
        <v>0</v>
      </c>
      <c r="Y69" s="217">
        <f t="shared" si="175"/>
        <v>0</v>
      </c>
      <c r="Z69" s="217">
        <f t="shared" si="175"/>
        <v>0</v>
      </c>
      <c r="AA69" s="217">
        <f t="shared" ref="AA69" si="177">SUM(AA57:AA68)</f>
        <v>600000</v>
      </c>
      <c r="AB69" s="217">
        <f t="shared" si="175"/>
        <v>280000</v>
      </c>
      <c r="AC69" s="217">
        <f t="shared" si="175"/>
        <v>0</v>
      </c>
      <c r="AD69" s="217">
        <f t="shared" si="175"/>
        <v>0</v>
      </c>
      <c r="AE69" s="217">
        <f t="shared" si="175"/>
        <v>2400000</v>
      </c>
      <c r="AF69" s="375">
        <f t="shared" si="175"/>
        <v>2400000</v>
      </c>
      <c r="AG69" s="375">
        <f t="shared" si="175"/>
        <v>0</v>
      </c>
      <c r="AH69" s="217">
        <f t="shared" si="175"/>
        <v>0</v>
      </c>
      <c r="AI69" s="375">
        <f t="shared" si="175"/>
        <v>0</v>
      </c>
      <c r="AJ69" s="375">
        <f t="shared" si="175"/>
        <v>0</v>
      </c>
      <c r="AK69" s="217">
        <f t="shared" si="175"/>
        <v>3139000</v>
      </c>
      <c r="AL69" s="375">
        <f t="shared" si="175"/>
        <v>3139000</v>
      </c>
      <c r="AM69" s="375">
        <f t="shared" si="175"/>
        <v>0</v>
      </c>
      <c r="AN69" s="217">
        <f t="shared" si="175"/>
        <v>0</v>
      </c>
      <c r="AO69" s="217">
        <f t="shared" si="175"/>
        <v>1500000</v>
      </c>
      <c r="AP69" s="217">
        <f t="shared" si="175"/>
        <v>0</v>
      </c>
      <c r="AQ69" s="217">
        <f t="shared" si="175"/>
        <v>0</v>
      </c>
      <c r="AR69" s="375">
        <f t="shared" si="175"/>
        <v>0</v>
      </c>
      <c r="AS69" s="375">
        <f t="shared" si="175"/>
        <v>0</v>
      </c>
      <c r="AT69" s="217">
        <f t="shared" si="175"/>
        <v>4660000</v>
      </c>
      <c r="AU69" s="375">
        <f t="shared" si="175"/>
        <v>4660000</v>
      </c>
      <c r="AV69" s="375">
        <f t="shared" si="175"/>
        <v>0</v>
      </c>
      <c r="AW69" s="217">
        <f t="shared" ref="AW69:AY69" si="178">SUM(AW57:AW68)</f>
        <v>0</v>
      </c>
      <c r="AX69" s="375">
        <f t="shared" si="178"/>
        <v>0</v>
      </c>
      <c r="AY69" s="375">
        <f t="shared" si="178"/>
        <v>0</v>
      </c>
      <c r="AZ69" s="217">
        <f t="shared" ref="AZ69:BB69" si="179">SUM(AZ57:AZ68)</f>
        <v>0</v>
      </c>
      <c r="BA69" s="375">
        <f t="shared" si="179"/>
        <v>0</v>
      </c>
      <c r="BB69" s="375">
        <f t="shared" si="179"/>
        <v>0</v>
      </c>
      <c r="BC69" s="217">
        <f t="shared" si="175"/>
        <v>4098840</v>
      </c>
      <c r="BD69" s="375">
        <f t="shared" si="175"/>
        <v>4098840</v>
      </c>
      <c r="BE69" s="375">
        <f t="shared" si="175"/>
        <v>0</v>
      </c>
      <c r="BF69" s="217">
        <f t="shared" ref="BF69:BH69" si="180">SUM(BF57:BF68)</f>
        <v>8545255</v>
      </c>
      <c r="BG69" s="375">
        <f t="shared" si="180"/>
        <v>8545255</v>
      </c>
      <c r="BH69" s="375">
        <f t="shared" si="180"/>
        <v>0</v>
      </c>
      <c r="BI69" s="217">
        <f t="shared" si="175"/>
        <v>0</v>
      </c>
      <c r="BJ69" s="375">
        <f t="shared" si="175"/>
        <v>0</v>
      </c>
      <c r="BK69" s="375">
        <f t="shared" si="175"/>
        <v>0</v>
      </c>
      <c r="BL69" s="217">
        <f t="shared" si="175"/>
        <v>0</v>
      </c>
      <c r="BM69" s="375">
        <f t="shared" ref="BM69:CM69" si="181">SUM(BM57:BM68)</f>
        <v>0</v>
      </c>
      <c r="BN69" s="375">
        <f t="shared" si="181"/>
        <v>0</v>
      </c>
      <c r="BO69" s="217">
        <f t="shared" si="181"/>
        <v>0</v>
      </c>
      <c r="BP69" s="375">
        <f t="shared" si="181"/>
        <v>0</v>
      </c>
      <c r="BQ69" s="375">
        <f t="shared" si="181"/>
        <v>0</v>
      </c>
      <c r="BR69" s="217">
        <f t="shared" si="181"/>
        <v>0</v>
      </c>
      <c r="BS69" s="375">
        <f t="shared" si="181"/>
        <v>0</v>
      </c>
      <c r="BT69" s="375">
        <f t="shared" si="181"/>
        <v>0</v>
      </c>
      <c r="BU69" s="217">
        <f t="shared" si="181"/>
        <v>0</v>
      </c>
      <c r="BV69" s="375">
        <f t="shared" si="181"/>
        <v>0</v>
      </c>
      <c r="BW69" s="375">
        <f t="shared" si="181"/>
        <v>0</v>
      </c>
      <c r="BX69" s="217">
        <f t="shared" si="181"/>
        <v>0</v>
      </c>
      <c r="BY69" s="217">
        <f t="shared" si="181"/>
        <v>430000</v>
      </c>
      <c r="BZ69" s="375">
        <f t="shared" si="181"/>
        <v>430000</v>
      </c>
      <c r="CA69" s="375">
        <f t="shared" si="181"/>
        <v>0</v>
      </c>
      <c r="CB69" s="217">
        <f t="shared" si="181"/>
        <v>913550</v>
      </c>
      <c r="CC69" s="217">
        <f t="shared" si="181"/>
        <v>592000</v>
      </c>
      <c r="CD69" s="375">
        <f t="shared" si="181"/>
        <v>592000</v>
      </c>
      <c r="CE69" s="375">
        <f t="shared" si="181"/>
        <v>0</v>
      </c>
      <c r="CF69" s="217">
        <f>SUM(CF57:CF68)</f>
        <v>3513000</v>
      </c>
      <c r="CG69" s="375">
        <f t="shared" si="181"/>
        <v>3513000</v>
      </c>
      <c r="CH69" s="375">
        <f t="shared" si="181"/>
        <v>0</v>
      </c>
      <c r="CI69" s="217">
        <f t="shared" si="181"/>
        <v>0</v>
      </c>
      <c r="CJ69" s="217">
        <f t="shared" si="181"/>
        <v>350000</v>
      </c>
      <c r="CK69" s="375">
        <f t="shared" si="181"/>
        <v>350000</v>
      </c>
      <c r="CL69" s="375">
        <f t="shared" si="181"/>
        <v>0</v>
      </c>
      <c r="CM69" s="217">
        <f t="shared" si="181"/>
        <v>0</v>
      </c>
      <c r="CN69" s="375"/>
      <c r="CO69" s="375"/>
      <c r="CP69" s="217">
        <f>SUM(CP57:CP68)</f>
        <v>12063940</v>
      </c>
      <c r="CQ69" s="217">
        <f t="shared" ref="CQ69:CR69" si="182">SUM(CQ57:CQ68)</f>
        <v>12063940</v>
      </c>
      <c r="CR69" s="217">
        <f t="shared" si="182"/>
        <v>0</v>
      </c>
      <c r="CS69" s="217">
        <f>SUM(CS57:CS68)</f>
        <v>0</v>
      </c>
      <c r="CT69" s="217">
        <f t="shared" ref="CT69:CU69" si="183">SUM(CT57:CT68)</f>
        <v>0</v>
      </c>
      <c r="CU69" s="217">
        <f t="shared" si="183"/>
        <v>0</v>
      </c>
      <c r="CV69" s="217">
        <f t="shared" ref="CV69:DZ69" si="184">SUM(CV57:CV68)</f>
        <v>81793</v>
      </c>
      <c r="CW69" s="375">
        <f t="shared" si="184"/>
        <v>81793</v>
      </c>
      <c r="CX69" s="375">
        <f t="shared" si="184"/>
        <v>0</v>
      </c>
      <c r="CY69" s="217">
        <f t="shared" si="184"/>
        <v>0</v>
      </c>
      <c r="CZ69" s="217">
        <f t="shared" si="184"/>
        <v>0</v>
      </c>
      <c r="DA69" s="375">
        <f t="shared" si="184"/>
        <v>0</v>
      </c>
      <c r="DB69" s="375">
        <f t="shared" si="184"/>
        <v>0</v>
      </c>
      <c r="DC69" s="217">
        <f t="shared" si="184"/>
        <v>0</v>
      </c>
      <c r="DD69" s="375">
        <f t="shared" si="184"/>
        <v>0</v>
      </c>
      <c r="DE69" s="375">
        <f t="shared" si="184"/>
        <v>0</v>
      </c>
      <c r="DF69" s="217">
        <f t="shared" si="184"/>
        <v>0</v>
      </c>
      <c r="DG69" s="375">
        <f t="shared" si="184"/>
        <v>0</v>
      </c>
      <c r="DH69" s="375">
        <f t="shared" si="184"/>
        <v>0</v>
      </c>
      <c r="DI69" s="217">
        <f t="shared" si="184"/>
        <v>0</v>
      </c>
      <c r="DJ69" s="217">
        <f t="shared" si="184"/>
        <v>150000</v>
      </c>
      <c r="DK69" s="375">
        <f t="shared" si="184"/>
        <v>150000</v>
      </c>
      <c r="DL69" s="375">
        <f t="shared" si="184"/>
        <v>0</v>
      </c>
      <c r="DM69" s="375">
        <f t="shared" si="184"/>
        <v>0</v>
      </c>
      <c r="DN69" s="217">
        <f t="shared" si="184"/>
        <v>0</v>
      </c>
      <c r="DO69" s="217">
        <f t="shared" si="184"/>
        <v>0</v>
      </c>
      <c r="DP69" s="217">
        <f t="shared" si="184"/>
        <v>0</v>
      </c>
      <c r="DQ69" s="217">
        <f t="shared" si="184"/>
        <v>0</v>
      </c>
      <c r="DR69" s="217">
        <f t="shared" si="184"/>
        <v>0</v>
      </c>
      <c r="DS69" s="217">
        <f t="shared" si="184"/>
        <v>0</v>
      </c>
      <c r="DT69" s="217">
        <f t="shared" si="184"/>
        <v>0</v>
      </c>
      <c r="DU69" s="217">
        <f t="shared" si="184"/>
        <v>0</v>
      </c>
      <c r="DV69" s="375">
        <f t="shared" ref="DV69:DW69" si="185">SUM(DV57:DV68)</f>
        <v>0</v>
      </c>
      <c r="DW69" s="375">
        <f t="shared" si="185"/>
        <v>0</v>
      </c>
      <c r="DX69" s="217">
        <f t="shared" si="184"/>
        <v>0</v>
      </c>
      <c r="DY69" s="217">
        <f t="shared" si="184"/>
        <v>0</v>
      </c>
      <c r="DZ69" s="378">
        <f t="shared" si="184"/>
        <v>0</v>
      </c>
      <c r="EA69" s="190"/>
      <c r="EB69" s="337"/>
      <c r="EC69" s="338"/>
      <c r="ED69" s="374">
        <f>SUM(ED57:ED68)</f>
        <v>97803540.558759987</v>
      </c>
      <c r="EE69" s="338">
        <f t="shared" si="7"/>
        <v>0</v>
      </c>
      <c r="EF69" s="374">
        <f>SUM(EF57:EF68)</f>
        <v>6158080</v>
      </c>
      <c r="EH69" s="322"/>
    </row>
    <row r="70" spans="1:138" outlineLevel="1" x14ac:dyDescent="0.25">
      <c r="A70" s="222"/>
      <c r="B70" s="205"/>
      <c r="C70" s="399"/>
      <c r="D70" s="399"/>
      <c r="E70" s="399"/>
      <c r="F70" s="399"/>
      <c r="G70" s="399"/>
      <c r="H70" s="413"/>
      <c r="I70" s="407"/>
      <c r="J70" s="407"/>
      <c r="K70" s="407"/>
      <c r="L70" s="407"/>
      <c r="M70" s="407"/>
      <c r="N70" s="407"/>
      <c r="O70" s="407"/>
      <c r="P70" s="407"/>
      <c r="Q70" s="407">
        <f t="shared" ref="Q70:Q71" si="186">+R70+S70</f>
        <v>0</v>
      </c>
      <c r="R70" s="408"/>
      <c r="S70" s="409"/>
      <c r="T70" s="407"/>
      <c r="U70" s="410">
        <f t="shared" ref="U70:U71" si="187">+S70+AS70+CH70+CE70+CA70+DM70+AG70+AM70+AV70+BE70+BK70+BN70+BQ70+BT70+BW70+CL70+CX70+DB70+DE70+DH70+AJ70+DW70</f>
        <v>0</v>
      </c>
      <c r="V70" s="407"/>
      <c r="W70" s="407"/>
      <c r="X70" s="407"/>
      <c r="Y70" s="407"/>
      <c r="Z70" s="407"/>
      <c r="AA70" s="407"/>
      <c r="AB70" s="407"/>
      <c r="AC70" s="407"/>
      <c r="AD70" s="407"/>
      <c r="AE70" s="407">
        <f t="shared" ref="AE70:AE71" si="188">+AF70+AG70</f>
        <v>0</v>
      </c>
      <c r="AF70" s="408"/>
      <c r="AG70" s="408"/>
      <c r="AH70" s="407">
        <f t="shared" ref="AH70:AH71" si="189">+AI70+AJ70</f>
        <v>0</v>
      </c>
      <c r="AI70" s="408"/>
      <c r="AJ70" s="408"/>
      <c r="AK70" s="407">
        <f t="shared" ref="AK70:AK71" si="190">+AL70+AM70</f>
        <v>0</v>
      </c>
      <c r="AL70" s="408"/>
      <c r="AM70" s="408"/>
      <c r="AN70" s="407"/>
      <c r="AO70" s="407"/>
      <c r="AP70" s="407"/>
      <c r="AQ70" s="407">
        <f t="shared" ref="AQ70:AQ71" si="191">+AR70+AS70</f>
        <v>0</v>
      </c>
      <c r="AR70" s="408"/>
      <c r="AS70" s="408"/>
      <c r="AT70" s="407">
        <f t="shared" ref="AT70:AT71" si="192">+AU70+AV70</f>
        <v>0</v>
      </c>
      <c r="AU70" s="408"/>
      <c r="AV70" s="408"/>
      <c r="AW70" s="407">
        <f t="shared" ref="AW70:AW71" si="193">+AX70+AY70</f>
        <v>0</v>
      </c>
      <c r="AX70" s="408"/>
      <c r="AY70" s="408"/>
      <c r="AZ70" s="407">
        <f t="shared" ref="AZ70:AZ71" si="194">+BA70+BB70</f>
        <v>0</v>
      </c>
      <c r="BA70" s="408"/>
      <c r="BB70" s="408"/>
      <c r="BC70" s="407">
        <f t="shared" ref="BC70:BC71" si="195">+BD70+BE70</f>
        <v>0</v>
      </c>
      <c r="BD70" s="408"/>
      <c r="BE70" s="408"/>
      <c r="BF70" s="407">
        <f t="shared" ref="BF70:BF71" si="196">+BG70+BH70</f>
        <v>0</v>
      </c>
      <c r="BG70" s="408"/>
      <c r="BH70" s="408"/>
      <c r="BI70" s="407">
        <f t="shared" ref="BI70:BI71" si="197">+BJ70+BK70</f>
        <v>0</v>
      </c>
      <c r="BJ70" s="408"/>
      <c r="BK70" s="408"/>
      <c r="BL70" s="407">
        <f t="shared" ref="BL70:BL71" si="198">+BM70+BN70</f>
        <v>0</v>
      </c>
      <c r="BM70" s="408"/>
      <c r="BN70" s="408"/>
      <c r="BO70" s="407">
        <f t="shared" ref="BO70:BO71" si="199">+BP70+BQ70</f>
        <v>0</v>
      </c>
      <c r="BP70" s="408"/>
      <c r="BQ70" s="408"/>
      <c r="BR70" s="407">
        <f t="shared" ref="BR70:BR71" si="200">+BS70+BT70</f>
        <v>0</v>
      </c>
      <c r="BS70" s="408"/>
      <c r="BT70" s="408"/>
      <c r="BU70" s="407">
        <f t="shared" ref="BU70:BU71" si="201">+BV70+BW70</f>
        <v>0</v>
      </c>
      <c r="BV70" s="408"/>
      <c r="BW70" s="408"/>
      <c r="BX70" s="407"/>
      <c r="BY70" s="407">
        <f t="shared" ref="BY70:BY71" si="202">+BZ70+CA70</f>
        <v>0</v>
      </c>
      <c r="BZ70" s="408"/>
      <c r="CA70" s="408"/>
      <c r="CB70" s="407"/>
      <c r="CC70" s="407">
        <f t="shared" ref="CC70:CC71" si="203">+CD70+CE70</f>
        <v>0</v>
      </c>
      <c r="CD70" s="408"/>
      <c r="CE70" s="408"/>
      <c r="CF70" s="407">
        <f t="shared" ref="CF70:CF71" si="204">+CG70+CH70</f>
        <v>0</v>
      </c>
      <c r="CG70" s="408"/>
      <c r="CH70" s="408"/>
      <c r="CI70" s="407"/>
      <c r="CJ70" s="407">
        <f t="shared" ref="CJ70:CJ71" si="205">+CK70+CL70</f>
        <v>0</v>
      </c>
      <c r="CK70" s="408"/>
      <c r="CL70" s="408"/>
      <c r="CM70" s="407"/>
      <c r="CN70" s="408"/>
      <c r="CO70" s="408"/>
      <c r="CP70" s="407"/>
      <c r="CQ70" s="408"/>
      <c r="CR70" s="408"/>
      <c r="CS70" s="407"/>
      <c r="CT70" s="407"/>
      <c r="CU70" s="407"/>
      <c r="CV70" s="407">
        <f t="shared" ref="CV70:CV71" si="206">+CW70+CX70</f>
        <v>0</v>
      </c>
      <c r="CW70" s="408"/>
      <c r="CX70" s="408"/>
      <c r="CY70" s="407"/>
      <c r="CZ70" s="407">
        <f t="shared" ref="CZ70:CZ71" si="207">+DA70+DB70</f>
        <v>0</v>
      </c>
      <c r="DA70" s="408"/>
      <c r="DB70" s="408"/>
      <c r="DC70" s="407">
        <f t="shared" ref="DC70:DC71" si="208">+DD70+DE70</f>
        <v>0</v>
      </c>
      <c r="DD70" s="408"/>
      <c r="DE70" s="408"/>
      <c r="DF70" s="407">
        <f t="shared" ref="DF70:DF71" si="209">+DG70+DH70</f>
        <v>0</v>
      </c>
      <c r="DG70" s="408"/>
      <c r="DH70" s="408"/>
      <c r="DI70" s="407"/>
      <c r="DJ70" s="407">
        <f t="shared" ref="DJ70:DJ71" si="210">+DK70+DL70+DM70</f>
        <v>0</v>
      </c>
      <c r="DK70" s="408"/>
      <c r="DL70" s="408"/>
      <c r="DM70" s="408"/>
      <c r="DN70" s="407"/>
      <c r="DO70" s="407"/>
      <c r="DP70" s="407"/>
      <c r="DQ70" s="407"/>
      <c r="DR70" s="407"/>
      <c r="DS70" s="407"/>
      <c r="DT70" s="407"/>
      <c r="DU70" s="407"/>
      <c r="DV70" s="408"/>
      <c r="DW70" s="408"/>
      <c r="DX70" s="407"/>
      <c r="DY70" s="407"/>
      <c r="DZ70" s="411"/>
      <c r="EA70" s="190">
        <f t="shared" ref="EA70:EA71" si="211">+H70+I70+J70+L70+N70+O70+Q70+T70+U70+V70+X70+Y70+Z70+AB70+AC70+AD70+AE70+AH70+AK70+AN70+AO70+AP70+AQ70+AT70+BC70+BI70+BL70+BO70+BR70+BU70+BX70+BY70+CB70+CC70+CF70+CI70+CJ70+CM70+CP70+CS70+CV70+CY70+CZ70+DC70+DF70+DI70+DJ70+DN70+DO70+DP70+DQ70+DR70+DT70+DU70+DX70+DY70+DZ70+BF70+AZ70+AW70+AA70-U70+K70+M70+W70</f>
        <v>0</v>
      </c>
      <c r="EB70" s="337">
        <f t="shared" si="75"/>
        <v>0</v>
      </c>
      <c r="EC70" s="338"/>
      <c r="ED70" s="399">
        <f t="shared" ref="ED70:ED71" si="212">+G70-EF70</f>
        <v>0</v>
      </c>
      <c r="EE70" s="338">
        <f t="shared" si="7"/>
        <v>0</v>
      </c>
      <c r="EF70" s="399"/>
      <c r="EH70" s="322"/>
    </row>
    <row r="71" spans="1:138" outlineLevel="1" x14ac:dyDescent="0.25">
      <c r="A71" s="414" t="s">
        <v>115</v>
      </c>
      <c r="B71" s="398" t="s">
        <v>116</v>
      </c>
      <c r="C71" s="390">
        <v>6453913</v>
      </c>
      <c r="D71" s="390">
        <v>7363004</v>
      </c>
      <c r="E71" s="390">
        <v>7363004</v>
      </c>
      <c r="F71" s="390">
        <v>7363004</v>
      </c>
      <c r="G71" s="390">
        <f>SUM(H71:Q71)+SUM(V71:AE71)+AH71+AK71+SUM(AN71:AQ71)+AT71+BC71+BI71+BL71+BO71+BR71+BU71+BX71+BY71+CB71+CC71+CF71+SUM(CI71:CJ71)+CS71+CV71+CY71+CZ71+DC71+DF71+DI71+DJ71+SUM(DN71:DU71)+CM71+CP71+SUM(DX71:DZ71)+T71+AW71+AZ71</f>
        <v>29142971</v>
      </c>
      <c r="H71" s="416"/>
      <c r="I71" s="392">
        <f>'[2]Splátky jistiny'!$B$4</f>
        <v>29142971</v>
      </c>
      <c r="J71" s="392"/>
      <c r="K71" s="392"/>
      <c r="L71" s="417"/>
      <c r="M71" s="417"/>
      <c r="N71" s="417"/>
      <c r="O71" s="417"/>
      <c r="P71" s="417"/>
      <c r="Q71" s="417">
        <f t="shared" si="186"/>
        <v>0</v>
      </c>
      <c r="R71" s="418"/>
      <c r="S71" s="419"/>
      <c r="T71" s="417"/>
      <c r="U71" s="420">
        <f t="shared" si="187"/>
        <v>0</v>
      </c>
      <c r="V71" s="417"/>
      <c r="W71" s="417"/>
      <c r="X71" s="417"/>
      <c r="Y71" s="417"/>
      <c r="Z71" s="417"/>
      <c r="AA71" s="417"/>
      <c r="AB71" s="417"/>
      <c r="AC71" s="417"/>
      <c r="AD71" s="417"/>
      <c r="AE71" s="417">
        <f t="shared" si="188"/>
        <v>0</v>
      </c>
      <c r="AF71" s="418"/>
      <c r="AG71" s="418"/>
      <c r="AH71" s="417">
        <f t="shared" si="189"/>
        <v>0</v>
      </c>
      <c r="AI71" s="418"/>
      <c r="AJ71" s="418"/>
      <c r="AK71" s="417">
        <f t="shared" si="190"/>
        <v>0</v>
      </c>
      <c r="AL71" s="418"/>
      <c r="AM71" s="418"/>
      <c r="AN71" s="417"/>
      <c r="AO71" s="417"/>
      <c r="AP71" s="417"/>
      <c r="AQ71" s="417">
        <f t="shared" si="191"/>
        <v>0</v>
      </c>
      <c r="AR71" s="418"/>
      <c r="AS71" s="418"/>
      <c r="AT71" s="417">
        <f t="shared" si="192"/>
        <v>0</v>
      </c>
      <c r="AU71" s="418"/>
      <c r="AV71" s="418"/>
      <c r="AW71" s="417">
        <f t="shared" si="193"/>
        <v>0</v>
      </c>
      <c r="AX71" s="418"/>
      <c r="AY71" s="418"/>
      <c r="AZ71" s="417">
        <f t="shared" si="194"/>
        <v>0</v>
      </c>
      <c r="BA71" s="418"/>
      <c r="BB71" s="418"/>
      <c r="BC71" s="417">
        <f t="shared" si="195"/>
        <v>0</v>
      </c>
      <c r="BD71" s="418"/>
      <c r="BE71" s="418"/>
      <c r="BF71" s="417">
        <f t="shared" si="196"/>
        <v>0</v>
      </c>
      <c r="BG71" s="418"/>
      <c r="BH71" s="418"/>
      <c r="BI71" s="417">
        <f t="shared" si="197"/>
        <v>0</v>
      </c>
      <c r="BJ71" s="418"/>
      <c r="BK71" s="418"/>
      <c r="BL71" s="417">
        <f t="shared" si="198"/>
        <v>0</v>
      </c>
      <c r="BM71" s="418"/>
      <c r="BN71" s="418"/>
      <c r="BO71" s="417">
        <f t="shared" si="199"/>
        <v>0</v>
      </c>
      <c r="BP71" s="418"/>
      <c r="BQ71" s="418"/>
      <c r="BR71" s="417">
        <f t="shared" si="200"/>
        <v>0</v>
      </c>
      <c r="BS71" s="418"/>
      <c r="BT71" s="418"/>
      <c r="BU71" s="417">
        <f t="shared" si="201"/>
        <v>0</v>
      </c>
      <c r="BV71" s="418"/>
      <c r="BW71" s="418"/>
      <c r="BX71" s="417"/>
      <c r="BY71" s="417">
        <f t="shared" si="202"/>
        <v>0</v>
      </c>
      <c r="BZ71" s="418"/>
      <c r="CA71" s="418"/>
      <c r="CB71" s="417"/>
      <c r="CC71" s="417">
        <f t="shared" si="203"/>
        <v>0</v>
      </c>
      <c r="CD71" s="418"/>
      <c r="CE71" s="418"/>
      <c r="CF71" s="417">
        <f t="shared" si="204"/>
        <v>0</v>
      </c>
      <c r="CG71" s="418"/>
      <c r="CH71" s="418"/>
      <c r="CI71" s="417"/>
      <c r="CJ71" s="417">
        <f t="shared" si="205"/>
        <v>0</v>
      </c>
      <c r="CK71" s="418"/>
      <c r="CL71" s="418"/>
      <c r="CM71" s="417"/>
      <c r="CN71" s="418"/>
      <c r="CO71" s="418"/>
      <c r="CP71" s="417"/>
      <c r="CQ71" s="418"/>
      <c r="CR71" s="418"/>
      <c r="CS71" s="417"/>
      <c r="CT71" s="417"/>
      <c r="CU71" s="417"/>
      <c r="CV71" s="417">
        <f t="shared" si="206"/>
        <v>0</v>
      </c>
      <c r="CW71" s="418"/>
      <c r="CX71" s="418"/>
      <c r="CY71" s="417"/>
      <c r="CZ71" s="417">
        <f t="shared" si="207"/>
        <v>0</v>
      </c>
      <c r="DA71" s="418"/>
      <c r="DB71" s="418"/>
      <c r="DC71" s="417">
        <f t="shared" si="208"/>
        <v>0</v>
      </c>
      <c r="DD71" s="418"/>
      <c r="DE71" s="418"/>
      <c r="DF71" s="417">
        <f t="shared" si="209"/>
        <v>0</v>
      </c>
      <c r="DG71" s="418"/>
      <c r="DH71" s="418"/>
      <c r="DI71" s="417"/>
      <c r="DJ71" s="417">
        <f t="shared" si="210"/>
        <v>0</v>
      </c>
      <c r="DK71" s="418"/>
      <c r="DL71" s="418"/>
      <c r="DM71" s="418"/>
      <c r="DN71" s="417"/>
      <c r="DO71" s="417"/>
      <c r="DP71" s="417"/>
      <c r="DQ71" s="417"/>
      <c r="DR71" s="417"/>
      <c r="DS71" s="417"/>
      <c r="DT71" s="417"/>
      <c r="DU71" s="417"/>
      <c r="DV71" s="418"/>
      <c r="DW71" s="418"/>
      <c r="DX71" s="417"/>
      <c r="DY71" s="417"/>
      <c r="DZ71" s="421"/>
      <c r="EA71" s="190">
        <f t="shared" si="211"/>
        <v>29142971</v>
      </c>
      <c r="EB71" s="337">
        <f t="shared" si="75"/>
        <v>0</v>
      </c>
      <c r="EC71" s="338"/>
      <c r="ED71" s="390">
        <f t="shared" si="212"/>
        <v>29142971</v>
      </c>
      <c r="EE71" s="338">
        <f t="shared" si="7"/>
        <v>0</v>
      </c>
      <c r="EF71" s="390"/>
      <c r="EH71" s="322"/>
    </row>
    <row r="72" spans="1:138" ht="16.5" customHeight="1" thickBot="1" x14ac:dyDescent="0.3">
      <c r="A72" s="213" t="s">
        <v>117</v>
      </c>
      <c r="B72" s="214" t="s">
        <v>116</v>
      </c>
      <c r="C72" s="374">
        <v>6453913</v>
      </c>
      <c r="D72" s="374">
        <v>7363004</v>
      </c>
      <c r="E72" s="374">
        <v>7363004</v>
      </c>
      <c r="F72" s="374">
        <v>7363004</v>
      </c>
      <c r="G72" s="374">
        <f>+G71</f>
        <v>29142971</v>
      </c>
      <c r="H72" s="219">
        <f t="shared" ref="H72:DZ72" si="213">+H71</f>
        <v>0</v>
      </c>
      <c r="I72" s="217">
        <f t="shared" si="213"/>
        <v>29142971</v>
      </c>
      <c r="J72" s="217">
        <f t="shared" si="213"/>
        <v>0</v>
      </c>
      <c r="K72" s="217">
        <f t="shared" si="213"/>
        <v>0</v>
      </c>
      <c r="L72" s="217">
        <f t="shared" si="213"/>
        <v>0</v>
      </c>
      <c r="M72" s="217">
        <f t="shared" ref="M72" si="214">+M71</f>
        <v>0</v>
      </c>
      <c r="N72" s="217">
        <f t="shared" si="213"/>
        <v>0</v>
      </c>
      <c r="O72" s="217">
        <f t="shared" ref="O72:P72" si="215">+O71</f>
        <v>0</v>
      </c>
      <c r="P72" s="217">
        <f t="shared" si="215"/>
        <v>0</v>
      </c>
      <c r="Q72" s="217">
        <f t="shared" si="213"/>
        <v>0</v>
      </c>
      <c r="R72" s="375">
        <f>+R71</f>
        <v>0</v>
      </c>
      <c r="S72" s="376">
        <f>+S71</f>
        <v>0</v>
      </c>
      <c r="T72" s="217">
        <f t="shared" ref="T72" si="216">+T71</f>
        <v>0</v>
      </c>
      <c r="U72" s="377">
        <f t="shared" si="213"/>
        <v>0</v>
      </c>
      <c r="V72" s="217">
        <f t="shared" si="213"/>
        <v>0</v>
      </c>
      <c r="W72" s="217">
        <f t="shared" ref="W72" si="217">+W71</f>
        <v>0</v>
      </c>
      <c r="X72" s="217">
        <f t="shared" si="213"/>
        <v>0</v>
      </c>
      <c r="Y72" s="217">
        <f t="shared" si="213"/>
        <v>0</v>
      </c>
      <c r="Z72" s="217">
        <f t="shared" si="213"/>
        <v>0</v>
      </c>
      <c r="AA72" s="217">
        <f t="shared" ref="AA72" si="218">+AA71</f>
        <v>0</v>
      </c>
      <c r="AB72" s="217">
        <f t="shared" si="213"/>
        <v>0</v>
      </c>
      <c r="AC72" s="217">
        <f t="shared" si="213"/>
        <v>0</v>
      </c>
      <c r="AD72" s="217">
        <f t="shared" si="213"/>
        <v>0</v>
      </c>
      <c r="AE72" s="217">
        <f t="shared" si="213"/>
        <v>0</v>
      </c>
      <c r="AF72" s="375">
        <f>+AF71</f>
        <v>0</v>
      </c>
      <c r="AG72" s="375">
        <f>+AG71</f>
        <v>0</v>
      </c>
      <c r="AH72" s="217">
        <f t="shared" si="213"/>
        <v>0</v>
      </c>
      <c r="AI72" s="375">
        <f>+AI71</f>
        <v>0</v>
      </c>
      <c r="AJ72" s="375">
        <f>+AJ71</f>
        <v>0</v>
      </c>
      <c r="AK72" s="217">
        <f t="shared" si="213"/>
        <v>0</v>
      </c>
      <c r="AL72" s="375">
        <f>+AL71</f>
        <v>0</v>
      </c>
      <c r="AM72" s="375">
        <f>+AM71</f>
        <v>0</v>
      </c>
      <c r="AN72" s="217">
        <f t="shared" si="213"/>
        <v>0</v>
      </c>
      <c r="AO72" s="217">
        <f t="shared" si="213"/>
        <v>0</v>
      </c>
      <c r="AP72" s="217">
        <f t="shared" si="213"/>
        <v>0</v>
      </c>
      <c r="AQ72" s="217">
        <f t="shared" si="213"/>
        <v>0</v>
      </c>
      <c r="AR72" s="375">
        <f>+AR71</f>
        <v>0</v>
      </c>
      <c r="AS72" s="375">
        <f>+AS71</f>
        <v>0</v>
      </c>
      <c r="AT72" s="217">
        <f t="shared" si="213"/>
        <v>0</v>
      </c>
      <c r="AU72" s="375">
        <f>+AU71</f>
        <v>0</v>
      </c>
      <c r="AV72" s="375">
        <f>+AV71</f>
        <v>0</v>
      </c>
      <c r="AW72" s="217">
        <f t="shared" ref="AW72" si="219">+AW71</f>
        <v>0</v>
      </c>
      <c r="AX72" s="375">
        <f>+AX71</f>
        <v>0</v>
      </c>
      <c r="AY72" s="375">
        <f>+AY71</f>
        <v>0</v>
      </c>
      <c r="AZ72" s="217">
        <f t="shared" ref="AZ72" si="220">+AZ71</f>
        <v>0</v>
      </c>
      <c r="BA72" s="375">
        <f>+BA71</f>
        <v>0</v>
      </c>
      <c r="BB72" s="375">
        <f>+BB71</f>
        <v>0</v>
      </c>
      <c r="BC72" s="217">
        <f t="shared" si="213"/>
        <v>0</v>
      </c>
      <c r="BD72" s="375">
        <f t="shared" si="213"/>
        <v>0</v>
      </c>
      <c r="BE72" s="375">
        <f t="shared" si="213"/>
        <v>0</v>
      </c>
      <c r="BF72" s="217">
        <f t="shared" ref="BF72:BH72" si="221">+BF71</f>
        <v>0</v>
      </c>
      <c r="BG72" s="375">
        <f t="shared" si="221"/>
        <v>0</v>
      </c>
      <c r="BH72" s="375">
        <f t="shared" si="221"/>
        <v>0</v>
      </c>
      <c r="BI72" s="217">
        <f t="shared" si="213"/>
        <v>0</v>
      </c>
      <c r="BJ72" s="375">
        <f t="shared" si="213"/>
        <v>0</v>
      </c>
      <c r="BK72" s="375">
        <f t="shared" si="213"/>
        <v>0</v>
      </c>
      <c r="BL72" s="217">
        <f t="shared" si="213"/>
        <v>0</v>
      </c>
      <c r="BM72" s="375">
        <f t="shared" si="213"/>
        <v>0</v>
      </c>
      <c r="BN72" s="375">
        <f t="shared" si="213"/>
        <v>0</v>
      </c>
      <c r="BO72" s="217">
        <f t="shared" si="213"/>
        <v>0</v>
      </c>
      <c r="BP72" s="375">
        <f t="shared" si="213"/>
        <v>0</v>
      </c>
      <c r="BQ72" s="375">
        <f t="shared" si="213"/>
        <v>0</v>
      </c>
      <c r="BR72" s="217">
        <f t="shared" si="213"/>
        <v>0</v>
      </c>
      <c r="BS72" s="375">
        <f t="shared" si="213"/>
        <v>0</v>
      </c>
      <c r="BT72" s="375">
        <f t="shared" si="213"/>
        <v>0</v>
      </c>
      <c r="BU72" s="217">
        <f t="shared" si="213"/>
        <v>0</v>
      </c>
      <c r="BV72" s="375">
        <f t="shared" si="213"/>
        <v>0</v>
      </c>
      <c r="BW72" s="375">
        <f t="shared" si="213"/>
        <v>0</v>
      </c>
      <c r="BX72" s="217">
        <f t="shared" si="213"/>
        <v>0</v>
      </c>
      <c r="BY72" s="217">
        <f>+BY71</f>
        <v>0</v>
      </c>
      <c r="BZ72" s="375">
        <f>+BZ71</f>
        <v>0</v>
      </c>
      <c r="CA72" s="375">
        <f>+CA71</f>
        <v>0</v>
      </c>
      <c r="CB72" s="217">
        <f t="shared" si="213"/>
        <v>0</v>
      </c>
      <c r="CC72" s="217">
        <f t="shared" si="213"/>
        <v>0</v>
      </c>
      <c r="CD72" s="375">
        <f t="shared" si="213"/>
        <v>0</v>
      </c>
      <c r="CE72" s="375">
        <f t="shared" si="213"/>
        <v>0</v>
      </c>
      <c r="CF72" s="217">
        <f t="shared" si="213"/>
        <v>0</v>
      </c>
      <c r="CG72" s="375">
        <f>+CG71</f>
        <v>0</v>
      </c>
      <c r="CH72" s="375">
        <f>+CH71</f>
        <v>0</v>
      </c>
      <c r="CI72" s="217">
        <f t="shared" si="213"/>
        <v>0</v>
      </c>
      <c r="CJ72" s="217">
        <f t="shared" si="213"/>
        <v>0</v>
      </c>
      <c r="CK72" s="375">
        <f t="shared" si="213"/>
        <v>0</v>
      </c>
      <c r="CL72" s="375">
        <f t="shared" si="213"/>
        <v>0</v>
      </c>
      <c r="CM72" s="217">
        <f t="shared" si="213"/>
        <v>0</v>
      </c>
      <c r="CN72" s="375"/>
      <c r="CO72" s="375"/>
      <c r="CP72" s="217">
        <f t="shared" si="213"/>
        <v>0</v>
      </c>
      <c r="CQ72" s="217">
        <f t="shared" ref="CQ72:CR72" si="222">+CQ71</f>
        <v>0</v>
      </c>
      <c r="CR72" s="217">
        <f t="shared" si="222"/>
        <v>0</v>
      </c>
      <c r="CS72" s="217">
        <f t="shared" si="213"/>
        <v>0</v>
      </c>
      <c r="CT72" s="217">
        <f t="shared" ref="CT72:CU72" si="223">+CT71</f>
        <v>0</v>
      </c>
      <c r="CU72" s="217">
        <f t="shared" si="223"/>
        <v>0</v>
      </c>
      <c r="CV72" s="217">
        <f t="shared" si="213"/>
        <v>0</v>
      </c>
      <c r="CW72" s="375">
        <f>+CW71</f>
        <v>0</v>
      </c>
      <c r="CX72" s="375">
        <f>+CX71</f>
        <v>0</v>
      </c>
      <c r="CY72" s="217">
        <f t="shared" si="213"/>
        <v>0</v>
      </c>
      <c r="CZ72" s="217">
        <f t="shared" si="213"/>
        <v>0</v>
      </c>
      <c r="DA72" s="375">
        <f>+DA71</f>
        <v>0</v>
      </c>
      <c r="DB72" s="375">
        <f>+DB71</f>
        <v>0</v>
      </c>
      <c r="DC72" s="217">
        <f t="shared" si="213"/>
        <v>0</v>
      </c>
      <c r="DD72" s="375">
        <f>+DD71</f>
        <v>0</v>
      </c>
      <c r="DE72" s="375">
        <f>+DE71</f>
        <v>0</v>
      </c>
      <c r="DF72" s="217">
        <f t="shared" si="213"/>
        <v>0</v>
      </c>
      <c r="DG72" s="375">
        <f>+DG71</f>
        <v>0</v>
      </c>
      <c r="DH72" s="375">
        <f>+DH71</f>
        <v>0</v>
      </c>
      <c r="DI72" s="217">
        <f t="shared" si="213"/>
        <v>0</v>
      </c>
      <c r="DJ72" s="217">
        <f t="shared" si="213"/>
        <v>0</v>
      </c>
      <c r="DK72" s="375">
        <f t="shared" ref="DK72:DT72" si="224">+DK71</f>
        <v>0</v>
      </c>
      <c r="DL72" s="375">
        <f t="shared" si="224"/>
        <v>0</v>
      </c>
      <c r="DM72" s="375">
        <f t="shared" si="224"/>
        <v>0</v>
      </c>
      <c r="DN72" s="217">
        <f t="shared" si="224"/>
        <v>0</v>
      </c>
      <c r="DO72" s="217">
        <f t="shared" ref="DO72:DQ72" si="225">+DO71</f>
        <v>0</v>
      </c>
      <c r="DP72" s="217">
        <f t="shared" si="225"/>
        <v>0</v>
      </c>
      <c r="DQ72" s="217">
        <f t="shared" si="225"/>
        <v>0</v>
      </c>
      <c r="DR72" s="217">
        <f t="shared" si="224"/>
        <v>0</v>
      </c>
      <c r="DS72" s="217">
        <f t="shared" si="224"/>
        <v>0</v>
      </c>
      <c r="DT72" s="217">
        <f t="shared" si="224"/>
        <v>0</v>
      </c>
      <c r="DU72" s="217">
        <f t="shared" si="213"/>
        <v>0</v>
      </c>
      <c r="DV72" s="375">
        <f t="shared" si="213"/>
        <v>0</v>
      </c>
      <c r="DW72" s="375">
        <f t="shared" si="213"/>
        <v>0</v>
      </c>
      <c r="DX72" s="217">
        <f t="shared" si="213"/>
        <v>0</v>
      </c>
      <c r="DY72" s="217">
        <f t="shared" si="213"/>
        <v>0</v>
      </c>
      <c r="DZ72" s="378">
        <f t="shared" si="213"/>
        <v>0</v>
      </c>
      <c r="EA72" s="190">
        <f t="shared" si="50"/>
        <v>29142971</v>
      </c>
      <c r="EB72" s="337">
        <f t="shared" si="75"/>
        <v>0</v>
      </c>
      <c r="EC72" s="338"/>
      <c r="ED72" s="374">
        <f>+ED71</f>
        <v>29142971</v>
      </c>
      <c r="EE72" s="338">
        <f t="shared" si="7"/>
        <v>0</v>
      </c>
      <c r="EF72" s="374">
        <f>+EF71</f>
        <v>0</v>
      </c>
      <c r="EH72" s="322"/>
    </row>
    <row r="73" spans="1:138" ht="14.25" thickBot="1" x14ac:dyDescent="0.3">
      <c r="A73" s="414">
        <v>8115</v>
      </c>
      <c r="B73" s="422" t="s">
        <v>118</v>
      </c>
      <c r="C73" s="399">
        <v>0</v>
      </c>
      <c r="D73" s="399">
        <v>0</v>
      </c>
      <c r="E73" s="399">
        <v>0</v>
      </c>
      <c r="F73" s="399">
        <v>0</v>
      </c>
      <c r="G73" s="399">
        <f>SUM(H73:Q73)+SUM(U73:AE73)+AH73+AK73+SUM(AN73:AQ73)+AT73+BC73+BI73+BL73+BO73+BR73+BU73+BX73+BY73+CB73+CC73+CF73+SUM(CI73:CJ73)+CS73+CV73+CY73+CZ73+DC73+DF73+DI73+DJ73+SUM(DN73:DZ73)+CM73+CP73</f>
        <v>0</v>
      </c>
      <c r="H73" s="413"/>
      <c r="I73" s="407"/>
      <c r="J73" s="407"/>
      <c r="K73" s="407"/>
      <c r="L73" s="407"/>
      <c r="M73" s="407"/>
      <c r="N73" s="407"/>
      <c r="O73" s="407"/>
      <c r="P73" s="407"/>
      <c r="Q73" s="407"/>
      <c r="R73" s="408"/>
      <c r="S73" s="409"/>
      <c r="T73" s="407"/>
      <c r="U73" s="410"/>
      <c r="V73" s="407"/>
      <c r="W73" s="407"/>
      <c r="X73" s="407"/>
      <c r="Y73" s="407"/>
      <c r="Z73" s="407"/>
      <c r="AA73" s="407"/>
      <c r="AB73" s="407"/>
      <c r="AC73" s="407"/>
      <c r="AD73" s="407"/>
      <c r="AE73" s="407">
        <f>+AF73+AG73</f>
        <v>0</v>
      </c>
      <c r="AF73" s="408"/>
      <c r="AG73" s="408"/>
      <c r="AH73" s="407"/>
      <c r="AI73" s="408"/>
      <c r="AJ73" s="408"/>
      <c r="AK73" s="407"/>
      <c r="AL73" s="408"/>
      <c r="AM73" s="408"/>
      <c r="AN73" s="407"/>
      <c r="AO73" s="407"/>
      <c r="AP73" s="407"/>
      <c r="AQ73" s="407"/>
      <c r="AR73" s="408"/>
      <c r="AS73" s="408"/>
      <c r="AT73" s="407"/>
      <c r="AU73" s="408"/>
      <c r="AV73" s="408"/>
      <c r="AW73" s="407"/>
      <c r="AX73" s="408"/>
      <c r="AY73" s="408"/>
      <c r="AZ73" s="407"/>
      <c r="BA73" s="408"/>
      <c r="BB73" s="408"/>
      <c r="BC73" s="407"/>
      <c r="BD73" s="408"/>
      <c r="BE73" s="408"/>
      <c r="BF73" s="407"/>
      <c r="BG73" s="408"/>
      <c r="BH73" s="408"/>
      <c r="BI73" s="407"/>
      <c r="BJ73" s="408"/>
      <c r="BK73" s="408"/>
      <c r="BL73" s="407"/>
      <c r="BM73" s="408"/>
      <c r="BN73" s="408"/>
      <c r="BO73" s="407"/>
      <c r="BP73" s="408"/>
      <c r="BQ73" s="408"/>
      <c r="BR73" s="407"/>
      <c r="BS73" s="408"/>
      <c r="BT73" s="408"/>
      <c r="BU73" s="407"/>
      <c r="BV73" s="408"/>
      <c r="BW73" s="408"/>
      <c r="BX73" s="407"/>
      <c r="BY73" s="407"/>
      <c r="BZ73" s="408"/>
      <c r="CA73" s="408"/>
      <c r="CB73" s="407"/>
      <c r="CC73" s="407"/>
      <c r="CD73" s="408"/>
      <c r="CE73" s="408"/>
      <c r="CF73" s="407"/>
      <c r="CG73" s="408"/>
      <c r="CH73" s="408"/>
      <c r="CI73" s="407"/>
      <c r="CJ73" s="407"/>
      <c r="CK73" s="408"/>
      <c r="CL73" s="408"/>
      <c r="CM73" s="407"/>
      <c r="CN73" s="408"/>
      <c r="CO73" s="408"/>
      <c r="CP73" s="407"/>
      <c r="CQ73" s="407"/>
      <c r="CR73" s="407"/>
      <c r="CS73" s="407"/>
      <c r="CT73" s="407"/>
      <c r="CU73" s="407"/>
      <c r="CV73" s="407"/>
      <c r="CW73" s="408"/>
      <c r="CX73" s="408"/>
      <c r="CY73" s="407"/>
      <c r="CZ73" s="407"/>
      <c r="DA73" s="408"/>
      <c r="DB73" s="408"/>
      <c r="DC73" s="407"/>
      <c r="DD73" s="408"/>
      <c r="DE73" s="408"/>
      <c r="DF73" s="407"/>
      <c r="DG73" s="408"/>
      <c r="DH73" s="408"/>
      <c r="DI73" s="407"/>
      <c r="DJ73" s="407"/>
      <c r="DK73" s="408"/>
      <c r="DL73" s="408"/>
      <c r="DM73" s="408"/>
      <c r="DN73" s="407"/>
      <c r="DO73" s="407"/>
      <c r="DP73" s="407"/>
      <c r="DQ73" s="407"/>
      <c r="DR73" s="407"/>
      <c r="DS73" s="407"/>
      <c r="DT73" s="407"/>
      <c r="DU73" s="407"/>
      <c r="DV73" s="408"/>
      <c r="DW73" s="408"/>
      <c r="DX73" s="407"/>
      <c r="DY73" s="407"/>
      <c r="DZ73" s="411"/>
      <c r="EA73" s="190">
        <f t="shared" si="50"/>
        <v>0</v>
      </c>
      <c r="EB73" s="337">
        <f t="shared" si="75"/>
        <v>0</v>
      </c>
      <c r="EC73" s="338"/>
      <c r="ED73" s="399">
        <f t="shared" ref="ED73" si="226">+G73-EF73</f>
        <v>0</v>
      </c>
      <c r="EE73" s="338">
        <f t="shared" ref="EE73" si="227">+EF73-U73</f>
        <v>0</v>
      </c>
      <c r="EF73" s="399"/>
      <c r="EH73" s="322"/>
    </row>
    <row r="74" spans="1:138" ht="19.5" customHeight="1" thickBot="1" x14ac:dyDescent="0.3">
      <c r="A74" s="3059" t="s">
        <v>119</v>
      </c>
      <c r="B74" s="3060"/>
      <c r="C74" s="332">
        <v>336225459</v>
      </c>
      <c r="D74" s="332">
        <v>317635564</v>
      </c>
      <c r="E74" s="332">
        <v>326660964</v>
      </c>
      <c r="F74" s="332">
        <v>338293815</v>
      </c>
      <c r="G74" s="332">
        <f t="shared" ref="G74:K74" si="228">+G55+G69+G72</f>
        <v>335199248</v>
      </c>
      <c r="H74" s="262">
        <f t="shared" si="228"/>
        <v>2387952.5247400003</v>
      </c>
      <c r="I74" s="260">
        <f t="shared" si="228"/>
        <v>29142971</v>
      </c>
      <c r="J74" s="260">
        <f t="shared" si="228"/>
        <v>1137958.7664999999</v>
      </c>
      <c r="K74" s="260">
        <f t="shared" si="228"/>
        <v>0</v>
      </c>
      <c r="L74" s="260">
        <f t="shared" ref="L74:AU74" si="229">+L55+L69+L72</f>
        <v>62925092.558759987</v>
      </c>
      <c r="M74" s="260">
        <f t="shared" ref="M74" si="230">+M55+M69+M72</f>
        <v>600000</v>
      </c>
      <c r="N74" s="260">
        <f t="shared" si="229"/>
        <v>5611302</v>
      </c>
      <c r="O74" s="260">
        <f t="shared" si="229"/>
        <v>211127</v>
      </c>
      <c r="P74" s="260">
        <f t="shared" ref="P74" si="231">+P55+P69+P72</f>
        <v>163697.16999999998</v>
      </c>
      <c r="Q74" s="260">
        <f t="shared" si="229"/>
        <v>38922845.799999997</v>
      </c>
      <c r="R74" s="423">
        <f t="shared" si="229"/>
        <v>38852845.799999997</v>
      </c>
      <c r="S74" s="424">
        <f t="shared" si="229"/>
        <v>70000</v>
      </c>
      <c r="T74" s="260">
        <f t="shared" si="229"/>
        <v>2584896.6</v>
      </c>
      <c r="U74" s="425">
        <f t="shared" si="229"/>
        <v>32367483</v>
      </c>
      <c r="V74" s="260">
        <f t="shared" si="229"/>
        <v>2772140</v>
      </c>
      <c r="W74" s="260">
        <f t="shared" ref="W74" si="232">+W55+W69+W72</f>
        <v>600000</v>
      </c>
      <c r="X74" s="260">
        <f t="shared" si="229"/>
        <v>300000</v>
      </c>
      <c r="Y74" s="260">
        <f t="shared" si="229"/>
        <v>8444125.8000000007</v>
      </c>
      <c r="Z74" s="260">
        <f t="shared" si="229"/>
        <v>133130.4</v>
      </c>
      <c r="AA74" s="260">
        <f t="shared" ref="AA74" si="233">+AA55+AA69+AA72</f>
        <v>1385200</v>
      </c>
      <c r="AB74" s="260">
        <f t="shared" si="229"/>
        <v>3361592</v>
      </c>
      <c r="AC74" s="260">
        <f t="shared" si="229"/>
        <v>780000</v>
      </c>
      <c r="AD74" s="260">
        <f t="shared" si="229"/>
        <v>1610000</v>
      </c>
      <c r="AE74" s="260">
        <f t="shared" si="229"/>
        <v>7419000</v>
      </c>
      <c r="AF74" s="423">
        <f t="shared" si="229"/>
        <v>7419000</v>
      </c>
      <c r="AG74" s="423">
        <f t="shared" si="229"/>
        <v>0</v>
      </c>
      <c r="AH74" s="260">
        <f t="shared" si="229"/>
        <v>4130000</v>
      </c>
      <c r="AI74" s="423">
        <f t="shared" si="229"/>
        <v>4030000</v>
      </c>
      <c r="AJ74" s="423">
        <f t="shared" si="229"/>
        <v>100000</v>
      </c>
      <c r="AK74" s="260">
        <f t="shared" si="229"/>
        <v>8399800</v>
      </c>
      <c r="AL74" s="423">
        <f t="shared" si="229"/>
        <v>8399800</v>
      </c>
      <c r="AM74" s="423">
        <f t="shared" si="229"/>
        <v>0</v>
      </c>
      <c r="AN74" s="260">
        <f t="shared" si="229"/>
        <v>1354204</v>
      </c>
      <c r="AO74" s="260">
        <f t="shared" si="229"/>
        <v>1930000</v>
      </c>
      <c r="AP74" s="260">
        <f t="shared" si="229"/>
        <v>0</v>
      </c>
      <c r="AQ74" s="260">
        <f t="shared" si="229"/>
        <v>210000</v>
      </c>
      <c r="AR74" s="423">
        <f t="shared" si="229"/>
        <v>190000</v>
      </c>
      <c r="AS74" s="423">
        <f t="shared" si="229"/>
        <v>20000</v>
      </c>
      <c r="AT74" s="260">
        <f t="shared" si="229"/>
        <v>5160000</v>
      </c>
      <c r="AU74" s="423">
        <f t="shared" si="229"/>
        <v>5160000</v>
      </c>
      <c r="AV74" s="423">
        <f t="shared" ref="AV74:CM74" si="234">+AV55+AV69+AV72</f>
        <v>0</v>
      </c>
      <c r="AW74" s="260">
        <f t="shared" si="234"/>
        <v>994000</v>
      </c>
      <c r="AX74" s="423">
        <f t="shared" si="234"/>
        <v>764000</v>
      </c>
      <c r="AY74" s="423">
        <f t="shared" ref="AY74:BA74" si="235">+AY55+AY69+AY72</f>
        <v>230000</v>
      </c>
      <c r="AZ74" s="260">
        <f t="shared" si="235"/>
        <v>1766208</v>
      </c>
      <c r="BA74" s="423">
        <f t="shared" si="235"/>
        <v>1766208</v>
      </c>
      <c r="BB74" s="423">
        <f t="shared" ref="BB74" si="236">+BB55+BB69+BB72</f>
        <v>0</v>
      </c>
      <c r="BC74" s="260">
        <f t="shared" si="234"/>
        <v>20632240</v>
      </c>
      <c r="BD74" s="423">
        <f t="shared" si="234"/>
        <v>20632240</v>
      </c>
      <c r="BE74" s="423">
        <f t="shared" si="234"/>
        <v>0</v>
      </c>
      <c r="BF74" s="260">
        <f t="shared" ref="BF74:BH74" si="237">+BF55+BF69+BF72</f>
        <v>14069103.379999999</v>
      </c>
      <c r="BG74" s="423">
        <f t="shared" si="237"/>
        <v>14069103.379999999</v>
      </c>
      <c r="BH74" s="423">
        <f t="shared" si="237"/>
        <v>0</v>
      </c>
      <c r="BI74" s="260">
        <f t="shared" si="234"/>
        <v>740000</v>
      </c>
      <c r="BJ74" s="423">
        <f t="shared" si="234"/>
        <v>740000</v>
      </c>
      <c r="BK74" s="423">
        <f t="shared" si="234"/>
        <v>0</v>
      </c>
      <c r="BL74" s="260">
        <f t="shared" si="234"/>
        <v>850000</v>
      </c>
      <c r="BM74" s="423">
        <f t="shared" si="234"/>
        <v>830000</v>
      </c>
      <c r="BN74" s="423">
        <f t="shared" si="234"/>
        <v>20000</v>
      </c>
      <c r="BO74" s="260">
        <f t="shared" si="234"/>
        <v>560000</v>
      </c>
      <c r="BP74" s="423">
        <f t="shared" si="234"/>
        <v>530000</v>
      </c>
      <c r="BQ74" s="423">
        <f t="shared" si="234"/>
        <v>30000</v>
      </c>
      <c r="BR74" s="260">
        <f t="shared" si="234"/>
        <v>5329000</v>
      </c>
      <c r="BS74" s="423">
        <f t="shared" si="234"/>
        <v>5299000</v>
      </c>
      <c r="BT74" s="423">
        <f t="shared" si="234"/>
        <v>30000</v>
      </c>
      <c r="BU74" s="260">
        <f t="shared" si="234"/>
        <v>1930000</v>
      </c>
      <c r="BV74" s="423">
        <f t="shared" si="234"/>
        <v>1930000</v>
      </c>
      <c r="BW74" s="423">
        <f t="shared" si="234"/>
        <v>0</v>
      </c>
      <c r="BX74" s="260">
        <f t="shared" si="234"/>
        <v>270000</v>
      </c>
      <c r="BY74" s="260">
        <f t="shared" si="234"/>
        <v>790000</v>
      </c>
      <c r="BZ74" s="423">
        <f t="shared" si="234"/>
        <v>760000</v>
      </c>
      <c r="CA74" s="423">
        <f t="shared" si="234"/>
        <v>30000</v>
      </c>
      <c r="CB74" s="260">
        <f t="shared" si="234"/>
        <v>1763550</v>
      </c>
      <c r="CC74" s="260">
        <f t="shared" si="234"/>
        <v>3484100</v>
      </c>
      <c r="CD74" s="423">
        <f t="shared" si="234"/>
        <v>3134100</v>
      </c>
      <c r="CE74" s="423">
        <f t="shared" si="234"/>
        <v>350000</v>
      </c>
      <c r="CF74" s="260">
        <f t="shared" si="234"/>
        <v>25142513</v>
      </c>
      <c r="CG74" s="423">
        <f t="shared" si="234"/>
        <v>22592513</v>
      </c>
      <c r="CH74" s="423">
        <f t="shared" si="234"/>
        <v>2550000</v>
      </c>
      <c r="CI74" s="260">
        <f t="shared" si="234"/>
        <v>3228575</v>
      </c>
      <c r="CJ74" s="260">
        <f t="shared" si="234"/>
        <v>1130000</v>
      </c>
      <c r="CK74" s="423">
        <f t="shared" si="234"/>
        <v>1130000</v>
      </c>
      <c r="CL74" s="423">
        <f t="shared" si="234"/>
        <v>0</v>
      </c>
      <c r="CM74" s="260">
        <f t="shared" si="234"/>
        <v>5500000</v>
      </c>
      <c r="CN74" s="423"/>
      <c r="CO74" s="423"/>
      <c r="CP74" s="260">
        <f>+CP55+CP69+CP72</f>
        <v>12143940</v>
      </c>
      <c r="CQ74" s="260">
        <f t="shared" ref="CQ74:CR74" si="238">+CQ55+CQ69+CQ72</f>
        <v>12143940</v>
      </c>
      <c r="CR74" s="260">
        <f t="shared" si="238"/>
        <v>0</v>
      </c>
      <c r="CS74" s="260">
        <f>+CS55+CS69+CS72</f>
        <v>500000</v>
      </c>
      <c r="CT74" s="260">
        <f t="shared" ref="CT74:CU74" si="239">+CT55+CT69+CT72</f>
        <v>500000</v>
      </c>
      <c r="CU74" s="260">
        <f t="shared" si="239"/>
        <v>0</v>
      </c>
      <c r="CV74" s="260">
        <f t="shared" ref="CV74:DZ74" si="240">+CV55+CV69+CV72</f>
        <v>1321793</v>
      </c>
      <c r="CW74" s="423">
        <f t="shared" si="240"/>
        <v>1021793</v>
      </c>
      <c r="CX74" s="423">
        <f t="shared" si="240"/>
        <v>300000</v>
      </c>
      <c r="CY74" s="260">
        <f t="shared" si="240"/>
        <v>100000</v>
      </c>
      <c r="CZ74" s="260">
        <f t="shared" si="240"/>
        <v>6150000</v>
      </c>
      <c r="DA74" s="423">
        <f t="shared" si="240"/>
        <v>50000</v>
      </c>
      <c r="DB74" s="423">
        <f t="shared" si="240"/>
        <v>6100000</v>
      </c>
      <c r="DC74" s="260">
        <f t="shared" si="240"/>
        <v>0</v>
      </c>
      <c r="DD74" s="423">
        <f t="shared" si="240"/>
        <v>0</v>
      </c>
      <c r="DE74" s="423">
        <f t="shared" si="240"/>
        <v>0</v>
      </c>
      <c r="DF74" s="260">
        <f t="shared" si="240"/>
        <v>70000</v>
      </c>
      <c r="DG74" s="423">
        <f t="shared" si="240"/>
        <v>0</v>
      </c>
      <c r="DH74" s="423">
        <f t="shared" si="240"/>
        <v>70000</v>
      </c>
      <c r="DI74" s="260">
        <f t="shared" si="240"/>
        <v>34707</v>
      </c>
      <c r="DJ74" s="260">
        <f t="shared" si="240"/>
        <v>2300000</v>
      </c>
      <c r="DK74" s="423">
        <f t="shared" si="240"/>
        <v>750000</v>
      </c>
      <c r="DL74" s="423">
        <f t="shared" si="240"/>
        <v>0</v>
      </c>
      <c r="DM74" s="423">
        <f t="shared" si="240"/>
        <v>1550000</v>
      </c>
      <c r="DN74" s="260">
        <f t="shared" si="240"/>
        <v>355000</v>
      </c>
      <c r="DO74" s="260">
        <f t="shared" si="240"/>
        <v>0</v>
      </c>
      <c r="DP74" s="260">
        <f t="shared" si="240"/>
        <v>0</v>
      </c>
      <c r="DQ74" s="260">
        <f t="shared" si="240"/>
        <v>0</v>
      </c>
      <c r="DR74" s="260">
        <f t="shared" si="240"/>
        <v>0</v>
      </c>
      <c r="DS74" s="260">
        <f t="shared" si="240"/>
        <v>0</v>
      </c>
      <c r="DT74" s="260">
        <f t="shared" si="240"/>
        <v>0</v>
      </c>
      <c r="DU74" s="260">
        <f t="shared" si="240"/>
        <v>0</v>
      </c>
      <c r="DV74" s="423">
        <f t="shared" ref="DV74:DW74" si="241">+DV55+DV69+DV72</f>
        <v>0</v>
      </c>
      <c r="DW74" s="423">
        <f t="shared" si="241"/>
        <v>0</v>
      </c>
      <c r="DX74" s="260">
        <f t="shared" si="240"/>
        <v>0</v>
      </c>
      <c r="DY74" s="260">
        <f t="shared" si="240"/>
        <v>0</v>
      </c>
      <c r="DZ74" s="426">
        <f t="shared" si="240"/>
        <v>0</v>
      </c>
      <c r="EA74" s="190"/>
      <c r="EB74" s="337"/>
      <c r="EC74" s="338"/>
      <c r="ED74" s="332">
        <f>+ED55+ED69+ED72</f>
        <v>291303806.2335</v>
      </c>
      <c r="EE74" s="338"/>
      <c r="EF74" s="332">
        <f>+EF55+EF69+EF72</f>
        <v>43817483</v>
      </c>
      <c r="EH74" s="322"/>
    </row>
    <row r="75" spans="1:138" ht="20.25" customHeight="1" thickBot="1" x14ac:dyDescent="0.3">
      <c r="A75" s="2891" t="s">
        <v>127</v>
      </c>
      <c r="B75" s="343"/>
      <c r="C75" s="344">
        <v>0</v>
      </c>
      <c r="D75" s="344">
        <v>0</v>
      </c>
      <c r="E75" s="344">
        <v>0</v>
      </c>
      <c r="F75" s="344">
        <v>0</v>
      </c>
      <c r="G75" s="345">
        <f>+'Příjmy kapitol celkem'!I113-'Výdaje kapitol celkem'!G74</f>
        <v>0</v>
      </c>
      <c r="H75" s="329"/>
      <c r="I75" s="430"/>
      <c r="J75" s="329"/>
      <c r="K75" s="329"/>
      <c r="L75" s="428">
        <f>'Příjmy kapitol celkem'!I113-G55-SUM(G56:G66)-G68-G71</f>
        <v>7129529.5587599874</v>
      </c>
      <c r="M75" s="428"/>
      <c r="N75" s="329"/>
      <c r="O75" s="329"/>
      <c r="P75" s="329"/>
      <c r="Q75" s="329"/>
      <c r="R75" s="318"/>
      <c r="S75" s="428"/>
      <c r="T75" s="329"/>
      <c r="U75" s="428">
        <f>+U66+U58+U44+U35+U34+U22+U16</f>
        <v>43817483</v>
      </c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18"/>
      <c r="AG75" s="318"/>
      <c r="AH75" s="329"/>
      <c r="AI75" s="318"/>
      <c r="AJ75" s="318"/>
      <c r="AK75" s="329"/>
      <c r="AL75" s="318"/>
      <c r="AM75" s="318"/>
      <c r="AN75" s="329"/>
      <c r="AO75" s="329"/>
      <c r="AP75" s="329"/>
      <c r="AQ75" s="329"/>
      <c r="AR75" s="318"/>
      <c r="AS75" s="318"/>
      <c r="AT75" s="329"/>
      <c r="AU75" s="318"/>
      <c r="AV75" s="318"/>
      <c r="AW75" s="329"/>
      <c r="AX75" s="318"/>
      <c r="AY75" s="318"/>
      <c r="AZ75" s="329"/>
      <c r="BA75" s="318"/>
      <c r="BB75" s="318"/>
      <c r="BC75" s="329"/>
      <c r="BD75" s="318"/>
      <c r="BE75" s="318"/>
      <c r="BF75" s="329"/>
      <c r="BG75" s="318"/>
      <c r="BH75" s="318"/>
      <c r="BI75" s="329"/>
      <c r="BJ75" s="318"/>
      <c r="BK75" s="318"/>
      <c r="BL75" s="329"/>
      <c r="BM75" s="318"/>
      <c r="BN75" s="318"/>
      <c r="BO75" s="329"/>
      <c r="BP75" s="318"/>
      <c r="BQ75" s="318"/>
      <c r="BR75" s="329"/>
      <c r="BS75" s="318"/>
      <c r="BT75" s="318"/>
      <c r="BU75" s="329"/>
      <c r="BV75" s="318"/>
      <c r="BW75" s="318"/>
      <c r="BX75" s="329"/>
      <c r="BY75" s="329"/>
      <c r="BZ75" s="318"/>
      <c r="CA75" s="318"/>
      <c r="CB75" s="329"/>
      <c r="CC75" s="329"/>
      <c r="CD75" s="318"/>
      <c r="CE75" s="318"/>
      <c r="CF75" s="329"/>
      <c r="CG75" s="318"/>
      <c r="CH75" s="318"/>
      <c r="CI75" s="329"/>
      <c r="CJ75" s="329"/>
      <c r="CK75" s="318"/>
      <c r="CL75" s="318"/>
      <c r="CM75" s="329"/>
      <c r="CN75" s="318"/>
      <c r="CO75" s="318"/>
      <c r="CP75" s="329"/>
      <c r="CQ75" s="318"/>
      <c r="CR75" s="318"/>
      <c r="CS75" s="329"/>
      <c r="CT75" s="318"/>
      <c r="CU75" s="318"/>
      <c r="CV75" s="329"/>
      <c r="CW75" s="318"/>
      <c r="CX75" s="318"/>
      <c r="CY75" s="329"/>
      <c r="CZ75" s="329"/>
      <c r="DA75" s="318"/>
      <c r="DB75" s="318"/>
      <c r="DC75" s="329"/>
      <c r="DD75" s="318"/>
      <c r="DE75" s="318"/>
      <c r="DF75" s="329"/>
      <c r="DG75" s="318"/>
      <c r="DH75" s="318"/>
      <c r="DI75" s="329"/>
      <c r="DJ75" s="329"/>
      <c r="DK75" s="318"/>
      <c r="DL75" s="318"/>
      <c r="DM75" s="318"/>
      <c r="DN75" s="329"/>
      <c r="DO75" s="329"/>
      <c r="DP75" s="329"/>
      <c r="DQ75" s="329"/>
      <c r="DR75" s="329"/>
      <c r="DS75" s="329"/>
      <c r="DT75" s="329"/>
      <c r="DU75" s="329"/>
      <c r="DV75" s="318"/>
      <c r="DW75" s="318"/>
      <c r="DX75" s="329"/>
      <c r="DY75" s="329"/>
      <c r="DZ75" s="329"/>
      <c r="EA75" s="109"/>
      <c r="EB75" s="337"/>
      <c r="EC75" s="338"/>
      <c r="ED75" s="306"/>
      <c r="EE75" s="338"/>
      <c r="EF75" s="306"/>
    </row>
    <row r="76" spans="1:138" x14ac:dyDescent="0.25">
      <c r="A76" s="429"/>
      <c r="B76" s="275"/>
      <c r="C76" s="1476"/>
      <c r="D76" s="1476"/>
      <c r="E76" s="1476"/>
      <c r="F76" s="1476"/>
      <c r="G76" s="329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1"/>
      <c r="S76" s="432" t="s">
        <v>638</v>
      </c>
      <c r="T76" s="430"/>
      <c r="U76" s="432">
        <f>+U75/12</f>
        <v>3651456.9166666665</v>
      </c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1"/>
      <c r="AG76" s="431"/>
      <c r="AH76" s="430"/>
      <c r="AI76" s="431"/>
      <c r="AJ76" s="431"/>
      <c r="AK76" s="430"/>
      <c r="AL76" s="431"/>
      <c r="AM76" s="431"/>
      <c r="AN76" s="430"/>
      <c r="AO76" s="430"/>
      <c r="AP76" s="430"/>
      <c r="AQ76" s="430"/>
      <c r="AR76" s="431"/>
      <c r="AS76" s="431"/>
      <c r="AT76" s="430"/>
      <c r="AU76" s="431"/>
      <c r="AV76" s="431"/>
      <c r="AW76" s="430"/>
      <c r="AX76" s="431"/>
      <c r="AY76" s="431"/>
      <c r="AZ76" s="430"/>
      <c r="BA76" s="431"/>
      <c r="BB76" s="431"/>
      <c r="BC76" s="430"/>
      <c r="BD76" s="431"/>
      <c r="BE76" s="431"/>
      <c r="BF76" s="430"/>
      <c r="BG76" s="431"/>
      <c r="BH76" s="431"/>
      <c r="BI76" s="430"/>
      <c r="BJ76" s="431"/>
      <c r="BK76" s="431"/>
      <c r="BL76" s="430"/>
      <c r="BM76" s="431"/>
      <c r="BN76" s="431"/>
      <c r="BO76" s="430"/>
      <c r="BP76" s="431"/>
      <c r="BQ76" s="431"/>
      <c r="BR76" s="430"/>
      <c r="BS76" s="431"/>
      <c r="BT76" s="431"/>
      <c r="BU76" s="430"/>
      <c r="BV76" s="431"/>
      <c r="BW76" s="431"/>
      <c r="BX76" s="430"/>
      <c r="BY76" s="430"/>
      <c r="BZ76" s="431"/>
      <c r="CA76" s="431"/>
      <c r="CB76" s="430"/>
      <c r="CC76" s="430"/>
      <c r="CD76" s="431"/>
      <c r="CE76" s="431"/>
      <c r="CF76" s="430"/>
      <c r="CG76" s="431"/>
      <c r="CH76" s="431"/>
      <c r="CI76" s="430"/>
      <c r="CJ76" s="430"/>
      <c r="CK76" s="431"/>
      <c r="CL76" s="431"/>
      <c r="CM76" s="430"/>
      <c r="CN76" s="431"/>
      <c r="CO76" s="431"/>
      <c r="CP76" s="430"/>
      <c r="CQ76" s="431"/>
      <c r="CR76" s="431"/>
      <c r="CS76" s="430"/>
      <c r="CT76" s="431"/>
      <c r="CU76" s="431"/>
      <c r="CV76" s="430"/>
      <c r="CW76" s="431"/>
      <c r="CX76" s="431"/>
      <c r="CY76" s="430"/>
      <c r="CZ76" s="430"/>
      <c r="DA76" s="431"/>
      <c r="DB76" s="431"/>
      <c r="DC76" s="430"/>
      <c r="DD76" s="431"/>
      <c r="DE76" s="431"/>
      <c r="DF76" s="430"/>
      <c r="DG76" s="431"/>
      <c r="DH76" s="431"/>
      <c r="DI76" s="430"/>
      <c r="DJ76" s="430"/>
      <c r="DK76" s="431"/>
      <c r="DL76" s="431"/>
      <c r="DM76" s="431"/>
      <c r="DN76" s="430"/>
      <c r="DO76" s="430"/>
      <c r="DP76" s="430"/>
      <c r="DQ76" s="430"/>
      <c r="DR76" s="430"/>
      <c r="DS76" s="430"/>
      <c r="DT76" s="430"/>
      <c r="DU76" s="430"/>
      <c r="DV76" s="431"/>
      <c r="DW76" s="431"/>
      <c r="DX76" s="430"/>
      <c r="DY76" s="430"/>
      <c r="DZ76" s="430"/>
      <c r="EA76" s="109"/>
      <c r="EB76" s="337"/>
      <c r="EC76" s="338"/>
      <c r="ED76" s="334"/>
      <c r="EE76" s="338"/>
      <c r="EF76" s="334"/>
    </row>
    <row r="77" spans="1:138" x14ac:dyDescent="0.25">
      <c r="A77" s="315" t="s">
        <v>544</v>
      </c>
      <c r="B77" s="275"/>
      <c r="C77" s="275"/>
      <c r="D77" s="275"/>
      <c r="E77" s="275"/>
      <c r="F77" s="275"/>
      <c r="G77" s="329"/>
      <c r="S77" s="326" t="s">
        <v>311</v>
      </c>
      <c r="U77" s="323"/>
    </row>
    <row r="78" spans="1:138" x14ac:dyDescent="0.25">
      <c r="H78" s="328"/>
      <c r="I78" s="328"/>
      <c r="J78" s="328"/>
      <c r="K78" s="328"/>
      <c r="L78" s="323"/>
      <c r="M78" s="323"/>
      <c r="S78" s="326"/>
      <c r="U78" s="323"/>
    </row>
    <row r="79" spans="1:138" x14ac:dyDescent="0.25">
      <c r="S79" s="326"/>
      <c r="U79" s="323"/>
    </row>
    <row r="80" spans="1:138" x14ac:dyDescent="0.25">
      <c r="S80" s="326" t="s">
        <v>686</v>
      </c>
      <c r="U80" s="323"/>
    </row>
    <row r="81" spans="21:21" x14ac:dyDescent="0.25">
      <c r="U81" s="433"/>
    </row>
  </sheetData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1">
    <mergeCell ref="A74:B74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8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 x14ac:dyDescent="0.25"/>
  <cols>
    <col min="1" max="1" width="8" style="436" customWidth="1"/>
    <col min="2" max="2" width="37.28515625" style="320" customWidth="1"/>
    <col min="3" max="4" width="16" style="320" customWidth="1" outlineLevel="4"/>
    <col min="5" max="5" width="16.7109375" style="333" customWidth="1"/>
    <col min="6" max="6" width="12.28515625" style="322" bestFit="1" customWidth="1"/>
    <col min="7" max="11" width="15" style="322" customWidth="1"/>
    <col min="12" max="12" width="12.28515625" style="322" customWidth="1"/>
    <col min="13" max="13" width="15.85546875" style="322" bestFit="1" customWidth="1"/>
    <col min="14" max="14" width="17.28515625" style="323" customWidth="1" outlineLevel="1"/>
    <col min="15" max="15" width="8.7109375" style="323" bestFit="1" customWidth="1" outlineLevel="1"/>
    <col min="16" max="23" width="15" style="322" customWidth="1"/>
    <col min="24" max="24" width="10.7109375" style="322" customWidth="1"/>
    <col min="25" max="25" width="13.7109375" style="322" customWidth="1"/>
    <col min="26" max="26" width="14.7109375" style="322" bestFit="1" customWidth="1"/>
    <col min="27" max="27" width="14.7109375" style="323" bestFit="1" customWidth="1" outlineLevel="1"/>
    <col min="28" max="28" width="8.5703125" style="323" bestFit="1" customWidth="1" outlineLevel="1"/>
    <col min="29" max="29" width="13.7109375" style="322" customWidth="1"/>
    <col min="30" max="30" width="13.28515625" style="323" customWidth="1" outlineLevel="1"/>
    <col min="31" max="31" width="9.85546875" style="323" customWidth="1" outlineLevel="1"/>
    <col min="32" max="32" width="14.28515625" style="322" customWidth="1"/>
    <col min="33" max="33" width="13.5703125" style="323" customWidth="1" outlineLevel="1"/>
    <col min="34" max="34" width="8.28515625" style="323" customWidth="1" outlineLevel="1"/>
    <col min="35" max="35" width="15.7109375" style="322" customWidth="1"/>
    <col min="36" max="36" width="12" style="322" customWidth="1"/>
    <col min="37" max="37" width="7.85546875" style="322" bestFit="1" customWidth="1"/>
    <col min="38" max="38" width="13.5703125" style="322" bestFit="1" customWidth="1"/>
    <col min="39" max="39" width="13.5703125" style="323" bestFit="1" customWidth="1" outlineLevel="1"/>
    <col min="40" max="40" width="8.7109375" style="323" bestFit="1" customWidth="1" outlineLevel="1"/>
    <col min="41" max="41" width="13.85546875" style="322" customWidth="1"/>
    <col min="42" max="42" width="12.28515625" style="323" bestFit="1" customWidth="1" outlineLevel="1"/>
    <col min="43" max="43" width="8.5703125" style="323" bestFit="1" customWidth="1" outlineLevel="1"/>
    <col min="44" max="44" width="13" style="322" customWidth="1"/>
    <col min="45" max="45" width="13" style="323" customWidth="1" outlineLevel="1"/>
    <col min="46" max="46" width="11" style="323" customWidth="1" outlineLevel="1"/>
    <col min="47" max="47" width="13.5703125" style="322" customWidth="1"/>
    <col min="48" max="48" width="13" style="323" customWidth="1" outlineLevel="1"/>
    <col min="49" max="49" width="8.5703125" style="323" bestFit="1" customWidth="1" outlineLevel="1"/>
    <col min="50" max="50" width="14" style="322" customWidth="1"/>
    <col min="51" max="51" width="13.85546875" style="323" customWidth="1" outlineLevel="1"/>
    <col min="52" max="52" width="10.5703125" style="323" customWidth="1" outlineLevel="1"/>
    <col min="53" max="53" width="12.28515625" style="322" bestFit="1" customWidth="1"/>
    <col min="54" max="54" width="12.28515625" style="323" bestFit="1" customWidth="1" outlineLevel="1"/>
    <col min="55" max="55" width="11" style="323" customWidth="1" outlineLevel="1"/>
    <col min="56" max="56" width="12" style="322" customWidth="1"/>
    <col min="57" max="57" width="12.28515625" style="323" customWidth="1" outlineLevel="1"/>
    <col min="58" max="58" width="11" style="323" customWidth="1" outlineLevel="1"/>
    <col min="59" max="59" width="11" style="322" customWidth="1"/>
    <col min="60" max="60" width="10.85546875" style="323" bestFit="1" customWidth="1" outlineLevel="1"/>
    <col min="61" max="61" width="7.85546875" style="323" customWidth="1" outlineLevel="1"/>
    <col min="62" max="62" width="11.85546875" style="322" bestFit="1" customWidth="1"/>
    <col min="63" max="63" width="10" style="323" bestFit="1" customWidth="1" outlineLevel="1"/>
    <col min="64" max="64" width="8.7109375" style="323" bestFit="1" customWidth="1" outlineLevel="1"/>
    <col min="65" max="65" width="12.28515625" style="322" bestFit="1" customWidth="1"/>
    <col min="66" max="66" width="12.28515625" style="323" bestFit="1" customWidth="1" outlineLevel="1"/>
    <col min="67" max="67" width="10.85546875" style="323" customWidth="1" outlineLevel="1"/>
    <col min="68" max="68" width="9.7109375" style="322" bestFit="1" customWidth="1"/>
    <col min="69" max="69" width="8.5703125" style="323" bestFit="1" customWidth="1" outlineLevel="1"/>
    <col min="70" max="70" width="9.28515625" style="323" customWidth="1" outlineLevel="1"/>
    <col min="71" max="71" width="14" style="322" bestFit="1" customWidth="1"/>
    <col min="72" max="72" width="13.28515625" style="322" customWidth="1"/>
    <col min="73" max="73" width="13.7109375" style="323" bestFit="1" customWidth="1" outlineLevel="1"/>
    <col min="74" max="74" width="10" style="323" customWidth="1" outlineLevel="1"/>
    <col min="75" max="75" width="10.28515625" style="322" customWidth="1"/>
    <col min="76" max="76" width="15" style="322" customWidth="1"/>
    <col min="77" max="77" width="14.28515625" style="323" customWidth="1" outlineLevel="1"/>
    <col min="78" max="78" width="11" style="323" customWidth="1" outlineLevel="1"/>
    <col min="79" max="79" width="14.5703125" style="322" customWidth="1"/>
    <col min="80" max="80" width="14.28515625" style="323" customWidth="1" outlineLevel="1"/>
    <col min="81" max="81" width="10.85546875" style="323" bestFit="1" customWidth="1" outlineLevel="1"/>
    <col min="82" max="82" width="13.5703125" style="322" customWidth="1"/>
    <col min="83" max="83" width="12.7109375" style="322" customWidth="1"/>
    <col min="84" max="84" width="12.28515625" style="323" bestFit="1" customWidth="1" outlineLevel="2"/>
    <col min="85" max="85" width="8.5703125" style="323" bestFit="1" customWidth="1" outlineLevel="2"/>
    <col min="86" max="86" width="14" style="322" bestFit="1" customWidth="1"/>
    <col min="87" max="87" width="12.28515625" style="323" bestFit="1" customWidth="1" outlineLevel="2"/>
    <col min="88" max="88" width="8" style="323" customWidth="1" outlineLevel="2"/>
    <col min="89" max="89" width="15.5703125" style="322" customWidth="1"/>
    <col min="90" max="90" width="13" style="323" customWidth="1" outlineLevel="2"/>
    <col min="91" max="91" width="9.28515625" style="323" customWidth="1" outlineLevel="2"/>
    <col min="92" max="92" width="12.85546875" style="322" customWidth="1"/>
    <col min="93" max="93" width="12.28515625" style="323" bestFit="1" customWidth="1" outlineLevel="2"/>
    <col min="94" max="94" width="10.28515625" style="323" customWidth="1" outlineLevel="2"/>
    <col min="95" max="95" width="19.85546875" style="322" bestFit="1" customWidth="1"/>
    <col min="96" max="96" width="10" style="323" bestFit="1" customWidth="1" outlineLevel="1"/>
    <col min="97" max="97" width="9.85546875" style="323" customWidth="1" outlineLevel="1"/>
    <col min="98" max="98" width="14" style="322" bestFit="1" customWidth="1"/>
    <col min="99" max="99" width="13" style="322" bestFit="1" customWidth="1"/>
    <col min="100" max="100" width="11" style="323" customWidth="1" outlineLevel="1"/>
    <col min="101" max="101" width="12.28515625" style="323" bestFit="1" customWidth="1" outlineLevel="1"/>
    <col min="102" max="102" width="13" style="322" bestFit="1" customWidth="1"/>
    <col min="103" max="103" width="12" style="323" customWidth="1" outlineLevel="1"/>
    <col min="104" max="104" width="11" style="323" customWidth="1" outlineLevel="1"/>
    <col min="105" max="105" width="19.85546875" style="322" bestFit="1" customWidth="1"/>
    <col min="106" max="106" width="9.5703125" style="323" customWidth="1" outlineLevel="1"/>
    <col min="107" max="107" width="9" style="323" customWidth="1" outlineLevel="1"/>
    <col min="108" max="108" width="15.28515625" style="322" bestFit="1" customWidth="1"/>
    <col min="109" max="109" width="14.28515625" style="322" customWidth="1"/>
    <col min="110" max="110" width="12.28515625" style="323" bestFit="1" customWidth="1" outlineLevel="1"/>
    <col min="111" max="111" width="8" style="323" customWidth="1" outlineLevel="1"/>
    <col min="112" max="112" width="12.28515625" style="323" bestFit="1" customWidth="1" outlineLevel="1"/>
    <col min="113" max="113" width="10" style="322" bestFit="1" customWidth="1"/>
    <col min="114" max="114" width="10.85546875" style="322" bestFit="1" customWidth="1"/>
    <col min="115" max="115" width="13" style="322" bestFit="1" customWidth="1"/>
    <col min="116" max="116" width="10.85546875" style="322" bestFit="1" customWidth="1"/>
    <col min="117" max="117" width="11.85546875" style="322" bestFit="1" customWidth="1"/>
    <col min="118" max="118" width="14" style="322" bestFit="1" customWidth="1"/>
    <col min="119" max="119" width="8.5703125" style="322" bestFit="1" customWidth="1"/>
    <col min="120" max="120" width="17.7109375" style="322" customWidth="1"/>
    <col min="121" max="121" width="10.85546875" style="323" bestFit="1" customWidth="1" outlineLevel="1"/>
    <col min="122" max="122" width="11.28515625" style="323" customWidth="1" outlineLevel="1"/>
    <col min="123" max="123" width="10.85546875" style="322" bestFit="1" customWidth="1"/>
    <col min="124" max="124" width="13" style="322" bestFit="1" customWidth="1"/>
    <col min="125" max="125" width="10.28515625" style="322" customWidth="1"/>
    <col min="126" max="126" width="13.7109375" style="320" customWidth="1"/>
    <col min="127" max="127" width="5" style="434" bestFit="1" customWidth="1"/>
    <col min="128" max="128" width="16" style="435" bestFit="1" customWidth="1"/>
    <col min="129" max="129" width="14.28515625" style="322" customWidth="1"/>
    <col min="130" max="130" width="9" style="320"/>
    <col min="131" max="131" width="10.85546875" style="320" bestFit="1" customWidth="1"/>
    <col min="132" max="134" width="9" style="320"/>
    <col min="135" max="135" width="9.85546875" style="320" bestFit="1" customWidth="1"/>
    <col min="136" max="16384" width="9" style="320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7"/>
      <c r="DX1" s="338"/>
      <c r="DY1" s="109"/>
    </row>
    <row r="2" spans="1:136" x14ac:dyDescent="0.25">
      <c r="A2" s="339"/>
      <c r="B2" s="109"/>
      <c r="C2" s="109"/>
      <c r="D2" s="109"/>
      <c r="E2" s="306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7"/>
      <c r="DX2" s="338"/>
      <c r="DY2" s="109"/>
    </row>
    <row r="3" spans="1:136" x14ac:dyDescent="0.25">
      <c r="A3" s="265"/>
      <c r="B3" s="109"/>
      <c r="C3" s="109"/>
      <c r="D3" s="109"/>
      <c r="E3" s="189"/>
      <c r="F3" s="109"/>
      <c r="G3" s="337"/>
      <c r="H3" s="337"/>
      <c r="I3" s="337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7"/>
      <c r="DX3" s="338"/>
      <c r="DY3" s="109"/>
    </row>
    <row r="4" spans="1:136" x14ac:dyDescent="0.25">
      <c r="A4" s="189" t="s">
        <v>1569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7"/>
      <c r="DX4" s="338"/>
      <c r="DY4" s="109"/>
    </row>
    <row r="5" spans="1:136" ht="14.25" thickBot="1" x14ac:dyDescent="0.3">
      <c r="A5" s="340" t="s">
        <v>185</v>
      </c>
      <c r="B5" s="109"/>
      <c r="C5" s="109"/>
      <c r="D5" s="109"/>
      <c r="E5" s="341"/>
      <c r="F5" s="342">
        <f>+F14-'Výdaje kapitol celkem'!H14</f>
        <v>0</v>
      </c>
      <c r="G5" s="342">
        <f>+G14-'Výdaje kapitol celkem'!I14</f>
        <v>0</v>
      </c>
      <c r="H5" s="342">
        <f>+H14-'Výdaje kapitol celkem'!J14</f>
        <v>0</v>
      </c>
      <c r="I5" s="342">
        <f>+I14-'Výdaje kapitol celkem'!K14</f>
        <v>0</v>
      </c>
      <c r="J5" s="342">
        <f>+J14-'Výdaje kapitol celkem'!L14</f>
        <v>0</v>
      </c>
      <c r="K5" s="342">
        <f>+K14-'Výdaje kapitol celkem'!N14</f>
        <v>-26100</v>
      </c>
      <c r="L5" s="342">
        <f>+L14-'Výdaje kapitol celkem'!O14</f>
        <v>-5022</v>
      </c>
      <c r="M5" s="342">
        <f>+M14-'Výdaje kapitol celkem'!Q14</f>
        <v>-54540</v>
      </c>
      <c r="N5" s="342">
        <f>+N14-'Výdaje kapitol celkem'!R14</f>
        <v>-54540</v>
      </c>
      <c r="O5" s="342">
        <f>+O14-'Výdaje kapitol celkem'!S14</f>
        <v>0</v>
      </c>
      <c r="P5" s="342">
        <f>+P14-'Výdaje kapitol celkem'!T14</f>
        <v>-3060</v>
      </c>
      <c r="Q5" s="342">
        <f>+Q14-'Výdaje kapitol celkem'!U14</f>
        <v>0</v>
      </c>
      <c r="R5" s="342">
        <f>+R14-'Výdaje kapitol celkem'!V14</f>
        <v>-2700</v>
      </c>
      <c r="S5" s="342">
        <f>+S14-'Výdaje kapitol celkem'!X14</f>
        <v>0</v>
      </c>
      <c r="T5" s="342">
        <f>+T14-'Výdaje kapitol celkem'!Y14</f>
        <v>4320</v>
      </c>
      <c r="U5" s="342">
        <f>+U14-'Výdaje kapitol celkem'!Z14</f>
        <v>0</v>
      </c>
      <c r="V5" s="342">
        <f>+V14-'Výdaje kapitol celkem'!AA14</f>
        <v>0</v>
      </c>
      <c r="W5" s="342">
        <f>+W14-'Výdaje kapitol celkem'!AB14</f>
        <v>-360</v>
      </c>
      <c r="X5" s="342">
        <f>+X14-'Výdaje kapitol celkem'!AC14</f>
        <v>720</v>
      </c>
      <c r="Y5" s="342">
        <f>+Y14-'Výdaje kapitol celkem'!AD14</f>
        <v>0</v>
      </c>
      <c r="Z5" s="342">
        <f>+Z14-'Výdaje kapitol celkem'!AE14</f>
        <v>0</v>
      </c>
      <c r="AA5" s="342">
        <f>+AA14-'Výdaje kapitol celkem'!AF14</f>
        <v>0</v>
      </c>
      <c r="AB5" s="342">
        <f>+AB14-'Výdaje kapitol celkem'!AG14</f>
        <v>0</v>
      </c>
      <c r="AC5" s="342">
        <f>+AC14-'Výdaje kapitol celkem'!AH14</f>
        <v>0</v>
      </c>
      <c r="AD5" s="342">
        <f>+AD14-'Výdaje kapitol celkem'!AI14</f>
        <v>0</v>
      </c>
      <c r="AE5" s="342">
        <f>+AE14-'Výdaje kapitol celkem'!AJ14</f>
        <v>0</v>
      </c>
      <c r="AF5" s="342">
        <f>+AF14-'Výdaje kapitol celkem'!AK14</f>
        <v>0</v>
      </c>
      <c r="AG5" s="342">
        <f>+AG14-'Výdaje kapitol celkem'!AL14</f>
        <v>0</v>
      </c>
      <c r="AH5" s="342">
        <f>+AH14-'Výdaje kapitol celkem'!AM14</f>
        <v>0</v>
      </c>
      <c r="AI5" s="342">
        <f>+AI14-'Výdaje kapitol celkem'!AN14</f>
        <v>-1350</v>
      </c>
      <c r="AJ5" s="342">
        <f>+AJ14-'Výdaje kapitol celkem'!AO14</f>
        <v>0</v>
      </c>
      <c r="AK5" s="342">
        <f>+AK14-'Výdaje kapitol celkem'!AP14</f>
        <v>0</v>
      </c>
      <c r="AL5" s="342">
        <f>+AL14-'Výdaje kapitol celkem'!AQ14</f>
        <v>0</v>
      </c>
      <c r="AM5" s="342">
        <f>+AM14-'Výdaje kapitol celkem'!AR14</f>
        <v>0</v>
      </c>
      <c r="AN5" s="342">
        <f>+AN14-'Výdaje kapitol celkem'!AS14</f>
        <v>0</v>
      </c>
      <c r="AO5" s="342">
        <f>+AO14-'Výdaje kapitol celkem'!AT14</f>
        <v>0</v>
      </c>
      <c r="AP5" s="342">
        <f>+AP14-'Výdaje kapitol celkem'!AU14</f>
        <v>0</v>
      </c>
      <c r="AQ5" s="342">
        <f>+AQ14-'Výdaje kapitol celkem'!AV14</f>
        <v>0</v>
      </c>
      <c r="AR5" s="342">
        <f>+AR14-'Výdaje kapitol celkem'!AW14</f>
        <v>0</v>
      </c>
      <c r="AS5" s="342">
        <f>+AS14-'Výdaje kapitol celkem'!AX14</f>
        <v>0</v>
      </c>
      <c r="AT5" s="342">
        <f>+AT14-'Výdaje kapitol celkem'!AY14</f>
        <v>0</v>
      </c>
      <c r="AU5" s="342">
        <f>+AU14-'Výdaje kapitol celkem'!AZ14</f>
        <v>0</v>
      </c>
      <c r="AV5" s="342">
        <f>+AV14-'Výdaje kapitol celkem'!BA14</f>
        <v>0</v>
      </c>
      <c r="AW5" s="342">
        <f>+AW14-'Výdaje kapitol celkem'!BB14</f>
        <v>0</v>
      </c>
      <c r="AX5" s="342">
        <f>+AX14-'Výdaje kapitol celkem'!BC14</f>
        <v>0</v>
      </c>
      <c r="AY5" s="342">
        <f>+AY14-'Výdaje kapitol celkem'!BD14</f>
        <v>0</v>
      </c>
      <c r="AZ5" s="342">
        <f>+AZ14-'Výdaje kapitol celkem'!BE14</f>
        <v>0</v>
      </c>
      <c r="BA5" s="342">
        <f>+BA14-'Výdaje kapitol celkem'!BF14</f>
        <v>0</v>
      </c>
      <c r="BB5" s="342">
        <f>+BB14-'Výdaje kapitol celkem'!BG14</f>
        <v>0</v>
      </c>
      <c r="BC5" s="342">
        <f>+BC14-'Výdaje kapitol celkem'!BH14</f>
        <v>0</v>
      </c>
      <c r="BD5" s="342">
        <f>+BD14-'Výdaje kapitol celkem'!BI14</f>
        <v>0</v>
      </c>
      <c r="BE5" s="342">
        <f>+BE14-'Výdaje kapitol celkem'!BJ14</f>
        <v>0</v>
      </c>
      <c r="BF5" s="342">
        <f>+BF14-'Výdaje kapitol celkem'!BK14</f>
        <v>0</v>
      </c>
      <c r="BG5" s="342">
        <f>+BG14-'Výdaje kapitol celkem'!BL14</f>
        <v>0</v>
      </c>
      <c r="BH5" s="342">
        <f>+BH14-'Výdaje kapitol celkem'!BM14</f>
        <v>0</v>
      </c>
      <c r="BI5" s="342">
        <f>+BI14-'Výdaje kapitol celkem'!BN14</f>
        <v>0</v>
      </c>
      <c r="BJ5" s="342">
        <f>+BJ14-'Výdaje kapitol celkem'!BO14</f>
        <v>0</v>
      </c>
      <c r="BK5" s="342">
        <f>+BK14-'Výdaje kapitol celkem'!BP14</f>
        <v>0</v>
      </c>
      <c r="BL5" s="342">
        <f>+BL14-'Výdaje kapitol celkem'!BQ14</f>
        <v>0</v>
      </c>
      <c r="BM5" s="342">
        <f>+BM14-'Výdaje kapitol celkem'!BR14</f>
        <v>0</v>
      </c>
      <c r="BN5" s="342">
        <f>+BN14-'Výdaje kapitol celkem'!BS14</f>
        <v>0</v>
      </c>
      <c r="BO5" s="342">
        <f>+BO14-'Výdaje kapitol celkem'!BT14</f>
        <v>0</v>
      </c>
      <c r="BP5" s="342">
        <f>+BP14-'Výdaje kapitol celkem'!BU14</f>
        <v>0</v>
      </c>
      <c r="BQ5" s="342">
        <f>+BQ14-'Výdaje kapitol celkem'!BV14</f>
        <v>0</v>
      </c>
      <c r="BR5" s="342">
        <f>+BR14-'Výdaje kapitol celkem'!BW14</f>
        <v>0</v>
      </c>
      <c r="BS5" s="342">
        <f>+BS14-'Výdaje kapitol celkem'!BX14</f>
        <v>0</v>
      </c>
      <c r="BT5" s="342">
        <f>+BT14-'Výdaje kapitol celkem'!BY14</f>
        <v>0</v>
      </c>
      <c r="BU5" s="342">
        <f>+BU14-'Výdaje kapitol celkem'!BZ14</f>
        <v>0</v>
      </c>
      <c r="BV5" s="342">
        <f>+BV14-'Výdaje kapitol celkem'!CA14</f>
        <v>0</v>
      </c>
      <c r="BW5" s="342">
        <f>+BW14-'Výdaje kapitol celkem'!CB14</f>
        <v>0</v>
      </c>
      <c r="BX5" s="342">
        <f>+BX14-'Výdaje kapitol celkem'!CC14</f>
        <v>0</v>
      </c>
      <c r="BY5" s="342">
        <f>+BY14-'Výdaje kapitol celkem'!CD14</f>
        <v>0</v>
      </c>
      <c r="BZ5" s="342">
        <f>+BZ14-'Výdaje kapitol celkem'!CE14</f>
        <v>0</v>
      </c>
      <c r="CA5" s="342">
        <f>+CA14-'Výdaje kapitol celkem'!CF14</f>
        <v>0</v>
      </c>
      <c r="CB5" s="342">
        <f>+CB14-'Výdaje kapitol celkem'!CG14</f>
        <v>0</v>
      </c>
      <c r="CC5" s="342">
        <f>+CC14-'Výdaje kapitol celkem'!CH14</f>
        <v>0</v>
      </c>
      <c r="CD5" s="342">
        <f>+CD14-'Výdaje kapitol celkem'!CI14</f>
        <v>0</v>
      </c>
      <c r="CE5" s="342">
        <f>+CE14-'Výdaje kapitol celkem'!CJ14</f>
        <v>0</v>
      </c>
      <c r="CF5" s="342">
        <f>+CF14-'Výdaje kapitol celkem'!CK14</f>
        <v>0</v>
      </c>
      <c r="CG5" s="342">
        <f>+CG14-'Výdaje kapitol celkem'!CL14</f>
        <v>0</v>
      </c>
      <c r="CH5" s="342">
        <f>+CH14-'Výdaje kapitol celkem'!CM14</f>
        <v>0</v>
      </c>
      <c r="CI5" s="342">
        <f>+CI14-'Výdaje kapitol celkem'!CN14</f>
        <v>0</v>
      </c>
      <c r="CJ5" s="342">
        <f>+CJ14-'Výdaje kapitol celkem'!CO14</f>
        <v>0</v>
      </c>
      <c r="CK5" s="342">
        <f>+CK14-'Výdaje kapitol celkem'!CP14</f>
        <v>0</v>
      </c>
      <c r="CL5" s="342">
        <f>+CL14-'Výdaje kapitol celkem'!CQ14</f>
        <v>0</v>
      </c>
      <c r="CM5" s="342">
        <f>+CM14-'Výdaje kapitol celkem'!CR14</f>
        <v>0</v>
      </c>
      <c r="CN5" s="342">
        <f>+CN14-'Výdaje kapitol celkem'!CS14</f>
        <v>0</v>
      </c>
      <c r="CO5" s="342">
        <f>+CO14-'Výdaje kapitol celkem'!CT14</f>
        <v>0</v>
      </c>
      <c r="CP5" s="342">
        <f>+CP14-'Výdaje kapitol celkem'!CU14</f>
        <v>0</v>
      </c>
      <c r="CQ5" s="342">
        <f>+CQ14-'Výdaje kapitol celkem'!CV14</f>
        <v>0</v>
      </c>
      <c r="CR5" s="342">
        <f>+CR14-'Výdaje kapitol celkem'!CW14</f>
        <v>0</v>
      </c>
      <c r="CS5" s="342">
        <f>+CS14-'Výdaje kapitol celkem'!CX14</f>
        <v>0</v>
      </c>
      <c r="CT5" s="342">
        <f>+CT14-'Výdaje kapitol celkem'!CY14</f>
        <v>0</v>
      </c>
      <c r="CU5" s="342">
        <f>+CU14-'Výdaje kapitol celkem'!CZ14</f>
        <v>0</v>
      </c>
      <c r="CV5" s="342">
        <f>+CV14-'Výdaje kapitol celkem'!DA14</f>
        <v>0</v>
      </c>
      <c r="CW5" s="342">
        <f>+CW14-'Výdaje kapitol celkem'!DB14</f>
        <v>0</v>
      </c>
      <c r="CX5" s="342">
        <f>+CX14-'Výdaje kapitol celkem'!DC14</f>
        <v>0</v>
      </c>
      <c r="CY5" s="342">
        <f>+CY14-'Výdaje kapitol celkem'!DD14</f>
        <v>0</v>
      </c>
      <c r="CZ5" s="342">
        <f>+CZ14-'Výdaje kapitol celkem'!DE14</f>
        <v>0</v>
      </c>
      <c r="DA5" s="342">
        <f>+DA14-'Výdaje kapitol celkem'!DF14</f>
        <v>0</v>
      </c>
      <c r="DB5" s="342">
        <f>+DB14-'Výdaje kapitol celkem'!DG14</f>
        <v>0</v>
      </c>
      <c r="DC5" s="342">
        <f>+DC14-'Výdaje kapitol celkem'!DH14</f>
        <v>0</v>
      </c>
      <c r="DD5" s="342">
        <f>+DD14-'Výdaje kapitol celkem'!DI14</f>
        <v>0</v>
      </c>
      <c r="DE5" s="342">
        <f>+DE14-'Výdaje kapitol celkem'!DJ14</f>
        <v>0</v>
      </c>
      <c r="DF5" s="342">
        <f>+DF14-'Výdaje kapitol celkem'!DK14</f>
        <v>0</v>
      </c>
      <c r="DG5" s="342">
        <f>+DG14-'Výdaje kapitol celkem'!DL14</f>
        <v>0</v>
      </c>
      <c r="DH5" s="342">
        <f>+DH14-'Výdaje kapitol celkem'!DM14</f>
        <v>0</v>
      </c>
      <c r="DI5" s="342">
        <f>+DI14-'Výdaje kapitol celkem'!DN14</f>
        <v>0</v>
      </c>
      <c r="DJ5" s="342">
        <f>+DJ14-'Výdaje kapitol celkem'!DO14</f>
        <v>0</v>
      </c>
      <c r="DK5" s="342">
        <f>+DK14-'Výdaje kapitol celkem'!DP14</f>
        <v>0</v>
      </c>
      <c r="DL5" s="342">
        <f>+DL14-'Výdaje kapitol celkem'!DQ14</f>
        <v>0</v>
      </c>
      <c r="DM5" s="342">
        <f>+DM14-'Výdaje kapitol celkem'!DR14</f>
        <v>0</v>
      </c>
      <c r="DN5" s="342">
        <f>+DN14-'Výdaje kapitol celkem'!DS14</f>
        <v>0</v>
      </c>
      <c r="DO5" s="342">
        <f>+DO14-'Výdaje kapitol celkem'!DT14</f>
        <v>0</v>
      </c>
      <c r="DP5" s="342">
        <f>+DP14-'Výdaje kapitol celkem'!DU14</f>
        <v>0</v>
      </c>
      <c r="DQ5" s="342">
        <f>+DQ14-'Výdaje kapitol celkem'!DV14</f>
        <v>0</v>
      </c>
      <c r="DR5" s="342">
        <f>+DR14-'Výdaje kapitol celkem'!DW14</f>
        <v>0</v>
      </c>
      <c r="DS5" s="342">
        <f>+DS14-'Výdaje kapitol celkem'!DX14</f>
        <v>0</v>
      </c>
      <c r="DT5" s="342">
        <f>+DT14-'Výdaje kapitol celkem'!DY14</f>
        <v>0</v>
      </c>
      <c r="DU5" s="342">
        <f>+DU14-'Výdaje kapitol celkem'!DZ14</f>
        <v>0</v>
      </c>
      <c r="DV5" s="109"/>
      <c r="DW5" s="337"/>
      <c r="DX5" s="338"/>
      <c r="DY5" s="334" t="s">
        <v>705</v>
      </c>
    </row>
    <row r="6" spans="1:136" ht="39" customHeight="1" thickBot="1" x14ac:dyDescent="0.3">
      <c r="A6" s="343" t="s">
        <v>10</v>
      </c>
      <c r="B6" s="343" t="s">
        <v>0</v>
      </c>
      <c r="C6" s="344" t="s">
        <v>1163</v>
      </c>
      <c r="D6" s="344" t="s">
        <v>1460</v>
      </c>
      <c r="E6" s="344" t="s">
        <v>1563</v>
      </c>
      <c r="F6" s="345" t="s">
        <v>128</v>
      </c>
      <c r="G6" s="345" t="s">
        <v>129</v>
      </c>
      <c r="H6" s="345" t="s">
        <v>761</v>
      </c>
      <c r="I6" s="117" t="s">
        <v>1508</v>
      </c>
      <c r="J6" s="345" t="s">
        <v>130</v>
      </c>
      <c r="K6" s="345" t="s">
        <v>747</v>
      </c>
      <c r="L6" s="345" t="s">
        <v>871</v>
      </c>
      <c r="M6" s="345" t="s">
        <v>356</v>
      </c>
      <c r="N6" s="346" t="s">
        <v>1565</v>
      </c>
      <c r="O6" s="347" t="s">
        <v>247</v>
      </c>
      <c r="P6" s="345" t="s">
        <v>872</v>
      </c>
      <c r="Q6" s="348" t="s">
        <v>247</v>
      </c>
      <c r="R6" s="349" t="s">
        <v>131</v>
      </c>
      <c r="S6" s="345" t="s">
        <v>132</v>
      </c>
      <c r="T6" s="345" t="s">
        <v>133</v>
      </c>
      <c r="U6" s="345" t="s">
        <v>134</v>
      </c>
      <c r="V6" s="345" t="s">
        <v>1252</v>
      </c>
      <c r="W6" s="345" t="s">
        <v>190</v>
      </c>
      <c r="X6" s="345" t="s">
        <v>135</v>
      </c>
      <c r="Y6" s="345" t="s">
        <v>136</v>
      </c>
      <c r="Z6" s="345" t="s">
        <v>137</v>
      </c>
      <c r="AA6" s="346" t="s">
        <v>1564</v>
      </c>
      <c r="AB6" s="350" t="s">
        <v>247</v>
      </c>
      <c r="AC6" s="345" t="s">
        <v>138</v>
      </c>
      <c r="AD6" s="346" t="s">
        <v>1566</v>
      </c>
      <c r="AE6" s="350" t="s">
        <v>247</v>
      </c>
      <c r="AF6" s="345" t="s">
        <v>139</v>
      </c>
      <c r="AG6" s="346" t="s">
        <v>1564</v>
      </c>
      <c r="AH6" s="350" t="s">
        <v>247</v>
      </c>
      <c r="AI6" s="345" t="s">
        <v>140</v>
      </c>
      <c r="AJ6" s="345" t="s">
        <v>141</v>
      </c>
      <c r="AK6" s="345" t="s">
        <v>142</v>
      </c>
      <c r="AL6" s="345" t="s">
        <v>143</v>
      </c>
      <c r="AM6" s="346" t="s">
        <v>1566</v>
      </c>
      <c r="AN6" s="350" t="s">
        <v>247</v>
      </c>
      <c r="AO6" s="345" t="s">
        <v>293</v>
      </c>
      <c r="AP6" s="346" t="s">
        <v>876</v>
      </c>
      <c r="AQ6" s="350" t="s">
        <v>247</v>
      </c>
      <c r="AR6" s="345" t="s">
        <v>1178</v>
      </c>
      <c r="AS6" s="346" t="s">
        <v>1564</v>
      </c>
      <c r="AT6" s="350" t="s">
        <v>247</v>
      </c>
      <c r="AU6" s="345" t="s">
        <v>1179</v>
      </c>
      <c r="AV6" s="346" t="s">
        <v>1564</v>
      </c>
      <c r="AW6" s="350" t="s">
        <v>247</v>
      </c>
      <c r="AX6" s="345" t="s">
        <v>144</v>
      </c>
      <c r="AY6" s="346" t="s">
        <v>1564</v>
      </c>
      <c r="AZ6" s="350" t="s">
        <v>247</v>
      </c>
      <c r="BA6" s="345" t="s">
        <v>1539</v>
      </c>
      <c r="BB6" s="346" t="s">
        <v>1541</v>
      </c>
      <c r="BC6" s="350" t="s">
        <v>247</v>
      </c>
      <c r="BD6" s="345" t="s">
        <v>145</v>
      </c>
      <c r="BE6" s="346" t="s">
        <v>1567</v>
      </c>
      <c r="BF6" s="350" t="s">
        <v>247</v>
      </c>
      <c r="BG6" s="345" t="s">
        <v>146</v>
      </c>
      <c r="BH6" s="346" t="s">
        <v>1564</v>
      </c>
      <c r="BI6" s="350" t="s">
        <v>247</v>
      </c>
      <c r="BJ6" s="345" t="s">
        <v>713</v>
      </c>
      <c r="BK6" s="346" t="s">
        <v>876</v>
      </c>
      <c r="BL6" s="350" t="s">
        <v>247</v>
      </c>
      <c r="BM6" s="345" t="s">
        <v>147</v>
      </c>
      <c r="BN6" s="346" t="s">
        <v>1564</v>
      </c>
      <c r="BO6" s="350" t="s">
        <v>247</v>
      </c>
      <c r="BP6" s="345" t="s">
        <v>148</v>
      </c>
      <c r="BQ6" s="346" t="s">
        <v>1564</v>
      </c>
      <c r="BR6" s="350" t="s">
        <v>247</v>
      </c>
      <c r="BS6" s="345" t="s">
        <v>149</v>
      </c>
      <c r="BT6" s="345" t="s">
        <v>340</v>
      </c>
      <c r="BU6" s="346" t="s">
        <v>876</v>
      </c>
      <c r="BV6" s="350" t="s">
        <v>247</v>
      </c>
      <c r="BW6" s="345" t="s">
        <v>150</v>
      </c>
      <c r="BX6" s="345" t="s">
        <v>151</v>
      </c>
      <c r="BY6" s="346" t="s">
        <v>501</v>
      </c>
      <c r="BZ6" s="350" t="s">
        <v>247</v>
      </c>
      <c r="CA6" s="345" t="s">
        <v>152</v>
      </c>
      <c r="CB6" s="346" t="s">
        <v>1564</v>
      </c>
      <c r="CC6" s="350" t="s">
        <v>247</v>
      </c>
      <c r="CD6" s="345" t="s">
        <v>748</v>
      </c>
      <c r="CE6" s="345" t="s">
        <v>749</v>
      </c>
      <c r="CF6" s="346" t="s">
        <v>876</v>
      </c>
      <c r="CG6" s="350" t="s">
        <v>247</v>
      </c>
      <c r="CH6" s="345" t="s">
        <v>750</v>
      </c>
      <c r="CI6" s="346" t="s">
        <v>876</v>
      </c>
      <c r="CJ6" s="350" t="s">
        <v>247</v>
      </c>
      <c r="CK6" s="345" t="s">
        <v>751</v>
      </c>
      <c r="CL6" s="346" t="s">
        <v>501</v>
      </c>
      <c r="CM6" s="350" t="s">
        <v>247</v>
      </c>
      <c r="CN6" s="345" t="s">
        <v>752</v>
      </c>
      <c r="CO6" s="346" t="s">
        <v>501</v>
      </c>
      <c r="CP6" s="350" t="s">
        <v>247</v>
      </c>
      <c r="CQ6" s="345" t="s">
        <v>753</v>
      </c>
      <c r="CR6" s="346" t="s">
        <v>876</v>
      </c>
      <c r="CS6" s="350" t="s">
        <v>247</v>
      </c>
      <c r="CT6" s="345" t="s">
        <v>754</v>
      </c>
      <c r="CU6" s="345" t="s">
        <v>755</v>
      </c>
      <c r="CV6" s="346" t="s">
        <v>506</v>
      </c>
      <c r="CW6" s="350" t="s">
        <v>247</v>
      </c>
      <c r="CX6" s="345" t="s">
        <v>1187</v>
      </c>
      <c r="CY6" s="346" t="s">
        <v>877</v>
      </c>
      <c r="CZ6" s="350" t="s">
        <v>247</v>
      </c>
      <c r="DA6" s="345" t="s">
        <v>756</v>
      </c>
      <c r="DB6" s="346" t="s">
        <v>506</v>
      </c>
      <c r="DC6" s="350" t="s">
        <v>247</v>
      </c>
      <c r="DD6" s="345" t="s">
        <v>757</v>
      </c>
      <c r="DE6" s="345" t="s">
        <v>758</v>
      </c>
      <c r="DF6" s="346" t="s">
        <v>506</v>
      </c>
      <c r="DG6" s="351" t="s">
        <v>501</v>
      </c>
      <c r="DH6" s="350" t="s">
        <v>247</v>
      </c>
      <c r="DI6" s="345" t="s">
        <v>296</v>
      </c>
      <c r="DJ6" s="345" t="s">
        <v>718</v>
      </c>
      <c r="DK6" s="345" t="s">
        <v>719</v>
      </c>
      <c r="DL6" s="345" t="s">
        <v>857</v>
      </c>
      <c r="DM6" s="345" t="s">
        <v>261</v>
      </c>
      <c r="DN6" s="345" t="s">
        <v>1107</v>
      </c>
      <c r="DO6" s="345" t="s">
        <v>647</v>
      </c>
      <c r="DP6" s="345" t="s">
        <v>159</v>
      </c>
      <c r="DQ6" s="346" t="s">
        <v>506</v>
      </c>
      <c r="DR6" s="350" t="s">
        <v>247</v>
      </c>
      <c r="DS6" s="345" t="s">
        <v>160</v>
      </c>
      <c r="DT6" s="345" t="s">
        <v>161</v>
      </c>
      <c r="DU6" s="345" t="s">
        <v>162</v>
      </c>
      <c r="DV6" s="109"/>
      <c r="DW6" s="337"/>
      <c r="DX6" s="338"/>
      <c r="DY6" s="345" t="s">
        <v>247</v>
      </c>
    </row>
    <row r="7" spans="1:136" ht="13.5" customHeight="1" thickBot="1" x14ac:dyDescent="0.3">
      <c r="A7" s="352"/>
      <c r="B7" s="353"/>
      <c r="C7" s="354"/>
      <c r="D7" s="354"/>
      <c r="E7" s="646"/>
      <c r="F7" s="355" t="s">
        <v>163</v>
      </c>
      <c r="G7" s="356"/>
      <c r="H7" s="356">
        <v>5213</v>
      </c>
      <c r="I7" s="356">
        <v>6221</v>
      </c>
      <c r="J7" s="356">
        <v>6409</v>
      </c>
      <c r="K7" s="356">
        <v>6112</v>
      </c>
      <c r="L7" s="356">
        <v>6117</v>
      </c>
      <c r="M7" s="356">
        <v>6171</v>
      </c>
      <c r="N7" s="356"/>
      <c r="O7" s="357"/>
      <c r="P7" s="356" t="s">
        <v>944</v>
      </c>
      <c r="Q7" s="358">
        <v>3639</v>
      </c>
      <c r="R7" s="356" t="s">
        <v>164</v>
      </c>
      <c r="S7" s="356" t="s">
        <v>165</v>
      </c>
      <c r="T7" s="356" t="s">
        <v>196</v>
      </c>
      <c r="U7" s="356">
        <v>3319</v>
      </c>
      <c r="V7" s="356" t="s">
        <v>1253</v>
      </c>
      <c r="W7" s="356">
        <v>3314</v>
      </c>
      <c r="X7" s="356">
        <v>3349</v>
      </c>
      <c r="Y7" s="356" t="s">
        <v>166</v>
      </c>
      <c r="Z7" s="356">
        <v>3612</v>
      </c>
      <c r="AA7" s="356"/>
      <c r="AB7" s="356"/>
      <c r="AC7" s="356" t="s">
        <v>167</v>
      </c>
      <c r="AD7" s="356"/>
      <c r="AE7" s="356"/>
      <c r="AF7" s="356" t="s">
        <v>168</v>
      </c>
      <c r="AG7" s="356"/>
      <c r="AH7" s="356"/>
      <c r="AI7" s="356">
        <v>5512</v>
      </c>
      <c r="AJ7" s="356">
        <v>3519</v>
      </c>
      <c r="AK7" s="356" t="s">
        <v>169</v>
      </c>
      <c r="AL7" s="356">
        <v>3632</v>
      </c>
      <c r="AM7" s="356"/>
      <c r="AN7" s="356"/>
      <c r="AO7" s="356" t="s">
        <v>170</v>
      </c>
      <c r="AP7" s="356"/>
      <c r="AQ7" s="356"/>
      <c r="AR7" s="356" t="s">
        <v>170</v>
      </c>
      <c r="AS7" s="356"/>
      <c r="AT7" s="356"/>
      <c r="AU7" s="356" t="s">
        <v>170</v>
      </c>
      <c r="AV7" s="356"/>
      <c r="AW7" s="356"/>
      <c r="AX7" s="356">
        <v>3113</v>
      </c>
      <c r="AY7" s="356"/>
      <c r="AZ7" s="356"/>
      <c r="BA7" s="356" t="s">
        <v>1540</v>
      </c>
      <c r="BB7" s="356"/>
      <c r="BC7" s="356"/>
      <c r="BD7" s="356">
        <v>3114</v>
      </c>
      <c r="BE7" s="356"/>
      <c r="BF7" s="356"/>
      <c r="BG7" s="356">
        <v>3421</v>
      </c>
      <c r="BH7" s="356"/>
      <c r="BI7" s="356"/>
      <c r="BJ7" s="356" t="s">
        <v>171</v>
      </c>
      <c r="BK7" s="356"/>
      <c r="BL7" s="356"/>
      <c r="BM7" s="356" t="s">
        <v>172</v>
      </c>
      <c r="BN7" s="356"/>
      <c r="BO7" s="356"/>
      <c r="BP7" s="356" t="s">
        <v>173</v>
      </c>
      <c r="BQ7" s="356"/>
      <c r="BR7" s="356"/>
      <c r="BS7" s="356" t="s">
        <v>174</v>
      </c>
      <c r="BT7" s="356" t="s">
        <v>478</v>
      </c>
      <c r="BU7" s="356"/>
      <c r="BV7" s="356"/>
      <c r="BW7" s="356">
        <v>3635</v>
      </c>
      <c r="BX7" s="356">
        <v>3631</v>
      </c>
      <c r="BY7" s="356"/>
      <c r="BZ7" s="356"/>
      <c r="CA7" s="356" t="s">
        <v>175</v>
      </c>
      <c r="CB7" s="356"/>
      <c r="CC7" s="356"/>
      <c r="CD7" s="356" t="s">
        <v>176</v>
      </c>
      <c r="CE7" s="356">
        <v>2310</v>
      </c>
      <c r="CF7" s="356"/>
      <c r="CG7" s="356"/>
      <c r="CH7" s="356" t="s">
        <v>177</v>
      </c>
      <c r="CI7" s="356"/>
      <c r="CJ7" s="356"/>
      <c r="CK7" s="356" t="s">
        <v>178</v>
      </c>
      <c r="CL7" s="356"/>
      <c r="CM7" s="356"/>
      <c r="CN7" s="356" t="s">
        <v>218</v>
      </c>
      <c r="CO7" s="356"/>
      <c r="CP7" s="356"/>
      <c r="CQ7" s="356">
        <v>3633</v>
      </c>
      <c r="CR7" s="356"/>
      <c r="CS7" s="356"/>
      <c r="CT7" s="356">
        <v>1036</v>
      </c>
      <c r="CU7" s="356" t="s">
        <v>179</v>
      </c>
      <c r="CV7" s="356"/>
      <c r="CW7" s="356"/>
      <c r="CX7" s="356" t="s">
        <v>180</v>
      </c>
      <c r="CY7" s="356"/>
      <c r="CZ7" s="356"/>
      <c r="DA7" s="356">
        <v>3729</v>
      </c>
      <c r="DB7" s="356"/>
      <c r="DC7" s="356"/>
      <c r="DD7" s="356">
        <v>3744</v>
      </c>
      <c r="DE7" s="356">
        <v>3749</v>
      </c>
      <c r="DF7" s="356"/>
      <c r="DG7" s="356"/>
      <c r="DH7" s="356"/>
      <c r="DI7" s="356" t="s">
        <v>295</v>
      </c>
      <c r="DJ7" s="356" t="s">
        <v>716</v>
      </c>
      <c r="DK7" s="356" t="s">
        <v>717</v>
      </c>
      <c r="DL7" s="356" t="s">
        <v>1146</v>
      </c>
      <c r="DM7" s="356" t="s">
        <v>262</v>
      </c>
      <c r="DN7" s="356" t="s">
        <v>1108</v>
      </c>
      <c r="DO7" s="356" t="s">
        <v>648</v>
      </c>
      <c r="DP7" s="356" t="s">
        <v>181</v>
      </c>
      <c r="DQ7" s="356"/>
      <c r="DR7" s="356"/>
      <c r="DS7" s="356" t="s">
        <v>182</v>
      </c>
      <c r="DT7" s="356" t="s">
        <v>183</v>
      </c>
      <c r="DU7" s="359" t="s">
        <v>184</v>
      </c>
      <c r="DV7" s="109"/>
      <c r="DW7" s="337"/>
      <c r="DX7" s="338"/>
      <c r="DY7" s="360" t="s">
        <v>184</v>
      </c>
    </row>
    <row r="8" spans="1:136" ht="17.25" customHeight="1" outlineLevel="1" x14ac:dyDescent="0.25">
      <c r="A8" s="238">
        <v>5011</v>
      </c>
      <c r="B8" s="205" t="s">
        <v>64</v>
      </c>
      <c r="C8" s="361">
        <v>25640000</v>
      </c>
      <c r="D8" s="361">
        <v>25640000</v>
      </c>
      <c r="E8" s="361">
        <f>SUM(F8:M8)+SUM(Q8:Z8)+AC8+AF8+SUM(AI8:AL8)+AO8+AX8+BD8+BG8+BJ8+BM8+BP8+BS8+BT8+BW8+BX8+CA8+SUM(CD8:CE8)+CN8+CQ8+CT8+CU8+CX8+DA8+DD8+DE8+SUM(DI8:DU8)+CH8+CK8+P8</f>
        <v>27925000</v>
      </c>
      <c r="F8" s="362"/>
      <c r="G8" s="363"/>
      <c r="H8" s="363"/>
      <c r="I8" s="363"/>
      <c r="J8" s="363"/>
      <c r="K8" s="363"/>
      <c r="L8" s="363"/>
      <c r="M8" s="363">
        <f>+N8+O8</f>
        <v>17535000</v>
      </c>
      <c r="N8" s="364">
        <v>17535000</v>
      </c>
      <c r="O8" s="365"/>
      <c r="P8" s="363">
        <v>1889000</v>
      </c>
      <c r="Q8" s="366"/>
      <c r="R8" s="151">
        <v>1670000</v>
      </c>
      <c r="S8" s="363"/>
      <c r="T8" s="363">
        <v>5325000</v>
      </c>
      <c r="U8" s="363"/>
      <c r="V8" s="363"/>
      <c r="W8" s="363">
        <v>1506000</v>
      </c>
      <c r="X8" s="363"/>
      <c r="Y8" s="363"/>
      <c r="Z8" s="363"/>
      <c r="AA8" s="364"/>
      <c r="AB8" s="364"/>
      <c r="AC8" s="363"/>
      <c r="AD8" s="364"/>
      <c r="AE8" s="364"/>
      <c r="AF8" s="363"/>
      <c r="AG8" s="364"/>
      <c r="AH8" s="364"/>
      <c r="AI8" s="363"/>
      <c r="AJ8" s="363"/>
      <c r="AK8" s="363"/>
      <c r="AL8" s="363"/>
      <c r="AM8" s="364"/>
      <c r="AN8" s="364"/>
      <c r="AO8" s="363"/>
      <c r="AP8" s="364"/>
      <c r="AQ8" s="364"/>
      <c r="AR8" s="363"/>
      <c r="AS8" s="364"/>
      <c r="AT8" s="364"/>
      <c r="AU8" s="363"/>
      <c r="AV8" s="364"/>
      <c r="AW8" s="364"/>
      <c r="AX8" s="363"/>
      <c r="AY8" s="364"/>
      <c r="AZ8" s="364"/>
      <c r="BA8" s="363">
        <v>0</v>
      </c>
      <c r="BB8" s="364"/>
      <c r="BC8" s="364"/>
      <c r="BD8" s="363">
        <v>0</v>
      </c>
      <c r="BE8" s="364">
        <v>0</v>
      </c>
      <c r="BF8" s="364"/>
      <c r="BG8" s="363"/>
      <c r="BH8" s="364"/>
      <c r="BI8" s="364"/>
      <c r="BJ8" s="363"/>
      <c r="BK8" s="364"/>
      <c r="BL8" s="364"/>
      <c r="BM8" s="363"/>
      <c r="BN8" s="364"/>
      <c r="BO8" s="364"/>
      <c r="BP8" s="363"/>
      <c r="BQ8" s="364"/>
      <c r="BR8" s="364"/>
      <c r="BS8" s="363"/>
      <c r="BT8" s="363"/>
      <c r="BU8" s="364"/>
      <c r="BV8" s="364"/>
      <c r="BW8" s="363"/>
      <c r="BX8" s="363"/>
      <c r="BY8" s="364"/>
      <c r="BZ8" s="364"/>
      <c r="CA8" s="363"/>
      <c r="CB8" s="364"/>
      <c r="CC8" s="364"/>
      <c r="CD8" s="363"/>
      <c r="CE8" s="363"/>
      <c r="CF8" s="364"/>
      <c r="CG8" s="364"/>
      <c r="CH8" s="363"/>
      <c r="CI8" s="364"/>
      <c r="CJ8" s="364"/>
      <c r="CK8" s="363"/>
      <c r="CL8" s="364"/>
      <c r="CM8" s="364"/>
      <c r="CN8" s="363"/>
      <c r="CO8" s="364"/>
      <c r="CP8" s="364"/>
      <c r="CQ8" s="363"/>
      <c r="CR8" s="364"/>
      <c r="CS8" s="364"/>
      <c r="CT8" s="363"/>
      <c r="CU8" s="363"/>
      <c r="CV8" s="364"/>
      <c r="CW8" s="364"/>
      <c r="CX8" s="363"/>
      <c r="CY8" s="364"/>
      <c r="CZ8" s="364"/>
      <c r="DA8" s="363"/>
      <c r="DB8" s="364"/>
      <c r="DC8" s="364"/>
      <c r="DD8" s="363"/>
      <c r="DE8" s="363"/>
      <c r="DF8" s="364"/>
      <c r="DG8" s="364"/>
      <c r="DH8" s="364"/>
      <c r="DI8" s="363"/>
      <c r="DJ8" s="363"/>
      <c r="DK8" s="363"/>
      <c r="DL8" s="363"/>
      <c r="DM8" s="363"/>
      <c r="DN8" s="363"/>
      <c r="DO8" s="363"/>
      <c r="DP8" s="363"/>
      <c r="DQ8" s="364"/>
      <c r="DR8" s="364"/>
      <c r="DS8" s="363"/>
      <c r="DT8" s="363"/>
      <c r="DU8" s="367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7">
        <f t="shared" ref="DW8:DW15" si="1">DV8-E8</f>
        <v>0</v>
      </c>
      <c r="DX8" s="338">
        <f>+E8-'Výdaje kapitol celkem'!G8</f>
        <v>-558000</v>
      </c>
      <c r="DY8" s="368">
        <f>+O8+AB8+AE8++AH8+AN8+AQ8+AZ8+BF8+BI8+BL8+BO8+BR8+BV8+BZ8+CC8+CG8+CS8+CW8+CZ8+DC8+DH8</f>
        <v>0</v>
      </c>
      <c r="EA8" s="322"/>
      <c r="EE8" s="322"/>
      <c r="EF8" s="322"/>
    </row>
    <row r="9" spans="1:136" ht="17.25" customHeight="1" outlineLevel="1" x14ac:dyDescent="0.25">
      <c r="A9" s="238">
        <v>5021</v>
      </c>
      <c r="B9" s="205" t="s">
        <v>65</v>
      </c>
      <c r="C9" s="369">
        <v>1663000</v>
      </c>
      <c r="D9" s="369">
        <v>1663000</v>
      </c>
      <c r="E9" s="369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70">
        <v>1403000</v>
      </c>
      <c r="O9" s="371"/>
      <c r="P9" s="155"/>
      <c r="Q9" s="372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70"/>
      <c r="AB9" s="370"/>
      <c r="AC9" s="155"/>
      <c r="AD9" s="370"/>
      <c r="AE9" s="370"/>
      <c r="AF9" s="155"/>
      <c r="AG9" s="370"/>
      <c r="AH9" s="370"/>
      <c r="AI9" s="155">
        <v>105000</v>
      </c>
      <c r="AJ9" s="155"/>
      <c r="AK9" s="155"/>
      <c r="AL9" s="155"/>
      <c r="AM9" s="370"/>
      <c r="AN9" s="370"/>
      <c r="AO9" s="155"/>
      <c r="AP9" s="370"/>
      <c r="AQ9" s="370"/>
      <c r="AR9" s="155"/>
      <c r="AS9" s="370"/>
      <c r="AT9" s="370"/>
      <c r="AU9" s="155"/>
      <c r="AV9" s="370"/>
      <c r="AW9" s="370"/>
      <c r="AX9" s="155"/>
      <c r="AY9" s="370"/>
      <c r="AZ9" s="370"/>
      <c r="BA9" s="155">
        <v>0</v>
      </c>
      <c r="BB9" s="370"/>
      <c r="BC9" s="370"/>
      <c r="BD9" s="155">
        <v>0</v>
      </c>
      <c r="BE9" s="370">
        <v>0</v>
      </c>
      <c r="BF9" s="370"/>
      <c r="BG9" s="155"/>
      <c r="BH9" s="370"/>
      <c r="BI9" s="370"/>
      <c r="BJ9" s="155"/>
      <c r="BK9" s="370"/>
      <c r="BL9" s="370"/>
      <c r="BM9" s="155"/>
      <c r="BN9" s="370"/>
      <c r="BO9" s="370"/>
      <c r="BP9" s="155"/>
      <c r="BQ9" s="370"/>
      <c r="BR9" s="370"/>
      <c r="BS9" s="155"/>
      <c r="BT9" s="155"/>
      <c r="BU9" s="370"/>
      <c r="BV9" s="370"/>
      <c r="BW9" s="155"/>
      <c r="BX9" s="155"/>
      <c r="BY9" s="370"/>
      <c r="BZ9" s="370"/>
      <c r="CA9" s="155"/>
      <c r="CB9" s="370"/>
      <c r="CC9" s="370"/>
      <c r="CD9" s="155"/>
      <c r="CE9" s="155"/>
      <c r="CF9" s="370"/>
      <c r="CG9" s="370"/>
      <c r="CH9" s="155"/>
      <c r="CI9" s="370"/>
      <c r="CJ9" s="370"/>
      <c r="CK9" s="155"/>
      <c r="CL9" s="370"/>
      <c r="CM9" s="370"/>
      <c r="CN9" s="155"/>
      <c r="CO9" s="370"/>
      <c r="CP9" s="370"/>
      <c r="CQ9" s="155"/>
      <c r="CR9" s="370"/>
      <c r="CS9" s="370"/>
      <c r="CT9" s="155"/>
      <c r="CU9" s="155"/>
      <c r="CV9" s="370"/>
      <c r="CW9" s="370"/>
      <c r="CX9" s="155"/>
      <c r="CY9" s="370"/>
      <c r="CZ9" s="370"/>
      <c r="DA9" s="155"/>
      <c r="DB9" s="370"/>
      <c r="DC9" s="370"/>
      <c r="DD9" s="155"/>
      <c r="DE9" s="155"/>
      <c r="DF9" s="370"/>
      <c r="DG9" s="370"/>
      <c r="DH9" s="370"/>
      <c r="DI9" s="155"/>
      <c r="DJ9" s="155"/>
      <c r="DK9" s="155"/>
      <c r="DL9" s="155"/>
      <c r="DM9" s="155"/>
      <c r="DN9" s="155"/>
      <c r="DO9" s="155"/>
      <c r="DP9" s="155"/>
      <c r="DQ9" s="370"/>
      <c r="DR9" s="370"/>
      <c r="DS9" s="155"/>
      <c r="DT9" s="155"/>
      <c r="DU9" s="373"/>
      <c r="DV9" s="190">
        <f t="shared" si="0"/>
        <v>1865000</v>
      </c>
      <c r="DW9" s="337">
        <f>DV9-E9</f>
        <v>0</v>
      </c>
      <c r="DX9" s="338">
        <f>+E9-'Výdaje kapitol celkem'!G9</f>
        <v>-392237</v>
      </c>
      <c r="DY9" s="369">
        <f t="shared" ref="DY9:DY15" si="3">+O9+AB9+AE9++AH9+AN9+AQ9+AZ9+BF9+BI9+BL9+BO9+BR9+BV9+BZ9+CC9+CG9+CS9+CW9+CZ9+DC9+DH9</f>
        <v>0</v>
      </c>
      <c r="EA9" s="322"/>
      <c r="EE9" s="322"/>
      <c r="EF9" s="322"/>
    </row>
    <row r="10" spans="1:136" ht="17.25" customHeight="1" outlineLevel="1" x14ac:dyDescent="0.25">
      <c r="A10" s="238">
        <v>5023</v>
      </c>
      <c r="B10" s="205" t="s">
        <v>477</v>
      </c>
      <c r="C10" s="369">
        <v>2790000</v>
      </c>
      <c r="D10" s="369">
        <v>2790000</v>
      </c>
      <c r="E10" s="369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335" t="s">
        <v>581</v>
      </c>
      <c r="G10" s="1336"/>
      <c r="H10" s="1336"/>
      <c r="I10" s="1336"/>
      <c r="J10" s="1336"/>
      <c r="K10" s="155">
        <v>3020000</v>
      </c>
      <c r="L10" s="155"/>
      <c r="M10" s="155">
        <f t="shared" si="2"/>
        <v>0</v>
      </c>
      <c r="N10" s="370"/>
      <c r="O10" s="371"/>
      <c r="P10" s="155"/>
      <c r="Q10" s="372"/>
      <c r="R10" s="363"/>
      <c r="S10" s="155"/>
      <c r="T10" s="363"/>
      <c r="U10" s="363"/>
      <c r="V10" s="363"/>
      <c r="W10" s="363"/>
      <c r="X10" s="363"/>
      <c r="Y10" s="155"/>
      <c r="Z10" s="155"/>
      <c r="AA10" s="370"/>
      <c r="AB10" s="370"/>
      <c r="AC10" s="363"/>
      <c r="AD10" s="370"/>
      <c r="AE10" s="370"/>
      <c r="AF10" s="155"/>
      <c r="AG10" s="370"/>
      <c r="AH10" s="370"/>
      <c r="AI10" s="363"/>
      <c r="AJ10" s="155"/>
      <c r="AK10" s="155"/>
      <c r="AL10" s="155"/>
      <c r="AM10" s="370"/>
      <c r="AN10" s="370"/>
      <c r="AO10" s="155"/>
      <c r="AP10" s="370"/>
      <c r="AQ10" s="370"/>
      <c r="AR10" s="155"/>
      <c r="AS10" s="370"/>
      <c r="AT10" s="370"/>
      <c r="AU10" s="155"/>
      <c r="AV10" s="370"/>
      <c r="AW10" s="370"/>
      <c r="AX10" s="155"/>
      <c r="AY10" s="370"/>
      <c r="AZ10" s="370"/>
      <c r="BA10" s="363">
        <v>0</v>
      </c>
      <c r="BB10" s="370"/>
      <c r="BC10" s="370"/>
      <c r="BD10" s="363">
        <v>0</v>
      </c>
      <c r="BE10" s="370">
        <v>0</v>
      </c>
      <c r="BF10" s="370"/>
      <c r="BG10" s="155"/>
      <c r="BH10" s="370"/>
      <c r="BI10" s="370"/>
      <c r="BJ10" s="155"/>
      <c r="BK10" s="370"/>
      <c r="BL10" s="370"/>
      <c r="BM10" s="155"/>
      <c r="BN10" s="370"/>
      <c r="BO10" s="370"/>
      <c r="BP10" s="155"/>
      <c r="BQ10" s="370"/>
      <c r="BR10" s="370"/>
      <c r="BS10" s="155"/>
      <c r="BT10" s="155"/>
      <c r="BU10" s="370"/>
      <c r="BV10" s="370"/>
      <c r="BW10" s="155"/>
      <c r="BX10" s="155"/>
      <c r="BY10" s="370"/>
      <c r="BZ10" s="370"/>
      <c r="CA10" s="155"/>
      <c r="CB10" s="370"/>
      <c r="CC10" s="370"/>
      <c r="CD10" s="155"/>
      <c r="CE10" s="155"/>
      <c r="CF10" s="370"/>
      <c r="CG10" s="370"/>
      <c r="CH10" s="155"/>
      <c r="CI10" s="370"/>
      <c r="CJ10" s="370"/>
      <c r="CK10" s="155"/>
      <c r="CL10" s="370"/>
      <c r="CM10" s="370"/>
      <c r="CN10" s="155"/>
      <c r="CO10" s="370"/>
      <c r="CP10" s="370"/>
      <c r="CQ10" s="155"/>
      <c r="CR10" s="370"/>
      <c r="CS10" s="370"/>
      <c r="CT10" s="155"/>
      <c r="CU10" s="155"/>
      <c r="CV10" s="370"/>
      <c r="CW10" s="370"/>
      <c r="CX10" s="155"/>
      <c r="CY10" s="370"/>
      <c r="CZ10" s="370"/>
      <c r="DA10" s="155"/>
      <c r="DB10" s="370"/>
      <c r="DC10" s="370"/>
      <c r="DD10" s="155"/>
      <c r="DE10" s="155"/>
      <c r="DF10" s="370"/>
      <c r="DG10" s="370"/>
      <c r="DH10" s="370"/>
      <c r="DI10" s="155"/>
      <c r="DJ10" s="155"/>
      <c r="DK10" s="155"/>
      <c r="DL10" s="155"/>
      <c r="DM10" s="155"/>
      <c r="DN10" s="155"/>
      <c r="DO10" s="155"/>
      <c r="DP10" s="155"/>
      <c r="DQ10" s="370"/>
      <c r="DR10" s="370"/>
      <c r="DS10" s="155"/>
      <c r="DT10" s="155"/>
      <c r="DU10" s="373"/>
      <c r="DV10" s="190">
        <f>+K10</f>
        <v>3020000</v>
      </c>
      <c r="DW10" s="337">
        <f t="shared" si="1"/>
        <v>0</v>
      </c>
      <c r="DX10" s="338">
        <f>+E10-'Výdaje kapitol celkem'!G10</f>
        <v>-290000</v>
      </c>
      <c r="DY10" s="369">
        <f t="shared" si="3"/>
        <v>0</v>
      </c>
      <c r="EA10" s="322"/>
      <c r="EE10" s="322"/>
      <c r="EF10" s="322"/>
    </row>
    <row r="11" spans="1:136" ht="17.25" customHeight="1" outlineLevel="1" x14ac:dyDescent="0.25">
      <c r="A11" s="238">
        <v>5024</v>
      </c>
      <c r="B11" s="205" t="s">
        <v>733</v>
      </c>
      <c r="C11" s="369">
        <v>850000</v>
      </c>
      <c r="D11" s="369">
        <v>850000</v>
      </c>
      <c r="E11" s="369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0"/>
      <c r="O11" s="371"/>
      <c r="P11" s="155"/>
      <c r="Q11" s="372"/>
      <c r="R11" s="363"/>
      <c r="S11" s="155"/>
      <c r="T11" s="363"/>
      <c r="U11" s="363"/>
      <c r="V11" s="363"/>
      <c r="W11" s="363"/>
      <c r="X11" s="363"/>
      <c r="Y11" s="155"/>
      <c r="Z11" s="155"/>
      <c r="AA11" s="370"/>
      <c r="AB11" s="370"/>
      <c r="AC11" s="363"/>
      <c r="AD11" s="370"/>
      <c r="AE11" s="370"/>
      <c r="AF11" s="155"/>
      <c r="AG11" s="370"/>
      <c r="AH11" s="370"/>
      <c r="AI11" s="363"/>
      <c r="AJ11" s="155"/>
      <c r="AK11" s="155"/>
      <c r="AL11" s="155"/>
      <c r="AM11" s="370"/>
      <c r="AN11" s="370"/>
      <c r="AO11" s="155"/>
      <c r="AP11" s="370"/>
      <c r="AQ11" s="370"/>
      <c r="AR11" s="155"/>
      <c r="AS11" s="370"/>
      <c r="AT11" s="370"/>
      <c r="AU11" s="155"/>
      <c r="AV11" s="370"/>
      <c r="AW11" s="370"/>
      <c r="AX11" s="155"/>
      <c r="AY11" s="370"/>
      <c r="AZ11" s="370"/>
      <c r="BA11" s="363">
        <v>0</v>
      </c>
      <c r="BB11" s="370"/>
      <c r="BC11" s="370"/>
      <c r="BD11" s="363">
        <v>0</v>
      </c>
      <c r="BE11" s="370">
        <v>0</v>
      </c>
      <c r="BF11" s="370"/>
      <c r="BG11" s="155"/>
      <c r="BH11" s="370"/>
      <c r="BI11" s="370"/>
      <c r="BJ11" s="155"/>
      <c r="BK11" s="370"/>
      <c r="BL11" s="370"/>
      <c r="BM11" s="155"/>
      <c r="BN11" s="370"/>
      <c r="BO11" s="370"/>
      <c r="BP11" s="155"/>
      <c r="BQ11" s="370"/>
      <c r="BR11" s="370"/>
      <c r="BS11" s="155"/>
      <c r="BT11" s="155"/>
      <c r="BU11" s="370"/>
      <c r="BV11" s="370"/>
      <c r="BW11" s="155"/>
      <c r="BX11" s="155"/>
      <c r="BY11" s="370"/>
      <c r="BZ11" s="370"/>
      <c r="CA11" s="155"/>
      <c r="CB11" s="370"/>
      <c r="CC11" s="370"/>
      <c r="CD11" s="155"/>
      <c r="CE11" s="155"/>
      <c r="CF11" s="370"/>
      <c r="CG11" s="370"/>
      <c r="CH11" s="155"/>
      <c r="CI11" s="370"/>
      <c r="CJ11" s="370"/>
      <c r="CK11" s="155"/>
      <c r="CL11" s="370"/>
      <c r="CM11" s="370"/>
      <c r="CN11" s="155"/>
      <c r="CO11" s="370"/>
      <c r="CP11" s="370"/>
      <c r="CQ11" s="155"/>
      <c r="CR11" s="370"/>
      <c r="CS11" s="370"/>
      <c r="CT11" s="155"/>
      <c r="CU11" s="155"/>
      <c r="CV11" s="370"/>
      <c r="CW11" s="370"/>
      <c r="CX11" s="155"/>
      <c r="CY11" s="370"/>
      <c r="CZ11" s="370"/>
      <c r="DA11" s="155"/>
      <c r="DB11" s="370"/>
      <c r="DC11" s="370"/>
      <c r="DD11" s="155"/>
      <c r="DE11" s="155"/>
      <c r="DF11" s="370"/>
      <c r="DG11" s="370"/>
      <c r="DH11" s="370"/>
      <c r="DI11" s="155"/>
      <c r="DJ11" s="155"/>
      <c r="DK11" s="155"/>
      <c r="DL11" s="155"/>
      <c r="DM11" s="155"/>
      <c r="DN11" s="155"/>
      <c r="DO11" s="155"/>
      <c r="DP11" s="155"/>
      <c r="DQ11" s="370"/>
      <c r="DR11" s="370"/>
      <c r="DS11" s="155"/>
      <c r="DT11" s="155"/>
      <c r="DU11" s="373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7">
        <f t="shared" si="1"/>
        <v>0</v>
      </c>
      <c r="DX11" s="338">
        <f>+E11-'Výdaje kapitol celkem'!G11</f>
        <v>-94000</v>
      </c>
      <c r="DY11" s="369">
        <f t="shared" si="3"/>
        <v>0</v>
      </c>
      <c r="EA11" s="322"/>
      <c r="EE11" s="322"/>
      <c r="EF11" s="322"/>
    </row>
    <row r="12" spans="1:136" ht="17.25" customHeight="1" outlineLevel="1" x14ac:dyDescent="0.25">
      <c r="A12" s="238">
        <v>5029</v>
      </c>
      <c r="B12" s="205" t="s">
        <v>66</v>
      </c>
      <c r="C12" s="369">
        <v>30000</v>
      </c>
      <c r="D12" s="369">
        <v>30000</v>
      </c>
      <c r="E12" s="369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0"/>
      <c r="O12" s="371"/>
      <c r="P12" s="155"/>
      <c r="Q12" s="372"/>
      <c r="R12" s="363"/>
      <c r="S12" s="155"/>
      <c r="T12" s="363"/>
      <c r="U12" s="363"/>
      <c r="V12" s="363"/>
      <c r="W12" s="363"/>
      <c r="X12" s="363"/>
      <c r="Y12" s="155"/>
      <c r="Z12" s="155"/>
      <c r="AA12" s="370"/>
      <c r="AB12" s="370"/>
      <c r="AC12" s="363"/>
      <c r="AD12" s="370"/>
      <c r="AE12" s="370"/>
      <c r="AF12" s="155"/>
      <c r="AG12" s="370"/>
      <c r="AH12" s="370"/>
      <c r="AI12" s="363">
        <v>30000</v>
      </c>
      <c r="AJ12" s="155"/>
      <c r="AK12" s="155"/>
      <c r="AL12" s="155"/>
      <c r="AM12" s="370"/>
      <c r="AN12" s="370"/>
      <c r="AO12" s="155"/>
      <c r="AP12" s="370"/>
      <c r="AQ12" s="370"/>
      <c r="AR12" s="155"/>
      <c r="AS12" s="370"/>
      <c r="AT12" s="370"/>
      <c r="AU12" s="155"/>
      <c r="AV12" s="370"/>
      <c r="AW12" s="370"/>
      <c r="AX12" s="155"/>
      <c r="AY12" s="370"/>
      <c r="AZ12" s="370"/>
      <c r="BA12" s="363">
        <v>0</v>
      </c>
      <c r="BB12" s="370"/>
      <c r="BC12" s="370"/>
      <c r="BD12" s="363">
        <v>0</v>
      </c>
      <c r="BE12" s="370">
        <v>0</v>
      </c>
      <c r="BF12" s="370"/>
      <c r="BG12" s="155"/>
      <c r="BH12" s="370"/>
      <c r="BI12" s="370"/>
      <c r="BJ12" s="155"/>
      <c r="BK12" s="370"/>
      <c r="BL12" s="370"/>
      <c r="BM12" s="155"/>
      <c r="BN12" s="370"/>
      <c r="BO12" s="370"/>
      <c r="BP12" s="155"/>
      <c r="BQ12" s="370"/>
      <c r="BR12" s="370"/>
      <c r="BS12" s="155"/>
      <c r="BT12" s="155"/>
      <c r="BU12" s="370"/>
      <c r="BV12" s="370"/>
      <c r="BW12" s="155"/>
      <c r="BX12" s="155"/>
      <c r="BY12" s="370"/>
      <c r="BZ12" s="370"/>
      <c r="CA12" s="155"/>
      <c r="CB12" s="370"/>
      <c r="CC12" s="370"/>
      <c r="CD12" s="155"/>
      <c r="CE12" s="155"/>
      <c r="CF12" s="370"/>
      <c r="CG12" s="370"/>
      <c r="CH12" s="155"/>
      <c r="CI12" s="370"/>
      <c r="CJ12" s="370"/>
      <c r="CK12" s="155"/>
      <c r="CL12" s="370"/>
      <c r="CM12" s="370"/>
      <c r="CN12" s="155"/>
      <c r="CO12" s="370"/>
      <c r="CP12" s="370"/>
      <c r="CQ12" s="155"/>
      <c r="CR12" s="370"/>
      <c r="CS12" s="370"/>
      <c r="CT12" s="155"/>
      <c r="CU12" s="155"/>
      <c r="CV12" s="370"/>
      <c r="CW12" s="370"/>
      <c r="CX12" s="155"/>
      <c r="CY12" s="370"/>
      <c r="CZ12" s="370"/>
      <c r="DA12" s="155"/>
      <c r="DB12" s="370"/>
      <c r="DC12" s="370"/>
      <c r="DD12" s="155"/>
      <c r="DE12" s="155"/>
      <c r="DF12" s="370"/>
      <c r="DG12" s="370"/>
      <c r="DH12" s="370"/>
      <c r="DI12" s="155"/>
      <c r="DJ12" s="155"/>
      <c r="DK12" s="155"/>
      <c r="DL12" s="155"/>
      <c r="DM12" s="155"/>
      <c r="DN12" s="155"/>
      <c r="DO12" s="155"/>
      <c r="DP12" s="155"/>
      <c r="DQ12" s="370"/>
      <c r="DR12" s="370"/>
      <c r="DS12" s="155"/>
      <c r="DT12" s="155"/>
      <c r="DU12" s="373"/>
      <c r="DV12" s="190">
        <f t="shared" si="5"/>
        <v>30000</v>
      </c>
      <c r="DW12" s="337">
        <f t="shared" si="1"/>
        <v>0</v>
      </c>
      <c r="DX12" s="338">
        <f>+E12-'Výdaje kapitol celkem'!G12</f>
        <v>0</v>
      </c>
      <c r="DY12" s="369">
        <f t="shared" si="3"/>
        <v>0</v>
      </c>
      <c r="EA12" s="322"/>
      <c r="EE12" s="322"/>
      <c r="EF12" s="322"/>
    </row>
    <row r="13" spans="1:136" ht="17.25" customHeight="1" outlineLevel="1" x14ac:dyDescent="0.25">
      <c r="A13" s="238">
        <v>5031</v>
      </c>
      <c r="B13" s="205" t="s">
        <v>67</v>
      </c>
      <c r="C13" s="369">
        <v>7459000</v>
      </c>
      <c r="D13" s="369">
        <v>7459000</v>
      </c>
      <c r="E13" s="369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70">
        <v>4710750</v>
      </c>
      <c r="O13" s="371"/>
      <c r="P13" s="155">
        <v>472250</v>
      </c>
      <c r="Q13" s="372"/>
      <c r="R13" s="363">
        <v>417500</v>
      </c>
      <c r="S13" s="155"/>
      <c r="T13" s="363">
        <v>1349250</v>
      </c>
      <c r="U13" s="363">
        <v>3000</v>
      </c>
      <c r="V13" s="363"/>
      <c r="W13" s="363">
        <v>376500</v>
      </c>
      <c r="X13" s="363">
        <v>2000</v>
      </c>
      <c r="Y13" s="155"/>
      <c r="Z13" s="155"/>
      <c r="AA13" s="370"/>
      <c r="AB13" s="370"/>
      <c r="AC13" s="363"/>
      <c r="AD13" s="370"/>
      <c r="AE13" s="370"/>
      <c r="AF13" s="155"/>
      <c r="AG13" s="370"/>
      <c r="AH13" s="370"/>
      <c r="AI13" s="363">
        <v>26250</v>
      </c>
      <c r="AJ13" s="155"/>
      <c r="AK13" s="155"/>
      <c r="AL13" s="155"/>
      <c r="AM13" s="370"/>
      <c r="AN13" s="370"/>
      <c r="AO13" s="155"/>
      <c r="AP13" s="370"/>
      <c r="AQ13" s="370"/>
      <c r="AR13" s="155"/>
      <c r="AS13" s="370"/>
      <c r="AT13" s="370"/>
      <c r="AU13" s="155"/>
      <c r="AV13" s="370"/>
      <c r="AW13" s="370"/>
      <c r="AX13" s="155"/>
      <c r="AY13" s="370"/>
      <c r="AZ13" s="370"/>
      <c r="BA13" s="363">
        <v>0</v>
      </c>
      <c r="BB13" s="370"/>
      <c r="BC13" s="370"/>
      <c r="BD13" s="363">
        <v>0</v>
      </c>
      <c r="BE13" s="370">
        <v>0</v>
      </c>
      <c r="BF13" s="370"/>
      <c r="BG13" s="155"/>
      <c r="BH13" s="370"/>
      <c r="BI13" s="370"/>
      <c r="BJ13" s="155"/>
      <c r="BK13" s="370"/>
      <c r="BL13" s="370"/>
      <c r="BM13" s="155"/>
      <c r="BN13" s="370"/>
      <c r="BO13" s="370"/>
      <c r="BP13" s="155"/>
      <c r="BQ13" s="370"/>
      <c r="BR13" s="370"/>
      <c r="BS13" s="155"/>
      <c r="BT13" s="155"/>
      <c r="BU13" s="370"/>
      <c r="BV13" s="370"/>
      <c r="BW13" s="155"/>
      <c r="BX13" s="155"/>
      <c r="BY13" s="370"/>
      <c r="BZ13" s="370"/>
      <c r="CA13" s="155"/>
      <c r="CB13" s="370"/>
      <c r="CC13" s="370"/>
      <c r="CD13" s="155"/>
      <c r="CE13" s="155"/>
      <c r="CF13" s="370"/>
      <c r="CG13" s="370"/>
      <c r="CH13" s="155"/>
      <c r="CI13" s="370"/>
      <c r="CJ13" s="370"/>
      <c r="CK13" s="155"/>
      <c r="CL13" s="370"/>
      <c r="CM13" s="370"/>
      <c r="CN13" s="155"/>
      <c r="CO13" s="370"/>
      <c r="CP13" s="370"/>
      <c r="CQ13" s="155"/>
      <c r="CR13" s="370"/>
      <c r="CS13" s="370"/>
      <c r="CT13" s="155"/>
      <c r="CU13" s="155"/>
      <c r="CV13" s="370"/>
      <c r="CW13" s="370"/>
      <c r="CX13" s="155"/>
      <c r="CY13" s="370"/>
      <c r="CZ13" s="370"/>
      <c r="DA13" s="155"/>
      <c r="DB13" s="370"/>
      <c r="DC13" s="370"/>
      <c r="DD13" s="155"/>
      <c r="DE13" s="155"/>
      <c r="DF13" s="370"/>
      <c r="DG13" s="370"/>
      <c r="DH13" s="370"/>
      <c r="DI13" s="155"/>
      <c r="DJ13" s="155"/>
      <c r="DK13" s="155"/>
      <c r="DL13" s="155"/>
      <c r="DM13" s="155"/>
      <c r="DN13" s="155"/>
      <c r="DO13" s="155"/>
      <c r="DP13" s="155"/>
      <c r="DQ13" s="370"/>
      <c r="DR13" s="370"/>
      <c r="DS13" s="155"/>
      <c r="DT13" s="155"/>
      <c r="DU13" s="373"/>
      <c r="DV13" s="190">
        <f t="shared" si="5"/>
        <v>8112500</v>
      </c>
      <c r="DW13" s="337">
        <f t="shared" si="1"/>
        <v>0</v>
      </c>
      <c r="DX13" s="338">
        <f>+E13-'Výdaje kapitol celkem'!G13</f>
        <v>-252820</v>
      </c>
      <c r="DY13" s="369">
        <f t="shared" si="3"/>
        <v>0</v>
      </c>
      <c r="EA13" s="322"/>
      <c r="EE13" s="322"/>
      <c r="EF13" s="322"/>
    </row>
    <row r="14" spans="1:136" ht="17.25" customHeight="1" outlineLevel="1" x14ac:dyDescent="0.25">
      <c r="A14" s="238">
        <v>5032</v>
      </c>
      <c r="B14" s="205" t="s">
        <v>68</v>
      </c>
      <c r="C14" s="369">
        <v>2685240</v>
      </c>
      <c r="D14" s="369">
        <v>2685240</v>
      </c>
      <c r="E14" s="369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70">
        <v>1695870</v>
      </c>
      <c r="O14" s="371"/>
      <c r="P14" s="155">
        <v>170010</v>
      </c>
      <c r="Q14" s="372"/>
      <c r="R14" s="363">
        <v>150300</v>
      </c>
      <c r="S14" s="155"/>
      <c r="T14" s="363">
        <v>485730</v>
      </c>
      <c r="U14" s="363">
        <v>1080</v>
      </c>
      <c r="V14" s="363"/>
      <c r="W14" s="363">
        <v>135540</v>
      </c>
      <c r="X14" s="363">
        <v>720</v>
      </c>
      <c r="Y14" s="155"/>
      <c r="Z14" s="155"/>
      <c r="AA14" s="370"/>
      <c r="AB14" s="370"/>
      <c r="AC14" s="363"/>
      <c r="AD14" s="370"/>
      <c r="AE14" s="370"/>
      <c r="AF14" s="155"/>
      <c r="AG14" s="370"/>
      <c r="AH14" s="370"/>
      <c r="AI14" s="363">
        <v>9450</v>
      </c>
      <c r="AJ14" s="155"/>
      <c r="AK14" s="155"/>
      <c r="AL14" s="155"/>
      <c r="AM14" s="370"/>
      <c r="AN14" s="370"/>
      <c r="AO14" s="155"/>
      <c r="AP14" s="370"/>
      <c r="AQ14" s="370"/>
      <c r="AR14" s="155"/>
      <c r="AS14" s="370"/>
      <c r="AT14" s="370"/>
      <c r="AU14" s="155"/>
      <c r="AV14" s="370"/>
      <c r="AW14" s="370"/>
      <c r="AX14" s="155"/>
      <c r="AY14" s="370"/>
      <c r="AZ14" s="370"/>
      <c r="BA14" s="363">
        <v>0</v>
      </c>
      <c r="BB14" s="370"/>
      <c r="BC14" s="370"/>
      <c r="BD14" s="363">
        <v>0</v>
      </c>
      <c r="BE14" s="370">
        <v>0</v>
      </c>
      <c r="BF14" s="370"/>
      <c r="BG14" s="155"/>
      <c r="BH14" s="370"/>
      <c r="BI14" s="370"/>
      <c r="BJ14" s="155"/>
      <c r="BK14" s="370"/>
      <c r="BL14" s="370"/>
      <c r="BM14" s="155"/>
      <c r="BN14" s="370"/>
      <c r="BO14" s="370"/>
      <c r="BP14" s="155"/>
      <c r="BQ14" s="370"/>
      <c r="BR14" s="370"/>
      <c r="BS14" s="155"/>
      <c r="BT14" s="155"/>
      <c r="BU14" s="370"/>
      <c r="BV14" s="370"/>
      <c r="BW14" s="155"/>
      <c r="BX14" s="155"/>
      <c r="BY14" s="370"/>
      <c r="BZ14" s="370"/>
      <c r="CA14" s="155"/>
      <c r="CB14" s="370"/>
      <c r="CC14" s="370"/>
      <c r="CD14" s="155"/>
      <c r="CE14" s="155"/>
      <c r="CF14" s="370"/>
      <c r="CG14" s="370"/>
      <c r="CH14" s="155"/>
      <c r="CI14" s="370"/>
      <c r="CJ14" s="370"/>
      <c r="CK14" s="155"/>
      <c r="CL14" s="370"/>
      <c r="CM14" s="370"/>
      <c r="CN14" s="155"/>
      <c r="CO14" s="370"/>
      <c r="CP14" s="370"/>
      <c r="CQ14" s="155"/>
      <c r="CR14" s="370"/>
      <c r="CS14" s="370"/>
      <c r="CT14" s="155"/>
      <c r="CU14" s="155"/>
      <c r="CV14" s="370"/>
      <c r="CW14" s="370"/>
      <c r="CX14" s="155"/>
      <c r="CY14" s="370"/>
      <c r="CZ14" s="370"/>
      <c r="DA14" s="155"/>
      <c r="DB14" s="370"/>
      <c r="DC14" s="370"/>
      <c r="DD14" s="155"/>
      <c r="DE14" s="155"/>
      <c r="DF14" s="370"/>
      <c r="DG14" s="370"/>
      <c r="DH14" s="370"/>
      <c r="DI14" s="155"/>
      <c r="DJ14" s="155"/>
      <c r="DK14" s="155"/>
      <c r="DL14" s="155"/>
      <c r="DM14" s="155"/>
      <c r="DN14" s="155"/>
      <c r="DO14" s="155"/>
      <c r="DP14" s="155"/>
      <c r="DQ14" s="370"/>
      <c r="DR14" s="370"/>
      <c r="DS14" s="155"/>
      <c r="DT14" s="155"/>
      <c r="DU14" s="373"/>
      <c r="DV14" s="190">
        <f t="shared" si="5"/>
        <v>2920500</v>
      </c>
      <c r="DW14" s="337">
        <f t="shared" si="1"/>
        <v>0</v>
      </c>
      <c r="DX14" s="338">
        <f>+E14-'Výdaje kapitol celkem'!G14</f>
        <v>-91078</v>
      </c>
      <c r="DY14" s="369">
        <f t="shared" si="3"/>
        <v>0</v>
      </c>
      <c r="EA14" s="322"/>
      <c r="EE14" s="322"/>
      <c r="EF14" s="322"/>
    </row>
    <row r="15" spans="1:136" ht="17.25" customHeight="1" outlineLevel="1" x14ac:dyDescent="0.25">
      <c r="A15" s="238">
        <v>5038</v>
      </c>
      <c r="B15" s="205" t="s">
        <v>69</v>
      </c>
      <c r="C15" s="369">
        <v>125311.20000000001</v>
      </c>
      <c r="D15" s="369">
        <v>125311.20000000001</v>
      </c>
      <c r="E15" s="369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70">
        <v>79140.599999999991</v>
      </c>
      <c r="O15" s="371"/>
      <c r="P15" s="155">
        <v>7933.7999999999993</v>
      </c>
      <c r="Q15" s="372"/>
      <c r="R15" s="363">
        <v>7014</v>
      </c>
      <c r="S15" s="155"/>
      <c r="T15" s="363">
        <v>22667.4</v>
      </c>
      <c r="U15" s="363">
        <v>50.4</v>
      </c>
      <c r="V15" s="363"/>
      <c r="W15" s="363">
        <v>6325.2</v>
      </c>
      <c r="X15" s="363">
        <v>33.6</v>
      </c>
      <c r="Y15" s="155"/>
      <c r="Z15" s="155"/>
      <c r="AA15" s="370"/>
      <c r="AB15" s="370"/>
      <c r="AC15" s="363"/>
      <c r="AD15" s="370"/>
      <c r="AE15" s="370"/>
      <c r="AF15" s="155"/>
      <c r="AG15" s="370"/>
      <c r="AH15" s="370"/>
      <c r="AI15" s="363">
        <v>441</v>
      </c>
      <c r="AJ15" s="155"/>
      <c r="AK15" s="155"/>
      <c r="AL15" s="155"/>
      <c r="AM15" s="370"/>
      <c r="AN15" s="370"/>
      <c r="AO15" s="155"/>
      <c r="AP15" s="370"/>
      <c r="AQ15" s="370"/>
      <c r="AR15" s="155"/>
      <c r="AS15" s="370"/>
      <c r="AT15" s="370"/>
      <c r="AU15" s="155"/>
      <c r="AV15" s="370"/>
      <c r="AW15" s="370"/>
      <c r="AX15" s="155"/>
      <c r="AY15" s="370"/>
      <c r="AZ15" s="370"/>
      <c r="BA15" s="363">
        <v>0</v>
      </c>
      <c r="BB15" s="370"/>
      <c r="BC15" s="370"/>
      <c r="BD15" s="363">
        <v>0</v>
      </c>
      <c r="BE15" s="370">
        <v>0</v>
      </c>
      <c r="BF15" s="370"/>
      <c r="BG15" s="155"/>
      <c r="BH15" s="370"/>
      <c r="BI15" s="370"/>
      <c r="BJ15" s="155"/>
      <c r="BK15" s="370"/>
      <c r="BL15" s="370"/>
      <c r="BM15" s="155"/>
      <c r="BN15" s="370"/>
      <c r="BO15" s="370"/>
      <c r="BP15" s="155"/>
      <c r="BQ15" s="370"/>
      <c r="BR15" s="370"/>
      <c r="BS15" s="155"/>
      <c r="BT15" s="155"/>
      <c r="BU15" s="370"/>
      <c r="BV15" s="370"/>
      <c r="BW15" s="155"/>
      <c r="BX15" s="155"/>
      <c r="BY15" s="370"/>
      <c r="BZ15" s="370"/>
      <c r="CA15" s="155"/>
      <c r="CB15" s="370"/>
      <c r="CC15" s="370"/>
      <c r="CD15" s="155"/>
      <c r="CE15" s="155"/>
      <c r="CF15" s="370"/>
      <c r="CG15" s="370"/>
      <c r="CH15" s="155"/>
      <c r="CI15" s="370"/>
      <c r="CJ15" s="370"/>
      <c r="CK15" s="155"/>
      <c r="CL15" s="370"/>
      <c r="CM15" s="370"/>
      <c r="CN15" s="155"/>
      <c r="CO15" s="370"/>
      <c r="CP15" s="370"/>
      <c r="CQ15" s="155"/>
      <c r="CR15" s="370"/>
      <c r="CS15" s="370"/>
      <c r="CT15" s="155"/>
      <c r="CU15" s="155"/>
      <c r="CV15" s="370"/>
      <c r="CW15" s="370"/>
      <c r="CX15" s="155"/>
      <c r="CY15" s="370"/>
      <c r="CZ15" s="370"/>
      <c r="DA15" s="155"/>
      <c r="DB15" s="370"/>
      <c r="DC15" s="370"/>
      <c r="DD15" s="155"/>
      <c r="DE15" s="155"/>
      <c r="DF15" s="370"/>
      <c r="DG15" s="370"/>
      <c r="DH15" s="370"/>
      <c r="DI15" s="155"/>
      <c r="DJ15" s="155"/>
      <c r="DK15" s="155"/>
      <c r="DL15" s="155"/>
      <c r="DM15" s="155"/>
      <c r="DN15" s="155"/>
      <c r="DO15" s="155"/>
      <c r="DP15" s="155"/>
      <c r="DQ15" s="370"/>
      <c r="DR15" s="370"/>
      <c r="DS15" s="155"/>
      <c r="DT15" s="155"/>
      <c r="DU15" s="373"/>
      <c r="DV15" s="190">
        <f t="shared" si="5"/>
        <v>136290</v>
      </c>
      <c r="DW15" s="337">
        <f t="shared" si="1"/>
        <v>0</v>
      </c>
      <c r="DX15" s="338">
        <f>+E15-'Výdaje kapitol celkem'!G15</f>
        <v>-3876.6000000000349</v>
      </c>
      <c r="DY15" s="369">
        <f t="shared" si="3"/>
        <v>0</v>
      </c>
      <c r="EA15" s="322"/>
      <c r="EE15" s="322"/>
      <c r="EF15" s="322"/>
    </row>
    <row r="16" spans="1:136" ht="15.75" customHeight="1" thickBot="1" x14ac:dyDescent="0.3">
      <c r="A16" s="213" t="s">
        <v>70</v>
      </c>
      <c r="B16" s="214" t="s">
        <v>121</v>
      </c>
      <c r="C16" s="374">
        <v>41242551.200000003</v>
      </c>
      <c r="D16" s="374">
        <v>41242551.200000003</v>
      </c>
      <c r="E16" s="374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5">
        <f t="shared" si="6"/>
        <v>25423760.600000001</v>
      </c>
      <c r="O16" s="376">
        <f t="shared" si="6"/>
        <v>0</v>
      </c>
      <c r="P16" s="217">
        <f t="shared" ref="P16:CA16" si="8">SUM(P8:P15)</f>
        <v>2539193.7999999998</v>
      </c>
      <c r="Q16" s="377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5">
        <f t="shared" si="8"/>
        <v>0</v>
      </c>
      <c r="AB16" s="375">
        <f t="shared" si="8"/>
        <v>0</v>
      </c>
      <c r="AC16" s="217">
        <f t="shared" si="8"/>
        <v>0</v>
      </c>
      <c r="AD16" s="375">
        <f t="shared" si="8"/>
        <v>0</v>
      </c>
      <c r="AE16" s="375">
        <f t="shared" si="8"/>
        <v>0</v>
      </c>
      <c r="AF16" s="217">
        <f t="shared" si="8"/>
        <v>0</v>
      </c>
      <c r="AG16" s="375">
        <f t="shared" si="8"/>
        <v>0</v>
      </c>
      <c r="AH16" s="375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5">
        <f t="shared" si="8"/>
        <v>0</v>
      </c>
      <c r="AN16" s="375">
        <f t="shared" si="8"/>
        <v>0</v>
      </c>
      <c r="AO16" s="217">
        <f t="shared" si="8"/>
        <v>0</v>
      </c>
      <c r="AP16" s="375">
        <f t="shared" si="8"/>
        <v>0</v>
      </c>
      <c r="AQ16" s="375">
        <f t="shared" si="8"/>
        <v>0</v>
      </c>
      <c r="AR16" s="217">
        <f t="shared" si="8"/>
        <v>0</v>
      </c>
      <c r="AS16" s="375">
        <f t="shared" si="8"/>
        <v>0</v>
      </c>
      <c r="AT16" s="375">
        <f t="shared" si="8"/>
        <v>0</v>
      </c>
      <c r="AU16" s="217">
        <f t="shared" si="8"/>
        <v>0</v>
      </c>
      <c r="AV16" s="375">
        <f t="shared" si="8"/>
        <v>0</v>
      </c>
      <c r="AW16" s="375">
        <f t="shared" si="8"/>
        <v>0</v>
      </c>
      <c r="AX16" s="217">
        <f t="shared" si="8"/>
        <v>0</v>
      </c>
      <c r="AY16" s="375">
        <f t="shared" si="8"/>
        <v>0</v>
      </c>
      <c r="AZ16" s="375">
        <f t="shared" si="8"/>
        <v>0</v>
      </c>
      <c r="BA16" s="217">
        <f t="shared" si="8"/>
        <v>0</v>
      </c>
      <c r="BB16" s="375">
        <f t="shared" si="8"/>
        <v>0</v>
      </c>
      <c r="BC16" s="375">
        <f t="shared" si="8"/>
        <v>0</v>
      </c>
      <c r="BD16" s="217">
        <f t="shared" si="8"/>
        <v>0</v>
      </c>
      <c r="BE16" s="375">
        <f t="shared" si="8"/>
        <v>0</v>
      </c>
      <c r="BF16" s="375">
        <f t="shared" si="8"/>
        <v>0</v>
      </c>
      <c r="BG16" s="217">
        <f t="shared" si="8"/>
        <v>0</v>
      </c>
      <c r="BH16" s="375">
        <f t="shared" si="8"/>
        <v>0</v>
      </c>
      <c r="BI16" s="375">
        <f t="shared" si="8"/>
        <v>0</v>
      </c>
      <c r="BJ16" s="217">
        <f t="shared" si="8"/>
        <v>0</v>
      </c>
      <c r="BK16" s="375">
        <f t="shared" si="8"/>
        <v>0</v>
      </c>
      <c r="BL16" s="375">
        <f t="shared" si="8"/>
        <v>0</v>
      </c>
      <c r="BM16" s="217">
        <f t="shared" si="8"/>
        <v>0</v>
      </c>
      <c r="BN16" s="375">
        <f t="shared" si="8"/>
        <v>0</v>
      </c>
      <c r="BO16" s="375">
        <f t="shared" si="8"/>
        <v>0</v>
      </c>
      <c r="BP16" s="217">
        <f t="shared" si="8"/>
        <v>0</v>
      </c>
      <c r="BQ16" s="375">
        <f t="shared" si="8"/>
        <v>0</v>
      </c>
      <c r="BR16" s="375">
        <f t="shared" si="8"/>
        <v>0</v>
      </c>
      <c r="BS16" s="217">
        <f t="shared" si="8"/>
        <v>0</v>
      </c>
      <c r="BT16" s="217">
        <f t="shared" si="8"/>
        <v>0</v>
      </c>
      <c r="BU16" s="375">
        <f t="shared" si="8"/>
        <v>0</v>
      </c>
      <c r="BV16" s="375">
        <f t="shared" si="8"/>
        <v>0</v>
      </c>
      <c r="BW16" s="217">
        <f t="shared" si="8"/>
        <v>0</v>
      </c>
      <c r="BX16" s="217">
        <f t="shared" si="8"/>
        <v>0</v>
      </c>
      <c r="BY16" s="375">
        <f t="shared" si="8"/>
        <v>0</v>
      </c>
      <c r="BZ16" s="375">
        <f t="shared" si="8"/>
        <v>0</v>
      </c>
      <c r="CA16" s="217">
        <f t="shared" si="8"/>
        <v>0</v>
      </c>
      <c r="CB16" s="375">
        <f t="shared" ref="CB16:DU16" si="10">SUM(CB8:CB15)</f>
        <v>0</v>
      </c>
      <c r="CC16" s="375">
        <f t="shared" si="10"/>
        <v>0</v>
      </c>
      <c r="CD16" s="217">
        <f t="shared" si="10"/>
        <v>0</v>
      </c>
      <c r="CE16" s="217">
        <f t="shared" si="10"/>
        <v>0</v>
      </c>
      <c r="CF16" s="375">
        <f t="shared" si="10"/>
        <v>0</v>
      </c>
      <c r="CG16" s="375">
        <f t="shared" si="10"/>
        <v>0</v>
      </c>
      <c r="CH16" s="217">
        <f t="shared" si="10"/>
        <v>0</v>
      </c>
      <c r="CI16" s="375">
        <f t="shared" si="10"/>
        <v>0</v>
      </c>
      <c r="CJ16" s="375">
        <f t="shared" si="10"/>
        <v>0</v>
      </c>
      <c r="CK16" s="217">
        <f t="shared" si="10"/>
        <v>0</v>
      </c>
      <c r="CL16" s="375">
        <f t="shared" si="10"/>
        <v>0</v>
      </c>
      <c r="CM16" s="375">
        <f t="shared" si="10"/>
        <v>0</v>
      </c>
      <c r="CN16" s="217">
        <f t="shared" si="10"/>
        <v>0</v>
      </c>
      <c r="CO16" s="375">
        <f t="shared" si="10"/>
        <v>0</v>
      </c>
      <c r="CP16" s="375">
        <f t="shared" si="10"/>
        <v>0</v>
      </c>
      <c r="CQ16" s="217">
        <f t="shared" si="10"/>
        <v>0</v>
      </c>
      <c r="CR16" s="375">
        <f t="shared" si="10"/>
        <v>0</v>
      </c>
      <c r="CS16" s="375">
        <f t="shared" si="10"/>
        <v>0</v>
      </c>
      <c r="CT16" s="217">
        <f t="shared" si="10"/>
        <v>0</v>
      </c>
      <c r="CU16" s="217">
        <f t="shared" si="10"/>
        <v>0</v>
      </c>
      <c r="CV16" s="375">
        <f t="shared" si="10"/>
        <v>0</v>
      </c>
      <c r="CW16" s="375">
        <f t="shared" si="10"/>
        <v>0</v>
      </c>
      <c r="CX16" s="217">
        <f t="shared" si="10"/>
        <v>0</v>
      </c>
      <c r="CY16" s="375">
        <f t="shared" si="10"/>
        <v>0</v>
      </c>
      <c r="CZ16" s="375">
        <f t="shared" si="10"/>
        <v>0</v>
      </c>
      <c r="DA16" s="217">
        <f t="shared" si="10"/>
        <v>0</v>
      </c>
      <c r="DB16" s="375">
        <f t="shared" si="10"/>
        <v>0</v>
      </c>
      <c r="DC16" s="375">
        <f t="shared" si="10"/>
        <v>0</v>
      </c>
      <c r="DD16" s="217">
        <f t="shared" si="10"/>
        <v>0</v>
      </c>
      <c r="DE16" s="217">
        <f t="shared" si="10"/>
        <v>0</v>
      </c>
      <c r="DF16" s="375">
        <f t="shared" si="10"/>
        <v>0</v>
      </c>
      <c r="DG16" s="375">
        <f t="shared" si="10"/>
        <v>0</v>
      </c>
      <c r="DH16" s="375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5">
        <f t="shared" si="10"/>
        <v>0</v>
      </c>
      <c r="DR16" s="375">
        <f t="shared" si="10"/>
        <v>0</v>
      </c>
      <c r="DS16" s="217">
        <f t="shared" si="10"/>
        <v>0</v>
      </c>
      <c r="DT16" s="217">
        <f t="shared" si="10"/>
        <v>0</v>
      </c>
      <c r="DU16" s="378">
        <f t="shared" si="10"/>
        <v>0</v>
      </c>
      <c r="DV16" s="190"/>
      <c r="DW16" s="337"/>
      <c r="DX16" s="338"/>
      <c r="DY16" s="374">
        <f>SUM(DY8:DY15)</f>
        <v>0</v>
      </c>
      <c r="EA16" s="322"/>
    </row>
    <row r="17" spans="1:131" ht="13.5" hidden="1" customHeight="1" x14ac:dyDescent="0.25">
      <c r="A17" s="222">
        <v>5178</v>
      </c>
      <c r="B17" s="205" t="s">
        <v>71</v>
      </c>
      <c r="C17" s="368">
        <v>0</v>
      </c>
      <c r="D17" s="368">
        <v>0</v>
      </c>
      <c r="E17" s="368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2"/>
      <c r="G17" s="363"/>
      <c r="H17" s="363"/>
      <c r="I17" s="363"/>
      <c r="J17" s="363"/>
      <c r="K17" s="363"/>
      <c r="L17" s="363"/>
      <c r="M17" s="363">
        <f>+N17+O17</f>
        <v>0</v>
      </c>
      <c r="N17" s="364"/>
      <c r="O17" s="365"/>
      <c r="P17" s="363"/>
      <c r="Q17" s="379"/>
      <c r="R17" s="363"/>
      <c r="S17" s="363"/>
      <c r="T17" s="363"/>
      <c r="U17" s="363"/>
      <c r="V17" s="363"/>
      <c r="W17" s="363"/>
      <c r="X17" s="363"/>
      <c r="Y17" s="363"/>
      <c r="Z17" s="363">
        <f>+AA17+AB17</f>
        <v>0</v>
      </c>
      <c r="AA17" s="364"/>
      <c r="AB17" s="364"/>
      <c r="AC17" s="363">
        <f>+AD17+AE17</f>
        <v>0</v>
      </c>
      <c r="AD17" s="364"/>
      <c r="AE17" s="364"/>
      <c r="AF17" s="363">
        <f>+AG17+AH17</f>
        <v>0</v>
      </c>
      <c r="AG17" s="364"/>
      <c r="AH17" s="364"/>
      <c r="AI17" s="363"/>
      <c r="AJ17" s="363"/>
      <c r="AK17" s="363"/>
      <c r="AL17" s="363">
        <f>+AM17+AN17</f>
        <v>0</v>
      </c>
      <c r="AM17" s="364"/>
      <c r="AN17" s="364"/>
      <c r="AO17" s="363">
        <f>+AP17+AQ17</f>
        <v>0</v>
      </c>
      <c r="AP17" s="364"/>
      <c r="AQ17" s="364"/>
      <c r="AR17" s="363">
        <f>+AS17+AT17</f>
        <v>0</v>
      </c>
      <c r="AS17" s="364"/>
      <c r="AT17" s="364"/>
      <c r="AU17" s="363">
        <f>+AV17+AW17</f>
        <v>0</v>
      </c>
      <c r="AV17" s="364"/>
      <c r="AW17" s="364"/>
      <c r="AX17" s="363">
        <f>+AY17+AZ17</f>
        <v>0</v>
      </c>
      <c r="AY17" s="364"/>
      <c r="AZ17" s="364"/>
      <c r="BA17" s="363">
        <f>+BB17+BC17</f>
        <v>0</v>
      </c>
      <c r="BB17" s="364"/>
      <c r="BC17" s="364"/>
      <c r="BD17" s="363">
        <f>+BE17+BF17</f>
        <v>0</v>
      </c>
      <c r="BE17" s="364"/>
      <c r="BF17" s="364"/>
      <c r="BG17" s="363">
        <f>+BH17+BI17</f>
        <v>0</v>
      </c>
      <c r="BH17" s="364"/>
      <c r="BI17" s="364"/>
      <c r="BJ17" s="363">
        <f>+BK17+BL17</f>
        <v>0</v>
      </c>
      <c r="BK17" s="364"/>
      <c r="BL17" s="364"/>
      <c r="BM17" s="363">
        <f>+BN17+BO17</f>
        <v>0</v>
      </c>
      <c r="BN17" s="364"/>
      <c r="BO17" s="364"/>
      <c r="BP17" s="363">
        <f>+BQ17+BR17</f>
        <v>0</v>
      </c>
      <c r="BQ17" s="364"/>
      <c r="BR17" s="364"/>
      <c r="BS17" s="363"/>
      <c r="BT17" s="363">
        <f>+BU17+BV17</f>
        <v>0</v>
      </c>
      <c r="BU17" s="364"/>
      <c r="BV17" s="364"/>
      <c r="BW17" s="363"/>
      <c r="BX17" s="363">
        <f>+BY17+BZ17</f>
        <v>0</v>
      </c>
      <c r="BY17" s="364"/>
      <c r="BZ17" s="364"/>
      <c r="CA17" s="363">
        <f>+CB17+CC17</f>
        <v>0</v>
      </c>
      <c r="CB17" s="364"/>
      <c r="CC17" s="364"/>
      <c r="CD17" s="363"/>
      <c r="CE17" s="363">
        <f>+CF17+CG17</f>
        <v>0</v>
      </c>
      <c r="CF17" s="364"/>
      <c r="CG17" s="364"/>
      <c r="CH17" s="363"/>
      <c r="CI17" s="364"/>
      <c r="CJ17" s="364"/>
      <c r="CK17" s="363"/>
      <c r="CL17" s="364"/>
      <c r="CM17" s="364"/>
      <c r="CN17" s="363"/>
      <c r="CO17" s="364"/>
      <c r="CP17" s="364"/>
      <c r="CQ17" s="363">
        <f>+CR17+CS17</f>
        <v>0</v>
      </c>
      <c r="CR17" s="364"/>
      <c r="CS17" s="364"/>
      <c r="CT17" s="363"/>
      <c r="CU17" s="363">
        <f>+CV17+CW17</f>
        <v>0</v>
      </c>
      <c r="CV17" s="364"/>
      <c r="CW17" s="364"/>
      <c r="CX17" s="363">
        <f>+CY17+CZ17</f>
        <v>0</v>
      </c>
      <c r="CY17" s="364"/>
      <c r="CZ17" s="364"/>
      <c r="DA17" s="363">
        <f>+DB17+DC17</f>
        <v>0</v>
      </c>
      <c r="DB17" s="364"/>
      <c r="DC17" s="364"/>
      <c r="DD17" s="363"/>
      <c r="DE17" s="363">
        <f>+DF17+DG17+DH17</f>
        <v>0</v>
      </c>
      <c r="DF17" s="364"/>
      <c r="DG17" s="364"/>
      <c r="DH17" s="364"/>
      <c r="DI17" s="363"/>
      <c r="DJ17" s="363"/>
      <c r="DK17" s="363"/>
      <c r="DL17" s="363"/>
      <c r="DM17" s="363"/>
      <c r="DN17" s="363"/>
      <c r="DO17" s="363"/>
      <c r="DP17" s="363"/>
      <c r="DQ17" s="364"/>
      <c r="DR17" s="364"/>
      <c r="DS17" s="363"/>
      <c r="DT17" s="363"/>
      <c r="DU17" s="367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7">
        <f t="shared" ref="DW17:DW73" si="12">DV17-E17</f>
        <v>0</v>
      </c>
      <c r="DX17" s="338"/>
      <c r="DY17" s="368">
        <f t="shared" ref="DY17:DY50" si="13">+O17+AB17+AE17++AH17+AN17+AQ17+AZ17+BF17+BI17+BL17+BO17+BR17+BV17+BZ17+CC17+CG17+CS17+CW17+CZ17+DC17+DH17</f>
        <v>0</v>
      </c>
      <c r="EA17" s="322"/>
    </row>
    <row r="18" spans="1:131" ht="13.5" hidden="1" customHeight="1" x14ac:dyDescent="0.25">
      <c r="A18" s="222">
        <v>5132</v>
      </c>
      <c r="B18" s="205" t="s">
        <v>72</v>
      </c>
      <c r="C18" s="369">
        <v>0</v>
      </c>
      <c r="D18" s="369">
        <v>0</v>
      </c>
      <c r="E18" s="369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0"/>
      <c r="O18" s="371"/>
      <c r="P18" s="155"/>
      <c r="Q18" s="380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0"/>
      <c r="AB18" s="370"/>
      <c r="AC18" s="155">
        <f t="shared" ref="AC18:AC50" si="16">+AD18+AE18</f>
        <v>0</v>
      </c>
      <c r="AD18" s="370"/>
      <c r="AE18" s="370"/>
      <c r="AF18" s="155">
        <f t="shared" ref="AF18:AF50" si="17">+AG18+AH18</f>
        <v>0</v>
      </c>
      <c r="AG18" s="370"/>
      <c r="AH18" s="370"/>
      <c r="AI18" s="155"/>
      <c r="AJ18" s="155"/>
      <c r="AK18" s="155"/>
      <c r="AL18" s="155">
        <f t="shared" ref="AL18:AL50" si="18">+AM18+AN18</f>
        <v>0</v>
      </c>
      <c r="AM18" s="370"/>
      <c r="AN18" s="370"/>
      <c r="AO18" s="155">
        <f t="shared" ref="AO18:AO49" si="19">+AP18+AQ18</f>
        <v>0</v>
      </c>
      <c r="AP18" s="370"/>
      <c r="AQ18" s="370"/>
      <c r="AR18" s="155">
        <f t="shared" ref="AR18:AR22" si="20">+AS18+AT18</f>
        <v>0</v>
      </c>
      <c r="AS18" s="370"/>
      <c r="AT18" s="370"/>
      <c r="AU18" s="155">
        <f t="shared" ref="AU18:AU22" si="21">+AV18+AW18</f>
        <v>0</v>
      </c>
      <c r="AV18" s="370"/>
      <c r="AW18" s="370"/>
      <c r="AX18" s="155">
        <f t="shared" ref="AX18:AX50" si="22">+AY18+AZ18</f>
        <v>0</v>
      </c>
      <c r="AY18" s="370"/>
      <c r="AZ18" s="370"/>
      <c r="BA18" s="155">
        <f t="shared" ref="BA18:BA46" si="23">+BB18+BC18</f>
        <v>0</v>
      </c>
      <c r="BB18" s="370"/>
      <c r="BC18" s="370"/>
      <c r="BD18" s="155">
        <f t="shared" ref="BD18:BD50" si="24">+BE18+BF18</f>
        <v>0</v>
      </c>
      <c r="BE18" s="370"/>
      <c r="BF18" s="370"/>
      <c r="BG18" s="155">
        <f t="shared" ref="BG18:BG50" si="25">+BH18+BI18</f>
        <v>0</v>
      </c>
      <c r="BH18" s="370"/>
      <c r="BI18" s="370"/>
      <c r="BJ18" s="155">
        <f t="shared" ref="BJ18:BJ50" si="26">+BK18+BL18</f>
        <v>0</v>
      </c>
      <c r="BK18" s="370"/>
      <c r="BL18" s="370"/>
      <c r="BM18" s="155">
        <f t="shared" ref="BM18:BM50" si="27">+BN18+BO18</f>
        <v>0</v>
      </c>
      <c r="BN18" s="370"/>
      <c r="BO18" s="370"/>
      <c r="BP18" s="155">
        <f t="shared" ref="BP18:BP50" si="28">+BQ18+BR18</f>
        <v>0</v>
      </c>
      <c r="BQ18" s="370"/>
      <c r="BR18" s="370"/>
      <c r="BS18" s="155"/>
      <c r="BT18" s="155">
        <f t="shared" ref="BT18:BT50" si="29">+BU18+BV18</f>
        <v>0</v>
      </c>
      <c r="BU18" s="370"/>
      <c r="BV18" s="370"/>
      <c r="BW18" s="155"/>
      <c r="BX18" s="155">
        <f t="shared" ref="BX18:BX50" si="30">+BY18+BZ18</f>
        <v>0</v>
      </c>
      <c r="BY18" s="370"/>
      <c r="BZ18" s="370"/>
      <c r="CA18" s="155">
        <f t="shared" ref="CA18:CA50" si="31">+CB18+CC18</f>
        <v>0</v>
      </c>
      <c r="CB18" s="370"/>
      <c r="CC18" s="370"/>
      <c r="CD18" s="155"/>
      <c r="CE18" s="155">
        <f t="shared" ref="CE18:CE50" si="32">+CF18+CG18</f>
        <v>0</v>
      </c>
      <c r="CF18" s="370"/>
      <c r="CG18" s="370"/>
      <c r="CH18" s="155"/>
      <c r="CI18" s="370"/>
      <c r="CJ18" s="370"/>
      <c r="CK18" s="155"/>
      <c r="CL18" s="370"/>
      <c r="CM18" s="370"/>
      <c r="CN18" s="155"/>
      <c r="CO18" s="370"/>
      <c r="CP18" s="370"/>
      <c r="CQ18" s="155">
        <f t="shared" ref="CQ18:CQ50" si="33">+CR18+CS18</f>
        <v>0</v>
      </c>
      <c r="CR18" s="370"/>
      <c r="CS18" s="370"/>
      <c r="CT18" s="155"/>
      <c r="CU18" s="155">
        <f t="shared" ref="CU18:CU50" si="34">+CV18+CW18</f>
        <v>0</v>
      </c>
      <c r="CV18" s="370"/>
      <c r="CW18" s="370"/>
      <c r="CX18" s="155">
        <f t="shared" ref="CX18:CX50" si="35">+CY18+CZ18</f>
        <v>0</v>
      </c>
      <c r="CY18" s="370"/>
      <c r="CZ18" s="370"/>
      <c r="DA18" s="155">
        <f t="shared" ref="DA18:DA50" si="36">+DB18+DC18</f>
        <v>0</v>
      </c>
      <c r="DB18" s="370"/>
      <c r="DC18" s="370"/>
      <c r="DD18" s="155"/>
      <c r="DE18" s="155">
        <f t="shared" ref="DE18:DE50" si="37">+DF18+DG18+DH18</f>
        <v>0</v>
      </c>
      <c r="DF18" s="370"/>
      <c r="DG18" s="370"/>
      <c r="DH18" s="370"/>
      <c r="DI18" s="155"/>
      <c r="DJ18" s="155"/>
      <c r="DK18" s="155"/>
      <c r="DL18" s="155"/>
      <c r="DM18" s="155"/>
      <c r="DN18" s="155"/>
      <c r="DO18" s="155"/>
      <c r="DP18" s="155"/>
      <c r="DQ18" s="370"/>
      <c r="DR18" s="370"/>
      <c r="DS18" s="155"/>
      <c r="DT18" s="155"/>
      <c r="DU18" s="373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7">
        <f t="shared" si="12"/>
        <v>0</v>
      </c>
      <c r="DX18" s="338"/>
      <c r="DY18" s="369">
        <f t="shared" si="13"/>
        <v>0</v>
      </c>
      <c r="EA18" s="322"/>
    </row>
    <row r="19" spans="1:131" ht="13.5" customHeight="1" outlineLevel="1" x14ac:dyDescent="0.25">
      <c r="A19" s="222">
        <v>5134</v>
      </c>
      <c r="B19" s="205" t="s">
        <v>73</v>
      </c>
      <c r="C19" s="369">
        <v>195000</v>
      </c>
      <c r="D19" s="369">
        <v>195000</v>
      </c>
      <c r="E19" s="369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0"/>
      <c r="O19" s="371"/>
      <c r="P19" s="155"/>
      <c r="Q19" s="380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70"/>
      <c r="AB19" s="370"/>
      <c r="AC19" s="155">
        <f t="shared" si="16"/>
        <v>0</v>
      </c>
      <c r="AD19" s="370"/>
      <c r="AE19" s="370"/>
      <c r="AF19" s="155">
        <f t="shared" si="17"/>
        <v>0</v>
      </c>
      <c r="AG19" s="370"/>
      <c r="AH19" s="370"/>
      <c r="AI19" s="155">
        <v>80000</v>
      </c>
      <c r="AJ19" s="155"/>
      <c r="AK19" s="155"/>
      <c r="AL19" s="155">
        <f t="shared" si="18"/>
        <v>0</v>
      </c>
      <c r="AM19" s="370"/>
      <c r="AN19" s="370"/>
      <c r="AO19" s="155">
        <f t="shared" si="19"/>
        <v>0</v>
      </c>
      <c r="AP19" s="370"/>
      <c r="AQ19" s="370"/>
      <c r="AR19" s="155">
        <f t="shared" si="20"/>
        <v>0</v>
      </c>
      <c r="AS19" s="370"/>
      <c r="AT19" s="370"/>
      <c r="AU19" s="155">
        <f t="shared" si="21"/>
        <v>0</v>
      </c>
      <c r="AV19" s="370"/>
      <c r="AW19" s="370"/>
      <c r="AX19" s="155">
        <f t="shared" si="22"/>
        <v>0</v>
      </c>
      <c r="AY19" s="370"/>
      <c r="AZ19" s="370"/>
      <c r="BA19" s="155">
        <f t="shared" si="23"/>
        <v>0</v>
      </c>
      <c r="BB19" s="370"/>
      <c r="BC19" s="370"/>
      <c r="BD19" s="155">
        <f t="shared" si="24"/>
        <v>0</v>
      </c>
      <c r="BE19" s="370"/>
      <c r="BF19" s="370"/>
      <c r="BG19" s="155">
        <f t="shared" si="25"/>
        <v>0</v>
      </c>
      <c r="BH19" s="370"/>
      <c r="BI19" s="370"/>
      <c r="BJ19" s="155">
        <f t="shared" si="26"/>
        <v>0</v>
      </c>
      <c r="BK19" s="370"/>
      <c r="BL19" s="370"/>
      <c r="BM19" s="155">
        <f t="shared" si="27"/>
        <v>0</v>
      </c>
      <c r="BN19" s="370"/>
      <c r="BO19" s="370"/>
      <c r="BP19" s="155">
        <f t="shared" si="28"/>
        <v>0</v>
      </c>
      <c r="BQ19" s="370"/>
      <c r="BR19" s="370"/>
      <c r="BS19" s="155"/>
      <c r="BT19" s="155">
        <f t="shared" si="29"/>
        <v>0</v>
      </c>
      <c r="BU19" s="370"/>
      <c r="BV19" s="370"/>
      <c r="BW19" s="155"/>
      <c r="BX19" s="155">
        <f t="shared" si="30"/>
        <v>0</v>
      </c>
      <c r="BY19" s="370"/>
      <c r="BZ19" s="370"/>
      <c r="CA19" s="155">
        <f t="shared" si="31"/>
        <v>0</v>
      </c>
      <c r="CB19" s="370"/>
      <c r="CC19" s="370"/>
      <c r="CD19" s="155"/>
      <c r="CE19" s="155">
        <f t="shared" si="32"/>
        <v>0</v>
      </c>
      <c r="CF19" s="370"/>
      <c r="CG19" s="370"/>
      <c r="CH19" s="155"/>
      <c r="CI19" s="370"/>
      <c r="CJ19" s="370"/>
      <c r="CK19" s="155"/>
      <c r="CL19" s="370"/>
      <c r="CM19" s="370"/>
      <c r="CN19" s="155"/>
      <c r="CO19" s="370"/>
      <c r="CP19" s="370"/>
      <c r="CQ19" s="155">
        <f t="shared" si="33"/>
        <v>0</v>
      </c>
      <c r="CR19" s="370"/>
      <c r="CS19" s="370"/>
      <c r="CT19" s="155"/>
      <c r="CU19" s="155">
        <f t="shared" si="34"/>
        <v>0</v>
      </c>
      <c r="CV19" s="370"/>
      <c r="CW19" s="370"/>
      <c r="CX19" s="155">
        <f t="shared" si="35"/>
        <v>0</v>
      </c>
      <c r="CY19" s="370"/>
      <c r="CZ19" s="370"/>
      <c r="DA19" s="155">
        <f t="shared" si="36"/>
        <v>0</v>
      </c>
      <c r="DB19" s="370"/>
      <c r="DC19" s="370"/>
      <c r="DD19" s="155"/>
      <c r="DE19" s="155">
        <f t="shared" si="37"/>
        <v>0</v>
      </c>
      <c r="DG19" s="370"/>
      <c r="DH19" s="370"/>
      <c r="DI19" s="155"/>
      <c r="DJ19" s="155"/>
      <c r="DK19" s="155"/>
      <c r="DL19" s="155"/>
      <c r="DM19" s="155"/>
      <c r="DN19" s="155"/>
      <c r="DO19" s="155"/>
      <c r="DP19" s="155"/>
      <c r="DQ19" s="370"/>
      <c r="DR19" s="370"/>
      <c r="DS19" s="155"/>
      <c r="DT19" s="155"/>
      <c r="DU19" s="373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7">
        <f t="shared" si="12"/>
        <v>0</v>
      </c>
      <c r="DX19" s="338">
        <f>+E19-'Výdaje kapitol celkem'!G19</f>
        <v>-15000</v>
      </c>
      <c r="DY19" s="369">
        <f t="shared" si="13"/>
        <v>0</v>
      </c>
      <c r="EA19" s="322"/>
    </row>
    <row r="20" spans="1:131" ht="13.5" customHeight="1" outlineLevel="1" x14ac:dyDescent="0.25">
      <c r="A20" s="222">
        <v>5136</v>
      </c>
      <c r="B20" s="205" t="s">
        <v>74</v>
      </c>
      <c r="C20" s="369">
        <v>263000</v>
      </c>
      <c r="D20" s="369">
        <v>263000</v>
      </c>
      <c r="E20" s="369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70">
        <v>45000</v>
      </c>
      <c r="O20" s="371"/>
      <c r="P20" s="155"/>
      <c r="Q20" s="380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70"/>
      <c r="AB20" s="370"/>
      <c r="AC20" s="155">
        <f t="shared" si="16"/>
        <v>0</v>
      </c>
      <c r="AD20" s="370"/>
      <c r="AE20" s="370"/>
      <c r="AF20" s="155">
        <f t="shared" si="17"/>
        <v>0</v>
      </c>
      <c r="AG20" s="370"/>
      <c r="AH20" s="370"/>
      <c r="AI20" s="155"/>
      <c r="AJ20" s="155"/>
      <c r="AK20" s="155"/>
      <c r="AL20" s="155">
        <f t="shared" si="18"/>
        <v>0</v>
      </c>
      <c r="AM20" s="370"/>
      <c r="AN20" s="370"/>
      <c r="AO20" s="155">
        <f t="shared" si="19"/>
        <v>0</v>
      </c>
      <c r="AP20" s="370"/>
      <c r="AQ20" s="370"/>
      <c r="AR20" s="155">
        <f t="shared" si="20"/>
        <v>0</v>
      </c>
      <c r="AS20" s="370"/>
      <c r="AT20" s="370"/>
      <c r="AU20" s="155">
        <f t="shared" si="21"/>
        <v>0</v>
      </c>
      <c r="AV20" s="370"/>
      <c r="AW20" s="370"/>
      <c r="AX20" s="155">
        <f t="shared" si="22"/>
        <v>0</v>
      </c>
      <c r="AY20" s="370"/>
      <c r="AZ20" s="370"/>
      <c r="BA20" s="155">
        <f t="shared" si="23"/>
        <v>0</v>
      </c>
      <c r="BB20" s="370"/>
      <c r="BC20" s="370"/>
      <c r="BD20" s="155">
        <f t="shared" si="24"/>
        <v>0</v>
      </c>
      <c r="BE20" s="370"/>
      <c r="BF20" s="370"/>
      <c r="BG20" s="155">
        <f t="shared" si="25"/>
        <v>0</v>
      </c>
      <c r="BH20" s="370"/>
      <c r="BI20" s="370"/>
      <c r="BJ20" s="155">
        <f t="shared" si="26"/>
        <v>0</v>
      </c>
      <c r="BK20" s="370"/>
      <c r="BL20" s="370"/>
      <c r="BM20" s="155">
        <f t="shared" si="27"/>
        <v>0</v>
      </c>
      <c r="BN20" s="370"/>
      <c r="BO20" s="370"/>
      <c r="BP20" s="155">
        <f t="shared" si="28"/>
        <v>0</v>
      </c>
      <c r="BQ20" s="370"/>
      <c r="BR20" s="370"/>
      <c r="BS20" s="155"/>
      <c r="BT20" s="155">
        <f t="shared" si="29"/>
        <v>0</v>
      </c>
      <c r="BU20" s="370"/>
      <c r="BV20" s="370"/>
      <c r="BW20" s="155"/>
      <c r="BX20" s="155">
        <f t="shared" si="30"/>
        <v>0</v>
      </c>
      <c r="BY20" s="370"/>
      <c r="BZ20" s="370"/>
      <c r="CA20" s="155">
        <f t="shared" si="31"/>
        <v>0</v>
      </c>
      <c r="CB20" s="370"/>
      <c r="CC20" s="370"/>
      <c r="CD20" s="155"/>
      <c r="CE20" s="155">
        <f t="shared" si="32"/>
        <v>0</v>
      </c>
      <c r="CF20" s="370"/>
      <c r="CG20" s="370"/>
      <c r="CH20" s="155"/>
      <c r="CI20" s="370"/>
      <c r="CJ20" s="370"/>
      <c r="CK20" s="155">
        <f t="shared" ref="CK20:CK24" si="41">+CL20+CM20</f>
        <v>0</v>
      </c>
      <c r="CL20" s="370"/>
      <c r="CM20" s="370"/>
      <c r="CN20" s="155"/>
      <c r="CO20" s="370"/>
      <c r="CP20" s="370"/>
      <c r="CQ20" s="155">
        <f t="shared" si="33"/>
        <v>0</v>
      </c>
      <c r="CR20" s="370"/>
      <c r="CS20" s="370"/>
      <c r="CT20" s="155"/>
      <c r="CU20" s="155">
        <f t="shared" si="34"/>
        <v>0</v>
      </c>
      <c r="CV20" s="370"/>
      <c r="CW20" s="370"/>
      <c r="CX20" s="155">
        <f t="shared" si="35"/>
        <v>0</v>
      </c>
      <c r="CY20" s="370"/>
      <c r="CZ20" s="370"/>
      <c r="DA20" s="155">
        <f t="shared" si="36"/>
        <v>0</v>
      </c>
      <c r="DB20" s="370"/>
      <c r="DC20" s="370"/>
      <c r="DD20" s="155"/>
      <c r="DE20" s="155">
        <f t="shared" si="37"/>
        <v>0</v>
      </c>
      <c r="DF20" s="370"/>
      <c r="DG20" s="370"/>
      <c r="DH20" s="370"/>
      <c r="DI20" s="155"/>
      <c r="DJ20" s="155"/>
      <c r="DK20" s="155"/>
      <c r="DL20" s="155"/>
      <c r="DM20" s="155"/>
      <c r="DN20" s="155"/>
      <c r="DO20" s="155"/>
      <c r="DP20" s="155"/>
      <c r="DQ20" s="370"/>
      <c r="DR20" s="370"/>
      <c r="DS20" s="155"/>
      <c r="DT20" s="155"/>
      <c r="DU20" s="373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7">
        <f t="shared" si="12"/>
        <v>0</v>
      </c>
      <c r="DX20" s="338">
        <f>+E20-'Výdaje kapitol celkem'!G20</f>
        <v>-30000</v>
      </c>
      <c r="DY20" s="369">
        <f t="shared" si="13"/>
        <v>0</v>
      </c>
      <c r="EA20" s="322"/>
    </row>
    <row r="21" spans="1:131" ht="13.5" customHeight="1" outlineLevel="1" x14ac:dyDescent="0.25">
      <c r="A21" s="222">
        <v>5137</v>
      </c>
      <c r="B21" s="205" t="s">
        <v>75</v>
      </c>
      <c r="C21" s="369">
        <v>1840000</v>
      </c>
      <c r="D21" s="369">
        <v>1840000</v>
      </c>
      <c r="E21" s="369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70">
        <v>850000</v>
      </c>
      <c r="O21" s="371"/>
      <c r="P21" s="155"/>
      <c r="Q21" s="380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70">
        <v>100000</v>
      </c>
      <c r="AB21" s="370"/>
      <c r="AC21" s="155">
        <f t="shared" si="16"/>
        <v>20000</v>
      </c>
      <c r="AD21" s="370">
        <v>20000</v>
      </c>
      <c r="AE21" s="370"/>
      <c r="AF21" s="155">
        <f t="shared" si="17"/>
        <v>0</v>
      </c>
      <c r="AG21" s="370"/>
      <c r="AH21" s="370"/>
      <c r="AI21" s="155">
        <v>500000</v>
      </c>
      <c r="AJ21" s="155"/>
      <c r="AK21" s="155"/>
      <c r="AL21" s="155">
        <f t="shared" si="18"/>
        <v>0</v>
      </c>
      <c r="AM21" s="370"/>
      <c r="AN21" s="370"/>
      <c r="AO21" s="155">
        <f t="shared" si="19"/>
        <v>0</v>
      </c>
      <c r="AP21" s="370"/>
      <c r="AQ21" s="370"/>
      <c r="AR21" s="155">
        <f t="shared" si="20"/>
        <v>0</v>
      </c>
      <c r="AS21" s="370"/>
      <c r="AT21" s="370"/>
      <c r="AU21" s="155">
        <f t="shared" si="21"/>
        <v>0</v>
      </c>
      <c r="AV21" s="370"/>
      <c r="AW21" s="370"/>
      <c r="AX21" s="155">
        <f t="shared" si="22"/>
        <v>0</v>
      </c>
      <c r="AY21" s="370"/>
      <c r="AZ21" s="370"/>
      <c r="BA21" s="155">
        <f t="shared" si="23"/>
        <v>0</v>
      </c>
      <c r="BB21" s="370"/>
      <c r="BC21" s="370"/>
      <c r="BD21" s="155">
        <f t="shared" si="24"/>
        <v>50000</v>
      </c>
      <c r="BE21" s="370">
        <v>50000</v>
      </c>
      <c r="BF21" s="370"/>
      <c r="BG21" s="155">
        <f t="shared" si="25"/>
        <v>0</v>
      </c>
      <c r="BH21" s="370"/>
      <c r="BI21" s="370"/>
      <c r="BJ21" s="155">
        <f t="shared" si="26"/>
        <v>0</v>
      </c>
      <c r="BK21" s="370"/>
      <c r="BL21" s="370"/>
      <c r="BM21" s="155">
        <f t="shared" si="27"/>
        <v>0</v>
      </c>
      <c r="BN21" s="370"/>
      <c r="BO21" s="370"/>
      <c r="BP21" s="155">
        <f t="shared" si="28"/>
        <v>0</v>
      </c>
      <c r="BQ21" s="370"/>
      <c r="BR21" s="370"/>
      <c r="BS21" s="155"/>
      <c r="BT21" s="155">
        <f t="shared" si="29"/>
        <v>0</v>
      </c>
      <c r="BU21" s="370"/>
      <c r="BV21" s="370"/>
      <c r="BW21" s="155"/>
      <c r="BX21" s="155">
        <f t="shared" si="30"/>
        <v>0</v>
      </c>
      <c r="BY21" s="370"/>
      <c r="BZ21" s="370"/>
      <c r="CA21" s="155">
        <f t="shared" si="31"/>
        <v>100000</v>
      </c>
      <c r="CB21" s="370">
        <v>100000</v>
      </c>
      <c r="CC21" s="370"/>
      <c r="CD21" s="155"/>
      <c r="CE21" s="155">
        <f t="shared" si="32"/>
        <v>0</v>
      </c>
      <c r="CF21" s="370"/>
      <c r="CG21" s="370"/>
      <c r="CH21" s="155"/>
      <c r="CI21" s="370"/>
      <c r="CJ21" s="370"/>
      <c r="CK21" s="155">
        <f t="shared" si="41"/>
        <v>0</v>
      </c>
      <c r="CL21" s="370"/>
      <c r="CM21" s="370"/>
      <c r="CN21" s="155"/>
      <c r="CO21" s="370"/>
      <c r="CP21" s="370"/>
      <c r="CQ21" s="155">
        <f t="shared" si="33"/>
        <v>0</v>
      </c>
      <c r="CR21" s="370"/>
      <c r="CS21" s="370"/>
      <c r="CT21" s="155"/>
      <c r="CU21" s="155">
        <f t="shared" si="34"/>
        <v>0</v>
      </c>
      <c r="CV21" s="370"/>
      <c r="CW21" s="370"/>
      <c r="CX21" s="155">
        <f t="shared" si="35"/>
        <v>0</v>
      </c>
      <c r="CY21" s="370"/>
      <c r="CZ21" s="370"/>
      <c r="DA21" s="155">
        <f t="shared" si="36"/>
        <v>0</v>
      </c>
      <c r="DB21" s="370"/>
      <c r="DC21" s="370"/>
      <c r="DD21" s="155"/>
      <c r="DE21" s="155">
        <f t="shared" si="37"/>
        <v>0</v>
      </c>
      <c r="DF21" s="370"/>
      <c r="DG21" s="370"/>
      <c r="DH21" s="370"/>
      <c r="DI21" s="155"/>
      <c r="DJ21" s="155"/>
      <c r="DK21" s="155"/>
      <c r="DL21" s="155"/>
      <c r="DM21" s="155"/>
      <c r="DN21" s="155"/>
      <c r="DO21" s="155"/>
      <c r="DP21" s="155"/>
      <c r="DQ21" s="370"/>
      <c r="DR21" s="370"/>
      <c r="DS21" s="155"/>
      <c r="DT21" s="155"/>
      <c r="DU21" s="373"/>
      <c r="DV21" s="190">
        <f t="shared" si="42"/>
        <v>2110000</v>
      </c>
      <c r="DW21" s="337">
        <f t="shared" si="12"/>
        <v>0</v>
      </c>
      <c r="DX21" s="338">
        <f>+E21-'Výdaje kapitol celkem'!G21</f>
        <v>111000</v>
      </c>
      <c r="DY21" s="369">
        <f t="shared" si="13"/>
        <v>0</v>
      </c>
      <c r="EA21" s="322"/>
    </row>
    <row r="22" spans="1:131" ht="13.5" customHeight="1" outlineLevel="1" x14ac:dyDescent="0.25">
      <c r="A22" s="222">
        <v>5139</v>
      </c>
      <c r="B22" s="205" t="s">
        <v>76</v>
      </c>
      <c r="C22" s="369">
        <v>2019000</v>
      </c>
      <c r="D22" s="369">
        <v>1869000</v>
      </c>
      <c r="E22" s="369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70">
        <v>650000</v>
      </c>
      <c r="O22" s="371">
        <v>70000</v>
      </c>
      <c r="P22" s="155"/>
      <c r="Q22" s="381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70">
        <v>50000</v>
      </c>
      <c r="AB22" s="370"/>
      <c r="AC22" s="155">
        <f t="shared" si="16"/>
        <v>100000</v>
      </c>
      <c r="AD22" s="370">
        <v>100000</v>
      </c>
      <c r="AE22" s="370"/>
      <c r="AF22" s="155">
        <f t="shared" si="17"/>
        <v>0</v>
      </c>
      <c r="AG22" s="370"/>
      <c r="AH22" s="370"/>
      <c r="AI22" s="155">
        <v>20000</v>
      </c>
      <c r="AJ22" s="155"/>
      <c r="AK22" s="155"/>
      <c r="AL22" s="155">
        <f t="shared" si="18"/>
        <v>50000</v>
      </c>
      <c r="AM22" s="370">
        <v>30000</v>
      </c>
      <c r="AN22" s="370">
        <v>20000</v>
      </c>
      <c r="AO22" s="155">
        <f t="shared" si="19"/>
        <v>0</v>
      </c>
      <c r="AP22" s="370"/>
      <c r="AQ22" s="370"/>
      <c r="AR22" s="155">
        <f t="shared" si="20"/>
        <v>0</v>
      </c>
      <c r="AS22" s="370"/>
      <c r="AT22" s="370"/>
      <c r="AU22" s="155">
        <f t="shared" si="21"/>
        <v>0</v>
      </c>
      <c r="AV22" s="370"/>
      <c r="AW22" s="370"/>
      <c r="AX22" s="155">
        <f t="shared" si="22"/>
        <v>0</v>
      </c>
      <c r="AY22" s="370"/>
      <c r="AZ22" s="370"/>
      <c r="BA22" s="155">
        <f t="shared" si="23"/>
        <v>0</v>
      </c>
      <c r="BB22" s="370"/>
      <c r="BC22" s="370"/>
      <c r="BD22" s="155">
        <f t="shared" si="24"/>
        <v>30000</v>
      </c>
      <c r="BE22" s="370">
        <v>30000</v>
      </c>
      <c r="BF22" s="370"/>
      <c r="BG22" s="155">
        <f t="shared" si="25"/>
        <v>0</v>
      </c>
      <c r="BH22" s="370"/>
      <c r="BI22" s="370"/>
      <c r="BJ22" s="155">
        <f t="shared" si="26"/>
        <v>0</v>
      </c>
      <c r="BK22" s="370"/>
      <c r="BL22" s="370"/>
      <c r="BM22" s="155">
        <f t="shared" si="27"/>
        <v>0</v>
      </c>
      <c r="BN22" s="370"/>
      <c r="BO22" s="370"/>
      <c r="BP22" s="155">
        <f t="shared" si="28"/>
        <v>0</v>
      </c>
      <c r="BQ22" s="370"/>
      <c r="BR22" s="370"/>
      <c r="BS22" s="155"/>
      <c r="BT22" s="155">
        <f t="shared" si="29"/>
        <v>0</v>
      </c>
      <c r="BU22" s="370"/>
      <c r="BV22" s="370"/>
      <c r="BW22" s="155"/>
      <c r="BX22" s="155">
        <f t="shared" si="30"/>
        <v>150000</v>
      </c>
      <c r="BY22" s="370">
        <v>150000</v>
      </c>
      <c r="BZ22" s="370"/>
      <c r="CA22" s="155">
        <f t="shared" si="31"/>
        <v>550000</v>
      </c>
      <c r="CB22" s="370">
        <v>550000</v>
      </c>
      <c r="CC22" s="370"/>
      <c r="CD22" s="155"/>
      <c r="CE22" s="155">
        <f t="shared" si="32"/>
        <v>0</v>
      </c>
      <c r="CF22" s="370"/>
      <c r="CG22" s="370"/>
      <c r="CH22" s="155"/>
      <c r="CI22" s="370"/>
      <c r="CJ22" s="370"/>
      <c r="CK22" s="155">
        <f t="shared" si="41"/>
        <v>0</v>
      </c>
      <c r="CL22" s="370"/>
      <c r="CM22" s="370"/>
      <c r="CN22" s="155"/>
      <c r="CO22" s="370"/>
      <c r="CP22" s="370"/>
      <c r="CQ22" s="155">
        <f t="shared" si="33"/>
        <v>0</v>
      </c>
      <c r="CR22" s="370"/>
      <c r="CS22" s="370"/>
      <c r="CT22" s="155"/>
      <c r="CU22" s="155">
        <f t="shared" si="34"/>
        <v>0</v>
      </c>
      <c r="CV22" s="370"/>
      <c r="CW22" s="370"/>
      <c r="CX22" s="155">
        <f t="shared" si="35"/>
        <v>0</v>
      </c>
      <c r="CY22" s="370"/>
      <c r="CZ22" s="370"/>
      <c r="DA22" s="155">
        <f t="shared" si="36"/>
        <v>0</v>
      </c>
      <c r="DB22" s="370"/>
      <c r="DC22" s="370"/>
      <c r="DD22" s="155"/>
      <c r="DE22" s="336">
        <f>+DF22+DG22+DH22</f>
        <v>250000</v>
      </c>
      <c r="DF22" s="370">
        <v>250000</v>
      </c>
      <c r="DG22" s="370"/>
      <c r="DH22" s="382"/>
      <c r="DI22" s="155"/>
      <c r="DJ22" s="155"/>
      <c r="DK22" s="155"/>
      <c r="DL22" s="155"/>
      <c r="DM22" s="155"/>
      <c r="DN22" s="155"/>
      <c r="DO22" s="155"/>
      <c r="DP22" s="155"/>
      <c r="DQ22" s="370"/>
      <c r="DR22" s="382"/>
      <c r="DS22" s="155"/>
      <c r="DT22" s="155"/>
      <c r="DU22" s="373"/>
      <c r="DV22" s="190">
        <f t="shared" si="42"/>
        <v>2219000</v>
      </c>
      <c r="DW22" s="337">
        <f t="shared" si="12"/>
        <v>0</v>
      </c>
      <c r="DX22" s="338">
        <f>+E22-'Výdaje kapitol celkem'!G22</f>
        <v>-822687.16999999993</v>
      </c>
      <c r="DY22" s="369">
        <f t="shared" si="13"/>
        <v>90000</v>
      </c>
      <c r="EA22" s="322"/>
    </row>
    <row r="23" spans="1:131" ht="13.5" customHeight="1" outlineLevel="1" x14ac:dyDescent="0.25">
      <c r="A23" s="222">
        <v>5151</v>
      </c>
      <c r="B23" s="205" t="s">
        <v>77</v>
      </c>
      <c r="C23" s="369">
        <v>720000</v>
      </c>
      <c r="D23" s="369">
        <v>720000</v>
      </c>
      <c r="E23" s="369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0">
        <v>35000</v>
      </c>
      <c r="O23" s="371"/>
      <c r="P23" s="155"/>
      <c r="Q23" s="380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70">
        <v>30000</v>
      </c>
      <c r="AB23" s="370"/>
      <c r="AC23" s="155">
        <f t="shared" si="16"/>
        <v>500000</v>
      </c>
      <c r="AD23" s="370">
        <v>500000</v>
      </c>
      <c r="AE23" s="370"/>
      <c r="AF23" s="155">
        <f t="shared" si="17"/>
        <v>30000</v>
      </c>
      <c r="AG23" s="370">
        <v>30000</v>
      </c>
      <c r="AH23" s="370"/>
      <c r="AI23" s="155">
        <v>3000</v>
      </c>
      <c r="AJ23" s="155"/>
      <c r="AK23" s="155"/>
      <c r="AL23" s="155">
        <f t="shared" si="18"/>
        <v>10000</v>
      </c>
      <c r="AM23" s="370">
        <v>10000</v>
      </c>
      <c r="AN23" s="370"/>
      <c r="AO23" s="155">
        <f>+AP23+AQ23</f>
        <v>0</v>
      </c>
      <c r="AP23" s="370"/>
      <c r="AQ23" s="370"/>
      <c r="AR23" s="155">
        <f>+AS23+AT23</f>
        <v>0</v>
      </c>
      <c r="AS23" s="370"/>
      <c r="AT23" s="370"/>
      <c r="AU23" s="155">
        <f>+AV23+AW23</f>
        <v>0</v>
      </c>
      <c r="AV23" s="370"/>
      <c r="AW23" s="370"/>
      <c r="AX23" s="155">
        <f t="shared" si="22"/>
        <v>30000</v>
      </c>
      <c r="AY23" s="370">
        <v>30000</v>
      </c>
      <c r="AZ23" s="370"/>
      <c r="BA23" s="155">
        <v>0</v>
      </c>
      <c r="BB23" s="370">
        <v>0</v>
      </c>
      <c r="BC23" s="370"/>
      <c r="BD23" s="155">
        <f t="shared" si="24"/>
        <v>20000</v>
      </c>
      <c r="BE23" s="370">
        <v>20000</v>
      </c>
      <c r="BF23" s="370"/>
      <c r="BG23" s="155">
        <f t="shared" si="25"/>
        <v>0</v>
      </c>
      <c r="BH23" s="370"/>
      <c r="BI23" s="370"/>
      <c r="BJ23" s="155">
        <f t="shared" si="26"/>
        <v>0</v>
      </c>
      <c r="BK23" s="370"/>
      <c r="BL23" s="370"/>
      <c r="BM23" s="155">
        <f t="shared" si="27"/>
        <v>0</v>
      </c>
      <c r="BN23" s="370"/>
      <c r="BO23" s="370"/>
      <c r="BP23" s="155">
        <f t="shared" si="28"/>
        <v>0</v>
      </c>
      <c r="BQ23" s="370"/>
      <c r="BR23" s="370"/>
      <c r="BS23" s="155"/>
      <c r="BT23" s="155">
        <f t="shared" si="29"/>
        <v>0</v>
      </c>
      <c r="BU23" s="370"/>
      <c r="BV23" s="370"/>
      <c r="BW23" s="155"/>
      <c r="BX23" s="155">
        <f t="shared" si="30"/>
        <v>0</v>
      </c>
      <c r="BY23" s="370"/>
      <c r="BZ23" s="370"/>
      <c r="CA23" s="155">
        <f t="shared" si="31"/>
        <v>15000</v>
      </c>
      <c r="CB23" s="370">
        <v>15000</v>
      </c>
      <c r="CC23" s="370"/>
      <c r="CD23" s="155"/>
      <c r="CE23" s="155">
        <f t="shared" si="32"/>
        <v>0</v>
      </c>
      <c r="CF23" s="370"/>
      <c r="CG23" s="370"/>
      <c r="CH23" s="155"/>
      <c r="CI23" s="370"/>
      <c r="CJ23" s="370"/>
      <c r="CK23" s="155">
        <f t="shared" si="41"/>
        <v>0</v>
      </c>
      <c r="CL23" s="370"/>
      <c r="CM23" s="370"/>
      <c r="CN23" s="155"/>
      <c r="CO23" s="370"/>
      <c r="CP23" s="370"/>
      <c r="CQ23" s="155">
        <f t="shared" si="33"/>
        <v>0</v>
      </c>
      <c r="CR23" s="370"/>
      <c r="CS23" s="370"/>
      <c r="CT23" s="155"/>
      <c r="CU23" s="155">
        <f t="shared" si="34"/>
        <v>0</v>
      </c>
      <c r="CV23" s="370"/>
      <c r="CW23" s="370"/>
      <c r="CX23" s="155">
        <f t="shared" si="35"/>
        <v>0</v>
      </c>
      <c r="CY23" s="370"/>
      <c r="CZ23" s="370"/>
      <c r="DA23" s="155">
        <f t="shared" si="36"/>
        <v>0</v>
      </c>
      <c r="DB23" s="370"/>
      <c r="DC23" s="370"/>
      <c r="DD23" s="155"/>
      <c r="DE23" s="155">
        <f t="shared" si="37"/>
        <v>0</v>
      </c>
      <c r="DF23" s="370"/>
      <c r="DG23" s="370"/>
      <c r="DH23" s="370"/>
      <c r="DI23" s="155"/>
      <c r="DJ23" s="155"/>
      <c r="DK23" s="155"/>
      <c r="DL23" s="155"/>
      <c r="DM23" s="155"/>
      <c r="DN23" s="155"/>
      <c r="DO23" s="155"/>
      <c r="DP23" s="155"/>
      <c r="DQ23" s="370"/>
      <c r="DR23" s="370"/>
      <c r="DS23" s="155"/>
      <c r="DT23" s="155"/>
      <c r="DU23" s="373"/>
      <c r="DV23" s="190">
        <f t="shared" si="42"/>
        <v>710000</v>
      </c>
      <c r="DW23" s="337">
        <f>DV23-E23</f>
        <v>0</v>
      </c>
      <c r="DX23" s="338">
        <f>+E23-'Výdaje kapitol celkem'!G23</f>
        <v>-10000</v>
      </c>
      <c r="DY23" s="369">
        <f t="shared" si="13"/>
        <v>0</v>
      </c>
      <c r="EA23" s="322"/>
    </row>
    <row r="24" spans="1:131" s="437" customFormat="1" ht="13.5" customHeight="1" outlineLevel="1" x14ac:dyDescent="0.25">
      <c r="A24" s="222">
        <v>5153</v>
      </c>
      <c r="B24" s="205" t="s">
        <v>78</v>
      </c>
      <c r="C24" s="369">
        <v>3001500</v>
      </c>
      <c r="D24" s="369">
        <v>3001500</v>
      </c>
      <c r="E24" s="369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0">
        <v>546000</v>
      </c>
      <c r="O24" s="371"/>
      <c r="P24" s="155"/>
      <c r="Q24" s="380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70"/>
      <c r="AC24" s="155">
        <f t="shared" si="16"/>
        <v>1815000</v>
      </c>
      <c r="AD24" s="370">
        <v>1815000</v>
      </c>
      <c r="AE24" s="370"/>
      <c r="AF24" s="155">
        <f t="shared" si="17"/>
        <v>975000</v>
      </c>
      <c r="AG24" s="370">
        <v>975000</v>
      </c>
      <c r="AH24" s="370"/>
      <c r="AI24" s="155">
        <v>97500</v>
      </c>
      <c r="AJ24" s="155"/>
      <c r="AK24" s="155"/>
      <c r="AL24" s="155">
        <f t="shared" si="18"/>
        <v>0</v>
      </c>
      <c r="AM24" s="370"/>
      <c r="AN24" s="370"/>
      <c r="AO24" s="155">
        <f t="shared" si="19"/>
        <v>0</v>
      </c>
      <c r="AP24" s="370"/>
      <c r="AQ24" s="370"/>
      <c r="AR24" s="155">
        <f t="shared" ref="AR24:AR27" si="44">+AS24+AT24</f>
        <v>0</v>
      </c>
      <c r="AS24" s="370"/>
      <c r="AT24" s="370"/>
      <c r="AU24" s="155">
        <f t="shared" ref="AU24:AU46" si="45">+AV24+AW24</f>
        <v>0</v>
      </c>
      <c r="AV24" s="370"/>
      <c r="AW24" s="370"/>
      <c r="AX24" s="155">
        <f t="shared" si="22"/>
        <v>1225000</v>
      </c>
      <c r="AY24" s="370">
        <v>1225000</v>
      </c>
      <c r="AZ24" s="370"/>
      <c r="BA24" s="155">
        <v>0</v>
      </c>
      <c r="BB24" s="370">
        <v>0</v>
      </c>
      <c r="BC24" s="370"/>
      <c r="BD24" s="155">
        <f t="shared" si="24"/>
        <v>195000</v>
      </c>
      <c r="BE24" s="370">
        <v>195000</v>
      </c>
      <c r="BF24" s="370"/>
      <c r="BG24" s="155">
        <f t="shared" si="25"/>
        <v>0</v>
      </c>
      <c r="BH24" s="370"/>
      <c r="BI24" s="370"/>
      <c r="BJ24" s="155">
        <f t="shared" si="26"/>
        <v>0</v>
      </c>
      <c r="BK24" s="370"/>
      <c r="BL24" s="370"/>
      <c r="BM24" s="155">
        <f t="shared" si="27"/>
        <v>0</v>
      </c>
      <c r="BN24" s="370"/>
      <c r="BO24" s="370"/>
      <c r="BP24" s="155">
        <f t="shared" si="28"/>
        <v>0</v>
      </c>
      <c r="BQ24" s="370"/>
      <c r="BR24" s="370"/>
      <c r="BS24" s="155"/>
      <c r="BT24" s="155">
        <f t="shared" si="29"/>
        <v>0</v>
      </c>
      <c r="BU24" s="370"/>
      <c r="BV24" s="370"/>
      <c r="BW24" s="155"/>
      <c r="BX24" s="155">
        <f t="shared" si="30"/>
        <v>0</v>
      </c>
      <c r="BY24" s="370"/>
      <c r="BZ24" s="370"/>
      <c r="CA24" s="155">
        <f t="shared" si="31"/>
        <v>0</v>
      </c>
      <c r="CB24" s="370"/>
      <c r="CC24" s="370"/>
      <c r="CD24" s="155"/>
      <c r="CE24" s="155">
        <f t="shared" si="32"/>
        <v>0</v>
      </c>
      <c r="CF24" s="370"/>
      <c r="CG24" s="370"/>
      <c r="CH24" s="155"/>
      <c r="CI24" s="370"/>
      <c r="CJ24" s="370"/>
      <c r="CK24" s="155">
        <f t="shared" si="41"/>
        <v>0</v>
      </c>
      <c r="CL24" s="370"/>
      <c r="CM24" s="370"/>
      <c r="CN24" s="155"/>
      <c r="CO24" s="370"/>
      <c r="CP24" s="370"/>
      <c r="CQ24" s="155">
        <f t="shared" si="33"/>
        <v>0</v>
      </c>
      <c r="CR24" s="370"/>
      <c r="CS24" s="370"/>
      <c r="CT24" s="155"/>
      <c r="CU24" s="155">
        <f t="shared" si="34"/>
        <v>0</v>
      </c>
      <c r="CV24" s="370"/>
      <c r="CW24" s="370"/>
      <c r="CX24" s="155">
        <f t="shared" si="35"/>
        <v>0</v>
      </c>
      <c r="CY24" s="370"/>
      <c r="CZ24" s="370"/>
      <c r="DA24" s="155">
        <f t="shared" si="36"/>
        <v>0</v>
      </c>
      <c r="DB24" s="370"/>
      <c r="DC24" s="370"/>
      <c r="DD24" s="155"/>
      <c r="DE24" s="155">
        <f t="shared" si="37"/>
        <v>0</v>
      </c>
      <c r="DF24" s="370"/>
      <c r="DG24" s="370"/>
      <c r="DH24" s="370"/>
      <c r="DI24" s="155"/>
      <c r="DJ24" s="155"/>
      <c r="DK24" s="155"/>
      <c r="DL24" s="155"/>
      <c r="DM24" s="155"/>
      <c r="DN24" s="155"/>
      <c r="DO24" s="155"/>
      <c r="DP24" s="155"/>
      <c r="DQ24" s="370"/>
      <c r="DR24" s="370"/>
      <c r="DS24" s="155"/>
      <c r="DT24" s="155"/>
      <c r="DU24" s="373"/>
      <c r="DV24" s="190">
        <f t="shared" si="42"/>
        <v>5440450</v>
      </c>
      <c r="DW24" s="337">
        <f t="shared" si="12"/>
        <v>0</v>
      </c>
      <c r="DX24" s="338">
        <f>+E24-'Výdaje kapitol celkem'!G24</f>
        <v>1062500</v>
      </c>
      <c r="DY24" s="369">
        <f t="shared" si="13"/>
        <v>0</v>
      </c>
      <c r="EA24" s="322"/>
    </row>
    <row r="25" spans="1:131" ht="13.5" customHeight="1" outlineLevel="1" x14ac:dyDescent="0.25">
      <c r="A25" s="222">
        <v>5154</v>
      </c>
      <c r="B25" s="205" t="s">
        <v>79</v>
      </c>
      <c r="C25" s="369">
        <v>4091000</v>
      </c>
      <c r="D25" s="369">
        <v>4091000</v>
      </c>
      <c r="E25" s="369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0">
        <v>884000</v>
      </c>
      <c r="O25" s="371"/>
      <c r="P25" s="155"/>
      <c r="Q25" s="380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70"/>
      <c r="AC25" s="155">
        <f t="shared" si="16"/>
        <v>585000</v>
      </c>
      <c r="AD25" s="370">
        <v>585000</v>
      </c>
      <c r="AE25" s="370"/>
      <c r="AF25" s="155">
        <f t="shared" si="17"/>
        <v>605800</v>
      </c>
      <c r="AG25" s="370">
        <v>605800</v>
      </c>
      <c r="AH25" s="370"/>
      <c r="AI25" s="155">
        <v>106400</v>
      </c>
      <c r="AJ25" s="155"/>
      <c r="AK25" s="155">
        <v>0</v>
      </c>
      <c r="AL25" s="155">
        <f t="shared" si="18"/>
        <v>0</v>
      </c>
      <c r="AM25" s="370"/>
      <c r="AN25" s="370"/>
      <c r="AO25" s="155">
        <v>0</v>
      </c>
      <c r="AP25" s="370">
        <v>0</v>
      </c>
      <c r="AQ25" s="370"/>
      <c r="AR25" s="155">
        <f t="shared" si="44"/>
        <v>60000</v>
      </c>
      <c r="AS25" s="370">
        <v>60000</v>
      </c>
      <c r="AT25" s="370"/>
      <c r="AU25" s="155">
        <f t="shared" si="45"/>
        <v>0</v>
      </c>
      <c r="AV25" s="370">
        <v>0</v>
      </c>
      <c r="AW25" s="370"/>
      <c r="AX25" s="155">
        <f t="shared" si="22"/>
        <v>643500</v>
      </c>
      <c r="AY25" s="370">
        <v>643500</v>
      </c>
      <c r="AZ25" s="370"/>
      <c r="BA25" s="155">
        <v>0</v>
      </c>
      <c r="BB25" s="370">
        <v>0</v>
      </c>
      <c r="BC25" s="370"/>
      <c r="BD25" s="155">
        <f t="shared" si="24"/>
        <v>195000</v>
      </c>
      <c r="BE25" s="370">
        <v>195000</v>
      </c>
      <c r="BF25" s="370"/>
      <c r="BG25" s="155">
        <f t="shared" si="25"/>
        <v>0</v>
      </c>
      <c r="BH25" s="370"/>
      <c r="BI25" s="370"/>
      <c r="BJ25" s="155">
        <f t="shared" si="26"/>
        <v>0</v>
      </c>
      <c r="BK25" s="370"/>
      <c r="BL25" s="370"/>
      <c r="BM25" s="155">
        <f t="shared" si="27"/>
        <v>0</v>
      </c>
      <c r="BN25" s="370"/>
      <c r="BO25" s="370"/>
      <c r="BP25" s="155">
        <f t="shared" si="28"/>
        <v>0</v>
      </c>
      <c r="BQ25" s="370"/>
      <c r="BR25" s="370"/>
      <c r="BS25" s="155"/>
      <c r="BT25" s="155">
        <f t="shared" si="29"/>
        <v>0</v>
      </c>
      <c r="BU25" s="370"/>
      <c r="BV25" s="370"/>
      <c r="BW25" s="155"/>
      <c r="BX25" s="155">
        <f t="shared" si="30"/>
        <v>3030000</v>
      </c>
      <c r="BY25" s="370">
        <v>3030000</v>
      </c>
      <c r="BZ25" s="370"/>
      <c r="CA25" s="155">
        <f t="shared" si="31"/>
        <v>200000</v>
      </c>
      <c r="CB25" s="370">
        <v>200000</v>
      </c>
      <c r="CC25" s="370"/>
      <c r="CD25" s="155">
        <v>50000</v>
      </c>
      <c r="CE25" s="155">
        <f t="shared" si="32"/>
        <v>320000</v>
      </c>
      <c r="CF25" s="370">
        <v>320000</v>
      </c>
      <c r="CG25" s="370"/>
      <c r="CH25" s="155"/>
      <c r="CI25" s="370"/>
      <c r="CJ25" s="370"/>
      <c r="CK25" s="155">
        <f>+CL25+CM25</f>
        <v>80000</v>
      </c>
      <c r="CL25" s="370">
        <v>80000</v>
      </c>
      <c r="CM25" s="370"/>
      <c r="CN25" s="155"/>
      <c r="CO25" s="370"/>
      <c r="CP25" s="370"/>
      <c r="CQ25" s="155">
        <f t="shared" si="33"/>
        <v>0</v>
      </c>
      <c r="CR25" s="370"/>
      <c r="CS25" s="370"/>
      <c r="CT25" s="155"/>
      <c r="CU25" s="155">
        <f t="shared" si="34"/>
        <v>0</v>
      </c>
      <c r="CV25" s="370"/>
      <c r="CW25" s="370"/>
      <c r="CX25" s="155">
        <f t="shared" si="35"/>
        <v>0</v>
      </c>
      <c r="CY25" s="370"/>
      <c r="CZ25" s="370"/>
      <c r="DA25" s="155">
        <f t="shared" si="36"/>
        <v>0</v>
      </c>
      <c r="DB25" s="370"/>
      <c r="DC25" s="370"/>
      <c r="DD25" s="155"/>
      <c r="DE25" s="155">
        <f t="shared" si="37"/>
        <v>0</v>
      </c>
      <c r="DF25" s="370"/>
      <c r="DG25" s="370"/>
      <c r="DH25" s="370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0">
        <v>0</v>
      </c>
      <c r="DR25" s="370"/>
      <c r="DS25" s="155"/>
      <c r="DT25" s="155"/>
      <c r="DU25" s="373"/>
      <c r="DV25" s="190">
        <f t="shared" si="42"/>
        <v>7444800</v>
      </c>
      <c r="DW25" s="337">
        <f t="shared" si="12"/>
        <v>0</v>
      </c>
      <c r="DX25" s="338">
        <f>+E25-'Výdaje kapitol celkem'!G25</f>
        <v>1528500</v>
      </c>
      <c r="DY25" s="369">
        <f t="shared" si="13"/>
        <v>0</v>
      </c>
      <c r="EA25" s="322"/>
    </row>
    <row r="26" spans="1:131" ht="13.5" customHeight="1" outlineLevel="1" x14ac:dyDescent="0.25">
      <c r="A26" s="222">
        <v>5156</v>
      </c>
      <c r="B26" s="205" t="s">
        <v>80</v>
      </c>
      <c r="C26" s="369">
        <v>500000</v>
      </c>
      <c r="D26" s="369">
        <v>500000</v>
      </c>
      <c r="E26" s="369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70">
        <v>75000</v>
      </c>
      <c r="O26" s="371"/>
      <c r="P26" s="155"/>
      <c r="Q26" s="380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70"/>
      <c r="AB26" s="370"/>
      <c r="AC26" s="155">
        <f t="shared" si="16"/>
        <v>0</v>
      </c>
      <c r="AD26" s="370"/>
      <c r="AE26" s="370"/>
      <c r="AF26" s="155">
        <f t="shared" si="17"/>
        <v>0</v>
      </c>
      <c r="AG26" s="370"/>
      <c r="AH26" s="370"/>
      <c r="AI26" s="155">
        <v>50000</v>
      </c>
      <c r="AJ26" s="155"/>
      <c r="AK26" s="155"/>
      <c r="AL26" s="155">
        <f t="shared" si="18"/>
        <v>0</v>
      </c>
      <c r="AM26" s="370"/>
      <c r="AN26" s="370"/>
      <c r="AO26" s="155">
        <f t="shared" si="19"/>
        <v>0</v>
      </c>
      <c r="AP26" s="370"/>
      <c r="AQ26" s="370"/>
      <c r="AR26" s="155">
        <f t="shared" si="44"/>
        <v>0</v>
      </c>
      <c r="AS26" s="370"/>
      <c r="AT26" s="370"/>
      <c r="AU26" s="155">
        <f t="shared" si="45"/>
        <v>0</v>
      </c>
      <c r="AV26" s="370"/>
      <c r="AW26" s="370"/>
      <c r="AX26" s="155">
        <f t="shared" si="22"/>
        <v>0</v>
      </c>
      <c r="AY26" s="370"/>
      <c r="AZ26" s="370"/>
      <c r="BA26" s="155">
        <f t="shared" si="23"/>
        <v>0</v>
      </c>
      <c r="BB26" s="370"/>
      <c r="BC26" s="370"/>
      <c r="BD26" s="155">
        <f t="shared" si="24"/>
        <v>0</v>
      </c>
      <c r="BE26" s="370"/>
      <c r="BF26" s="370"/>
      <c r="BG26" s="155">
        <f t="shared" si="25"/>
        <v>0</v>
      </c>
      <c r="BH26" s="370"/>
      <c r="BI26" s="370"/>
      <c r="BJ26" s="155">
        <f t="shared" si="26"/>
        <v>0</v>
      </c>
      <c r="BK26" s="370"/>
      <c r="BL26" s="370"/>
      <c r="BM26" s="155">
        <f t="shared" si="27"/>
        <v>0</v>
      </c>
      <c r="BN26" s="370"/>
      <c r="BO26" s="370"/>
      <c r="BP26" s="155">
        <f t="shared" si="28"/>
        <v>0</v>
      </c>
      <c r="BQ26" s="370"/>
      <c r="BR26" s="370"/>
      <c r="BS26" s="155"/>
      <c r="BT26" s="155">
        <f t="shared" si="29"/>
        <v>0</v>
      </c>
      <c r="BU26" s="370"/>
      <c r="BV26" s="370"/>
      <c r="BW26" s="155"/>
      <c r="BX26" s="155">
        <f t="shared" si="30"/>
        <v>0</v>
      </c>
      <c r="BY26" s="370"/>
      <c r="BZ26" s="370"/>
      <c r="CA26" s="155">
        <f t="shared" si="31"/>
        <v>0</v>
      </c>
      <c r="CB26" s="370"/>
      <c r="CC26" s="370"/>
      <c r="CD26" s="155"/>
      <c r="CE26" s="155">
        <f t="shared" si="32"/>
        <v>0</v>
      </c>
      <c r="CF26" s="370"/>
      <c r="CG26" s="370"/>
      <c r="CH26" s="155"/>
      <c r="CI26" s="370"/>
      <c r="CJ26" s="370"/>
      <c r="CK26" s="155">
        <f t="shared" ref="CK26:CK51" si="46">+CL26+CM26</f>
        <v>0</v>
      </c>
      <c r="CL26" s="370"/>
      <c r="CM26" s="370"/>
      <c r="CN26" s="155"/>
      <c r="CO26" s="370"/>
      <c r="CP26" s="370"/>
      <c r="CQ26" s="155">
        <f t="shared" si="33"/>
        <v>0</v>
      </c>
      <c r="CR26" s="370"/>
      <c r="CS26" s="370"/>
      <c r="CT26" s="155"/>
      <c r="CU26" s="155">
        <f t="shared" si="34"/>
        <v>0</v>
      </c>
      <c r="CV26" s="370"/>
      <c r="CW26" s="370"/>
      <c r="CX26" s="155">
        <f t="shared" si="35"/>
        <v>0</v>
      </c>
      <c r="CY26" s="370"/>
      <c r="CZ26" s="370"/>
      <c r="DA26" s="155">
        <f t="shared" si="36"/>
        <v>0</v>
      </c>
      <c r="DB26" s="370"/>
      <c r="DC26" s="370"/>
      <c r="DD26" s="155"/>
      <c r="DE26" s="155">
        <f t="shared" si="37"/>
        <v>0</v>
      </c>
      <c r="DF26" s="370"/>
      <c r="DG26" s="370"/>
      <c r="DH26" s="370"/>
      <c r="DI26" s="155"/>
      <c r="DJ26" s="155"/>
      <c r="DK26" s="155"/>
      <c r="DL26" s="155"/>
      <c r="DM26" s="155"/>
      <c r="DN26" s="155"/>
      <c r="DO26" s="155"/>
      <c r="DP26" s="155"/>
      <c r="DQ26" s="370"/>
      <c r="DR26" s="370"/>
      <c r="DS26" s="155"/>
      <c r="DT26" s="155"/>
      <c r="DU26" s="373"/>
      <c r="DV26" s="190">
        <f t="shared" si="42"/>
        <v>640000</v>
      </c>
      <c r="DW26" s="337">
        <f t="shared" si="12"/>
        <v>0</v>
      </c>
      <c r="DX26" s="338">
        <f>+E26-'Výdaje kapitol celkem'!G26</f>
        <v>30000</v>
      </c>
      <c r="DY26" s="369">
        <f t="shared" si="13"/>
        <v>0</v>
      </c>
      <c r="EA26" s="322"/>
    </row>
    <row r="27" spans="1:131" ht="13.5" customHeight="1" outlineLevel="1" x14ac:dyDescent="0.25">
      <c r="A27" s="222">
        <v>5161</v>
      </c>
      <c r="B27" s="205" t="s">
        <v>81</v>
      </c>
      <c r="C27" s="369">
        <v>695000</v>
      </c>
      <c r="D27" s="369">
        <v>695000</v>
      </c>
      <c r="E27" s="369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0">
        <v>650000</v>
      </c>
      <c r="O27" s="371"/>
      <c r="P27" s="155"/>
      <c r="Q27" s="380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70"/>
      <c r="AB27" s="370"/>
      <c r="AC27" s="155">
        <f t="shared" si="16"/>
        <v>0</v>
      </c>
      <c r="AD27" s="370"/>
      <c r="AE27" s="370"/>
      <c r="AF27" s="155">
        <f t="shared" si="17"/>
        <v>0</v>
      </c>
      <c r="AG27" s="370"/>
      <c r="AH27" s="370"/>
      <c r="AI27" s="155"/>
      <c r="AJ27" s="155"/>
      <c r="AK27" s="155"/>
      <c r="AL27" s="155">
        <f t="shared" si="18"/>
        <v>0</v>
      </c>
      <c r="AM27" s="370"/>
      <c r="AN27" s="370"/>
      <c r="AO27" s="155">
        <f t="shared" si="19"/>
        <v>0</v>
      </c>
      <c r="AP27" s="370"/>
      <c r="AQ27" s="370"/>
      <c r="AR27" s="155">
        <f t="shared" si="44"/>
        <v>0</v>
      </c>
      <c r="AS27" s="370"/>
      <c r="AT27" s="370"/>
      <c r="AU27" s="155">
        <f t="shared" si="45"/>
        <v>0</v>
      </c>
      <c r="AV27" s="370"/>
      <c r="AW27" s="370"/>
      <c r="AX27" s="155">
        <f t="shared" si="22"/>
        <v>0</v>
      </c>
      <c r="AY27" s="370"/>
      <c r="AZ27" s="370"/>
      <c r="BA27" s="155">
        <f t="shared" si="23"/>
        <v>0</v>
      </c>
      <c r="BB27" s="370"/>
      <c r="BC27" s="370"/>
      <c r="BD27" s="155">
        <f t="shared" si="24"/>
        <v>0</v>
      </c>
      <c r="BE27" s="370"/>
      <c r="BF27" s="370"/>
      <c r="BG27" s="155">
        <f t="shared" si="25"/>
        <v>0</v>
      </c>
      <c r="BH27" s="370"/>
      <c r="BI27" s="370"/>
      <c r="BJ27" s="155">
        <f t="shared" si="26"/>
        <v>0</v>
      </c>
      <c r="BK27" s="370"/>
      <c r="BL27" s="370"/>
      <c r="BM27" s="155">
        <f t="shared" si="27"/>
        <v>0</v>
      </c>
      <c r="BN27" s="370"/>
      <c r="BO27" s="370"/>
      <c r="BP27" s="155">
        <f t="shared" si="28"/>
        <v>0</v>
      </c>
      <c r="BQ27" s="370"/>
      <c r="BR27" s="370"/>
      <c r="BS27" s="155"/>
      <c r="BT27" s="155">
        <f t="shared" si="29"/>
        <v>0</v>
      </c>
      <c r="BU27" s="370"/>
      <c r="BV27" s="370"/>
      <c r="BW27" s="155"/>
      <c r="BX27" s="155">
        <f t="shared" si="30"/>
        <v>0</v>
      </c>
      <c r="BY27" s="370"/>
      <c r="BZ27" s="370"/>
      <c r="CA27" s="155">
        <f t="shared" si="31"/>
        <v>0</v>
      </c>
      <c r="CB27" s="370"/>
      <c r="CC27" s="370"/>
      <c r="CD27" s="155"/>
      <c r="CE27" s="155">
        <f t="shared" si="32"/>
        <v>0</v>
      </c>
      <c r="CF27" s="370"/>
      <c r="CG27" s="370"/>
      <c r="CH27" s="155"/>
      <c r="CI27" s="370"/>
      <c r="CJ27" s="370"/>
      <c r="CK27" s="155">
        <f t="shared" si="46"/>
        <v>0</v>
      </c>
      <c r="CL27" s="370"/>
      <c r="CM27" s="370"/>
      <c r="CN27" s="155"/>
      <c r="CO27" s="370"/>
      <c r="CP27" s="370"/>
      <c r="CQ27" s="155">
        <f t="shared" si="33"/>
        <v>0</v>
      </c>
      <c r="CR27" s="370"/>
      <c r="CS27" s="370"/>
      <c r="CT27" s="155"/>
      <c r="CU27" s="155">
        <f t="shared" si="34"/>
        <v>0</v>
      </c>
      <c r="CV27" s="370"/>
      <c r="CW27" s="370"/>
      <c r="CX27" s="155">
        <f t="shared" si="35"/>
        <v>0</v>
      </c>
      <c r="CY27" s="370"/>
      <c r="CZ27" s="370"/>
      <c r="DA27" s="155">
        <f t="shared" si="36"/>
        <v>0</v>
      </c>
      <c r="DB27" s="370"/>
      <c r="DC27" s="370"/>
      <c r="DD27" s="155"/>
      <c r="DE27" s="155">
        <f t="shared" si="37"/>
        <v>0</v>
      </c>
      <c r="DF27" s="370"/>
      <c r="DG27" s="370"/>
      <c r="DH27" s="370"/>
      <c r="DI27" s="155"/>
      <c r="DJ27" s="155"/>
      <c r="DK27" s="155"/>
      <c r="DL27" s="155"/>
      <c r="DM27" s="155"/>
      <c r="DN27" s="155"/>
      <c r="DO27" s="155"/>
      <c r="DP27" s="155"/>
      <c r="DQ27" s="370"/>
      <c r="DR27" s="370"/>
      <c r="DS27" s="155"/>
      <c r="DT27" s="155"/>
      <c r="DU27" s="373"/>
      <c r="DV27" s="190">
        <f t="shared" si="42"/>
        <v>695000</v>
      </c>
      <c r="DW27" s="337">
        <f t="shared" si="12"/>
        <v>0</v>
      </c>
      <c r="DX27" s="338">
        <f>+E27-'Výdaje kapitol celkem'!G27</f>
        <v>0</v>
      </c>
      <c r="DY27" s="369">
        <f t="shared" si="13"/>
        <v>0</v>
      </c>
      <c r="EA27" s="322"/>
    </row>
    <row r="28" spans="1:131" ht="13.5" customHeight="1" outlineLevel="1" x14ac:dyDescent="0.25">
      <c r="A28" s="222">
        <v>5162</v>
      </c>
      <c r="B28" s="205" t="s">
        <v>82</v>
      </c>
      <c r="C28" s="369">
        <v>564000</v>
      </c>
      <c r="D28" s="369">
        <v>564000</v>
      </c>
      <c r="E28" s="369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70">
        <v>300000</v>
      </c>
      <c r="O28" s="371"/>
      <c r="P28" s="155"/>
      <c r="Q28" s="380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70"/>
      <c r="AB28" s="370"/>
      <c r="AC28" s="155">
        <f t="shared" si="16"/>
        <v>60000</v>
      </c>
      <c r="AD28" s="370">
        <v>60000</v>
      </c>
      <c r="AE28" s="370"/>
      <c r="AF28" s="155">
        <f t="shared" si="17"/>
        <v>0</v>
      </c>
      <c r="AG28" s="370"/>
      <c r="AH28" s="370"/>
      <c r="AI28" s="155">
        <v>40000</v>
      </c>
      <c r="AJ28" s="155"/>
      <c r="AK28" s="155"/>
      <c r="AL28" s="155">
        <f t="shared" si="18"/>
        <v>0</v>
      </c>
      <c r="AM28" s="370"/>
      <c r="AN28" s="370"/>
      <c r="AO28" s="155">
        <f t="shared" si="19"/>
        <v>0</v>
      </c>
      <c r="AP28" s="370"/>
      <c r="AQ28" s="370"/>
      <c r="AR28" s="155">
        <f t="shared" ref="AR28:AR48" si="47">+AS28+AT28</f>
        <v>0</v>
      </c>
      <c r="AS28" s="370"/>
      <c r="AT28" s="370"/>
      <c r="AU28" s="155">
        <f t="shared" si="45"/>
        <v>0</v>
      </c>
      <c r="AV28" s="370"/>
      <c r="AW28" s="370"/>
      <c r="AX28" s="155">
        <f t="shared" si="22"/>
        <v>0</v>
      </c>
      <c r="AY28" s="370"/>
      <c r="AZ28" s="370"/>
      <c r="BA28" s="155">
        <f t="shared" si="23"/>
        <v>0</v>
      </c>
      <c r="BB28" s="370"/>
      <c r="BC28" s="370"/>
      <c r="BD28" s="155">
        <f t="shared" si="24"/>
        <v>10000</v>
      </c>
      <c r="BE28" s="370">
        <v>10000</v>
      </c>
      <c r="BF28" s="370"/>
      <c r="BG28" s="155">
        <f t="shared" si="25"/>
        <v>0</v>
      </c>
      <c r="BH28" s="370"/>
      <c r="BI28" s="370"/>
      <c r="BJ28" s="155">
        <f t="shared" si="26"/>
        <v>0</v>
      </c>
      <c r="BK28" s="370"/>
      <c r="BL28" s="370"/>
      <c r="BM28" s="155">
        <f t="shared" si="27"/>
        <v>0</v>
      </c>
      <c r="BN28" s="370"/>
      <c r="BO28" s="370"/>
      <c r="BP28" s="155">
        <f t="shared" si="28"/>
        <v>0</v>
      </c>
      <c r="BQ28" s="370"/>
      <c r="BR28" s="370"/>
      <c r="BS28" s="155"/>
      <c r="BT28" s="155">
        <f t="shared" si="29"/>
        <v>0</v>
      </c>
      <c r="BU28" s="370"/>
      <c r="BV28" s="370"/>
      <c r="BW28" s="155"/>
      <c r="BX28" s="155">
        <f t="shared" si="30"/>
        <v>0</v>
      </c>
      <c r="BY28" s="370"/>
      <c r="BZ28" s="370"/>
      <c r="CA28" s="155">
        <f t="shared" si="31"/>
        <v>0</v>
      </c>
      <c r="CB28" s="370"/>
      <c r="CC28" s="370"/>
      <c r="CD28" s="155"/>
      <c r="CE28" s="155">
        <f t="shared" si="32"/>
        <v>0</v>
      </c>
      <c r="CF28" s="370"/>
      <c r="CG28" s="370"/>
      <c r="CH28" s="155"/>
      <c r="CI28" s="370"/>
      <c r="CJ28" s="370"/>
      <c r="CK28" s="155">
        <f t="shared" si="46"/>
        <v>0</v>
      </c>
      <c r="CL28" s="370"/>
      <c r="CM28" s="370"/>
      <c r="CN28" s="155"/>
      <c r="CO28" s="370"/>
      <c r="CP28" s="370"/>
      <c r="CQ28" s="155">
        <f t="shared" si="33"/>
        <v>0</v>
      </c>
      <c r="CR28" s="370"/>
      <c r="CS28" s="370"/>
      <c r="CT28" s="155"/>
      <c r="CU28" s="155">
        <f t="shared" si="34"/>
        <v>0</v>
      </c>
      <c r="CV28" s="370"/>
      <c r="CW28" s="370"/>
      <c r="CX28" s="155">
        <f t="shared" si="35"/>
        <v>0</v>
      </c>
      <c r="CY28" s="370"/>
      <c r="CZ28" s="370"/>
      <c r="DA28" s="155">
        <f t="shared" si="36"/>
        <v>0</v>
      </c>
      <c r="DB28" s="370"/>
      <c r="DC28" s="370"/>
      <c r="DD28" s="155"/>
      <c r="DE28" s="155">
        <f t="shared" si="37"/>
        <v>0</v>
      </c>
      <c r="DF28" s="370"/>
      <c r="DG28" s="370"/>
      <c r="DH28" s="370"/>
      <c r="DI28" s="155"/>
      <c r="DJ28" s="155"/>
      <c r="DK28" s="155"/>
      <c r="DL28" s="155"/>
      <c r="DM28" s="155"/>
      <c r="DN28" s="155"/>
      <c r="DO28" s="155"/>
      <c r="DP28" s="155"/>
      <c r="DQ28" s="370"/>
      <c r="DR28" s="370"/>
      <c r="DS28" s="155"/>
      <c r="DT28" s="155"/>
      <c r="DU28" s="373"/>
      <c r="DV28" s="190">
        <f t="shared" si="42"/>
        <v>564000</v>
      </c>
      <c r="DW28" s="337">
        <f>DV28-E28</f>
        <v>0</v>
      </c>
      <c r="DX28" s="338">
        <f>+E28-'Výdaje kapitol celkem'!G28</f>
        <v>-50000</v>
      </c>
      <c r="DY28" s="369">
        <f t="shared" si="13"/>
        <v>0</v>
      </c>
      <c r="EA28" s="322"/>
    </row>
    <row r="29" spans="1:131" ht="13.5" customHeight="1" outlineLevel="1" x14ac:dyDescent="0.25">
      <c r="A29" s="222">
        <v>5163</v>
      </c>
      <c r="B29" s="205" t="s">
        <v>83</v>
      </c>
      <c r="C29" s="369">
        <v>750000</v>
      </c>
      <c r="D29" s="369">
        <v>750000</v>
      </c>
      <c r="E29" s="369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0"/>
      <c r="O29" s="371"/>
      <c r="P29" s="155"/>
      <c r="Q29" s="380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0"/>
      <c r="AB29" s="370"/>
      <c r="AC29" s="155">
        <f t="shared" si="16"/>
        <v>0</v>
      </c>
      <c r="AD29" s="370"/>
      <c r="AE29" s="370"/>
      <c r="AF29" s="155">
        <f t="shared" si="17"/>
        <v>0</v>
      </c>
      <c r="AG29" s="370"/>
      <c r="AH29" s="370"/>
      <c r="AI29" s="155">
        <v>30000</v>
      </c>
      <c r="AJ29" s="155"/>
      <c r="AK29" s="155"/>
      <c r="AL29" s="155">
        <f t="shared" si="18"/>
        <v>0</v>
      </c>
      <c r="AM29" s="370"/>
      <c r="AN29" s="370"/>
      <c r="AO29" s="155">
        <f t="shared" si="19"/>
        <v>0</v>
      </c>
      <c r="AP29" s="370"/>
      <c r="AQ29" s="370"/>
      <c r="AR29" s="155">
        <f t="shared" si="47"/>
        <v>0</v>
      </c>
      <c r="AS29" s="370"/>
      <c r="AT29" s="370"/>
      <c r="AU29" s="155">
        <f t="shared" si="45"/>
        <v>0</v>
      </c>
      <c r="AV29" s="370"/>
      <c r="AW29" s="370"/>
      <c r="AX29" s="155">
        <f t="shared" si="22"/>
        <v>0</v>
      </c>
      <c r="AY29" s="370"/>
      <c r="AZ29" s="370"/>
      <c r="BA29" s="155">
        <f t="shared" si="23"/>
        <v>0</v>
      </c>
      <c r="BB29" s="370"/>
      <c r="BC29" s="370"/>
      <c r="BD29" s="155">
        <f t="shared" si="24"/>
        <v>0</v>
      </c>
      <c r="BE29" s="370"/>
      <c r="BF29" s="370"/>
      <c r="BG29" s="155">
        <f t="shared" si="25"/>
        <v>0</v>
      </c>
      <c r="BH29" s="370"/>
      <c r="BI29" s="370"/>
      <c r="BJ29" s="155">
        <f t="shared" si="26"/>
        <v>0</v>
      </c>
      <c r="BK29" s="370"/>
      <c r="BL29" s="370"/>
      <c r="BM29" s="155">
        <f t="shared" si="27"/>
        <v>0</v>
      </c>
      <c r="BN29" s="370"/>
      <c r="BO29" s="370"/>
      <c r="BP29" s="155">
        <f t="shared" si="28"/>
        <v>0</v>
      </c>
      <c r="BQ29" s="370"/>
      <c r="BR29" s="370"/>
      <c r="BS29" s="155"/>
      <c r="BT29" s="155">
        <f t="shared" si="29"/>
        <v>0</v>
      </c>
      <c r="BU29" s="370"/>
      <c r="BV29" s="370"/>
      <c r="BW29" s="155"/>
      <c r="BX29" s="155">
        <f t="shared" si="30"/>
        <v>0</v>
      </c>
      <c r="BY29" s="370"/>
      <c r="BZ29" s="370"/>
      <c r="CA29" s="155">
        <f t="shared" si="31"/>
        <v>0</v>
      </c>
      <c r="CB29" s="370"/>
      <c r="CC29" s="370"/>
      <c r="CD29" s="155"/>
      <c r="CE29" s="155">
        <f t="shared" si="32"/>
        <v>0</v>
      </c>
      <c r="CF29" s="370"/>
      <c r="CG29" s="370"/>
      <c r="CH29" s="155"/>
      <c r="CI29" s="370"/>
      <c r="CJ29" s="370"/>
      <c r="CK29" s="155">
        <f t="shared" si="46"/>
        <v>0</v>
      </c>
      <c r="CL29" s="370"/>
      <c r="CM29" s="370"/>
      <c r="CN29" s="155"/>
      <c r="CO29" s="370"/>
      <c r="CP29" s="370"/>
      <c r="CQ29" s="155">
        <f t="shared" si="33"/>
        <v>0</v>
      </c>
      <c r="CR29" s="370"/>
      <c r="CS29" s="370"/>
      <c r="CT29" s="155"/>
      <c r="CU29" s="155">
        <f t="shared" si="34"/>
        <v>0</v>
      </c>
      <c r="CV29" s="370"/>
      <c r="CW29" s="370"/>
      <c r="CX29" s="155">
        <f t="shared" si="35"/>
        <v>0</v>
      </c>
      <c r="CY29" s="370"/>
      <c r="CZ29" s="370"/>
      <c r="DA29" s="155">
        <f t="shared" si="36"/>
        <v>0</v>
      </c>
      <c r="DB29" s="370"/>
      <c r="DC29" s="370"/>
      <c r="DD29" s="155"/>
      <c r="DE29" s="155">
        <f t="shared" si="37"/>
        <v>0</v>
      </c>
      <c r="DF29" s="370"/>
      <c r="DG29" s="370"/>
      <c r="DH29" s="370"/>
      <c r="DI29" s="155"/>
      <c r="DJ29" s="155"/>
      <c r="DK29" s="155"/>
      <c r="DL29" s="155"/>
      <c r="DM29" s="155"/>
      <c r="DN29" s="155"/>
      <c r="DO29" s="155"/>
      <c r="DP29" s="155"/>
      <c r="DQ29" s="370"/>
      <c r="DR29" s="370"/>
      <c r="DS29" s="155"/>
      <c r="DT29" s="155"/>
      <c r="DU29" s="373"/>
      <c r="DV29" s="190">
        <f t="shared" si="42"/>
        <v>920000</v>
      </c>
      <c r="DW29" s="337">
        <f t="shared" si="12"/>
        <v>0</v>
      </c>
      <c r="DX29" s="338">
        <f>+E29-'Výdaje kapitol celkem'!G29</f>
        <v>-290000</v>
      </c>
      <c r="DY29" s="369">
        <f t="shared" si="13"/>
        <v>0</v>
      </c>
      <c r="EA29" s="322"/>
    </row>
    <row r="30" spans="1:131" ht="13.5" customHeight="1" outlineLevel="1" x14ac:dyDescent="0.25">
      <c r="A30" s="222">
        <v>5164</v>
      </c>
      <c r="B30" s="205" t="s">
        <v>84</v>
      </c>
      <c r="C30" s="369">
        <v>1581638</v>
      </c>
      <c r="D30" s="369">
        <v>1581638</v>
      </c>
      <c r="E30" s="369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70"/>
      <c r="O30" s="371"/>
      <c r="P30" s="155"/>
      <c r="Q30" s="380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70">
        <v>35240</v>
      </c>
      <c r="AB30" s="370"/>
      <c r="AC30" s="155">
        <f t="shared" si="16"/>
        <v>0</v>
      </c>
      <c r="AD30" s="370"/>
      <c r="AE30" s="370"/>
      <c r="AF30" s="155">
        <f t="shared" si="17"/>
        <v>0</v>
      </c>
      <c r="AG30" s="370"/>
      <c r="AH30" s="370"/>
      <c r="AI30" s="155"/>
      <c r="AJ30" s="155"/>
      <c r="AK30" s="155"/>
      <c r="AL30" s="155">
        <f t="shared" si="18"/>
        <v>0</v>
      </c>
      <c r="AM30" s="370"/>
      <c r="AN30" s="370"/>
      <c r="AO30" s="155">
        <f t="shared" si="19"/>
        <v>10000</v>
      </c>
      <c r="AP30" s="370">
        <v>10000</v>
      </c>
      <c r="AQ30" s="370"/>
      <c r="AR30" s="155">
        <f t="shared" si="47"/>
        <v>0</v>
      </c>
      <c r="AS30" s="370">
        <v>0</v>
      </c>
      <c r="AT30" s="370"/>
      <c r="AU30" s="155">
        <f t="shared" si="45"/>
        <v>12156</v>
      </c>
      <c r="AV30" s="370">
        <v>12156</v>
      </c>
      <c r="AW30" s="370"/>
      <c r="AX30" s="155">
        <f t="shared" si="22"/>
        <v>816000</v>
      </c>
      <c r="AY30" s="370">
        <v>816000</v>
      </c>
      <c r="AZ30" s="370"/>
      <c r="BA30" s="155">
        <v>0</v>
      </c>
      <c r="BB30" s="370">
        <v>0</v>
      </c>
      <c r="BC30" s="370"/>
      <c r="BD30" s="155">
        <f t="shared" si="24"/>
        <v>0</v>
      </c>
      <c r="BE30" s="370"/>
      <c r="BF30" s="370"/>
      <c r="BG30" s="155">
        <f t="shared" si="25"/>
        <v>0</v>
      </c>
      <c r="BH30" s="370"/>
      <c r="BI30" s="370"/>
      <c r="BJ30" s="155">
        <f t="shared" si="26"/>
        <v>0</v>
      </c>
      <c r="BK30" s="370"/>
      <c r="BL30" s="370"/>
      <c r="BM30" s="155">
        <f t="shared" si="27"/>
        <v>0</v>
      </c>
      <c r="BN30" s="370"/>
      <c r="BO30" s="370"/>
      <c r="BP30" s="155">
        <f t="shared" si="28"/>
        <v>0</v>
      </c>
      <c r="BQ30" s="370"/>
      <c r="BR30" s="370"/>
      <c r="BS30" s="155"/>
      <c r="BT30" s="155">
        <f t="shared" si="29"/>
        <v>0</v>
      </c>
      <c r="BU30" s="370"/>
      <c r="BV30" s="370"/>
      <c r="BW30" s="155"/>
      <c r="BX30" s="155">
        <f t="shared" si="30"/>
        <v>0</v>
      </c>
      <c r="BY30" s="370"/>
      <c r="BZ30" s="370"/>
      <c r="CA30" s="336">
        <f t="shared" si="31"/>
        <v>24229</v>
      </c>
      <c r="CB30" s="382">
        <v>24229</v>
      </c>
      <c r="CC30" s="370"/>
      <c r="CD30" s="155"/>
      <c r="CE30" s="155">
        <f t="shared" si="32"/>
        <v>0</v>
      </c>
      <c r="CF30" s="370"/>
      <c r="CG30" s="370"/>
      <c r="CH30" s="155"/>
      <c r="CI30" s="370"/>
      <c r="CJ30" s="370"/>
      <c r="CK30" s="155">
        <f t="shared" si="46"/>
        <v>0</v>
      </c>
      <c r="CL30" s="370"/>
      <c r="CM30" s="370"/>
      <c r="CN30" s="155"/>
      <c r="CO30" s="370"/>
      <c r="CP30" s="370"/>
      <c r="CQ30" s="155">
        <f t="shared" si="33"/>
        <v>0</v>
      </c>
      <c r="CR30" s="370"/>
      <c r="CS30" s="370"/>
      <c r="CT30" s="155"/>
      <c r="CU30" s="155">
        <f t="shared" si="34"/>
        <v>0</v>
      </c>
      <c r="CV30" s="370"/>
      <c r="CW30" s="370"/>
      <c r="CX30" s="155">
        <f t="shared" si="35"/>
        <v>0</v>
      </c>
      <c r="CY30" s="370"/>
      <c r="CZ30" s="370"/>
      <c r="DA30" s="155">
        <f t="shared" si="36"/>
        <v>0</v>
      </c>
      <c r="DB30" s="370"/>
      <c r="DC30" s="370"/>
      <c r="DD30" s="155"/>
      <c r="DE30" s="155">
        <f t="shared" si="37"/>
        <v>0</v>
      </c>
      <c r="DF30" s="370"/>
      <c r="DG30" s="370"/>
      <c r="DH30" s="370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0"/>
      <c r="DR30" s="370"/>
      <c r="DS30" s="155"/>
      <c r="DT30" s="155"/>
      <c r="DU30" s="373"/>
      <c r="DV30" s="190">
        <f t="shared" si="42"/>
        <v>1538137</v>
      </c>
      <c r="DW30" s="337">
        <f t="shared" si="12"/>
        <v>0</v>
      </c>
      <c r="DX30" s="338">
        <f>+E30-'Výdaje kapitol celkem'!G30</f>
        <v>-61476</v>
      </c>
      <c r="DY30" s="369">
        <f t="shared" si="13"/>
        <v>0</v>
      </c>
      <c r="EA30" s="322"/>
    </row>
    <row r="31" spans="1:131" ht="13.5" customHeight="1" outlineLevel="1" x14ac:dyDescent="0.25">
      <c r="A31" s="222">
        <v>5166</v>
      </c>
      <c r="B31" s="205" t="s">
        <v>85</v>
      </c>
      <c r="C31" s="369">
        <v>700000</v>
      </c>
      <c r="D31" s="369">
        <v>700000</v>
      </c>
      <c r="E31" s="369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0">
        <v>700000</v>
      </c>
      <c r="O31" s="371"/>
      <c r="P31" s="155"/>
      <c r="Q31" s="380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0"/>
      <c r="AB31" s="370"/>
      <c r="AC31" s="155">
        <f t="shared" si="16"/>
        <v>0</v>
      </c>
      <c r="AD31" s="370"/>
      <c r="AE31" s="370"/>
      <c r="AF31" s="155">
        <f t="shared" si="17"/>
        <v>0</v>
      </c>
      <c r="AG31" s="370"/>
      <c r="AH31" s="370"/>
      <c r="AI31" s="155"/>
      <c r="AJ31" s="155"/>
      <c r="AK31" s="155"/>
      <c r="AL31" s="155">
        <f t="shared" si="18"/>
        <v>0</v>
      </c>
      <c r="AM31" s="370"/>
      <c r="AN31" s="370"/>
      <c r="AO31" s="155">
        <f t="shared" si="19"/>
        <v>0</v>
      </c>
      <c r="AP31" s="370"/>
      <c r="AQ31" s="370"/>
      <c r="AR31" s="155">
        <f t="shared" si="47"/>
        <v>0</v>
      </c>
      <c r="AS31" s="370"/>
      <c r="AT31" s="370"/>
      <c r="AU31" s="155">
        <f t="shared" si="45"/>
        <v>0</v>
      </c>
      <c r="AV31" s="370"/>
      <c r="AW31" s="370"/>
      <c r="AX31" s="155">
        <f t="shared" si="22"/>
        <v>0</v>
      </c>
      <c r="AY31" s="370"/>
      <c r="AZ31" s="370"/>
      <c r="BA31" s="155">
        <f t="shared" si="23"/>
        <v>0</v>
      </c>
      <c r="BB31" s="370"/>
      <c r="BC31" s="370"/>
      <c r="BD31" s="155">
        <f t="shared" si="24"/>
        <v>0</v>
      </c>
      <c r="BE31" s="370"/>
      <c r="BF31" s="370"/>
      <c r="BG31" s="155">
        <f t="shared" si="25"/>
        <v>0</v>
      </c>
      <c r="BH31" s="370"/>
      <c r="BI31" s="370"/>
      <c r="BJ31" s="155">
        <f t="shared" si="26"/>
        <v>0</v>
      </c>
      <c r="BK31" s="370"/>
      <c r="BL31" s="370"/>
      <c r="BM31" s="155">
        <f t="shared" si="27"/>
        <v>0</v>
      </c>
      <c r="BN31" s="370"/>
      <c r="BO31" s="370"/>
      <c r="BP31" s="155">
        <f t="shared" si="28"/>
        <v>0</v>
      </c>
      <c r="BQ31" s="370"/>
      <c r="BR31" s="370"/>
      <c r="BS31" s="155"/>
      <c r="BT31" s="155">
        <f t="shared" si="29"/>
        <v>0</v>
      </c>
      <c r="BU31" s="370"/>
      <c r="BV31" s="370"/>
      <c r="BW31" s="155"/>
      <c r="BX31" s="155">
        <f t="shared" si="30"/>
        <v>0</v>
      </c>
      <c r="BY31" s="370"/>
      <c r="BZ31" s="370"/>
      <c r="CA31" s="155">
        <f t="shared" si="31"/>
        <v>0</v>
      </c>
      <c r="CB31" s="370"/>
      <c r="CC31" s="370"/>
      <c r="CD31" s="155"/>
      <c r="CE31" s="155">
        <f t="shared" si="32"/>
        <v>0</v>
      </c>
      <c r="CF31" s="370"/>
      <c r="CG31" s="370"/>
      <c r="CH31" s="155"/>
      <c r="CI31" s="370"/>
      <c r="CJ31" s="370"/>
      <c r="CK31" s="155">
        <f t="shared" si="46"/>
        <v>0</v>
      </c>
      <c r="CL31" s="370"/>
      <c r="CM31" s="370"/>
      <c r="CN31" s="155"/>
      <c r="CO31" s="370"/>
      <c r="CP31" s="370"/>
      <c r="CQ31" s="155">
        <f t="shared" si="33"/>
        <v>0</v>
      </c>
      <c r="CR31" s="370"/>
      <c r="CS31" s="370"/>
      <c r="CT31" s="155"/>
      <c r="CU31" s="155">
        <f t="shared" si="34"/>
        <v>0</v>
      </c>
      <c r="CV31" s="370"/>
      <c r="CW31" s="370"/>
      <c r="CX31" s="155">
        <f t="shared" si="35"/>
        <v>0</v>
      </c>
      <c r="CY31" s="370"/>
      <c r="CZ31" s="370"/>
      <c r="DA31" s="155">
        <f t="shared" si="36"/>
        <v>0</v>
      </c>
      <c r="DB31" s="370"/>
      <c r="DC31" s="370"/>
      <c r="DD31" s="155"/>
      <c r="DE31" s="155">
        <f t="shared" si="37"/>
        <v>0</v>
      </c>
      <c r="DF31" s="370"/>
      <c r="DG31" s="370"/>
      <c r="DH31" s="370"/>
      <c r="DI31" s="155"/>
      <c r="DJ31" s="155"/>
      <c r="DK31" s="155"/>
      <c r="DL31" s="155"/>
      <c r="DM31" s="155"/>
      <c r="DN31" s="155"/>
      <c r="DO31" s="155"/>
      <c r="DP31" s="155"/>
      <c r="DQ31" s="370"/>
      <c r="DR31" s="370"/>
      <c r="DS31" s="155"/>
      <c r="DT31" s="155"/>
      <c r="DU31" s="373"/>
      <c r="DV31" s="190">
        <f t="shared" si="42"/>
        <v>700000</v>
      </c>
      <c r="DW31" s="337">
        <f t="shared" si="12"/>
        <v>0</v>
      </c>
      <c r="DX31" s="338">
        <f>+E31-'Výdaje kapitol celkem'!G31</f>
        <v>-50000</v>
      </c>
      <c r="DY31" s="369">
        <f t="shared" si="13"/>
        <v>0</v>
      </c>
      <c r="EA31" s="322"/>
    </row>
    <row r="32" spans="1:131" ht="13.5" customHeight="1" outlineLevel="1" x14ac:dyDescent="0.25">
      <c r="A32" s="222">
        <v>5167</v>
      </c>
      <c r="B32" s="205" t="s">
        <v>86</v>
      </c>
      <c r="C32" s="369">
        <v>375000</v>
      </c>
      <c r="D32" s="369">
        <v>375000</v>
      </c>
      <c r="E32" s="369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70">
        <v>200000</v>
      </c>
      <c r="O32" s="371"/>
      <c r="P32" s="155"/>
      <c r="Q32" s="380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70"/>
      <c r="AB32" s="370"/>
      <c r="AC32" s="155">
        <f t="shared" si="16"/>
        <v>0</v>
      </c>
      <c r="AD32" s="370"/>
      <c r="AE32" s="370"/>
      <c r="AF32" s="155">
        <f t="shared" si="17"/>
        <v>0</v>
      </c>
      <c r="AG32" s="370"/>
      <c r="AH32" s="370"/>
      <c r="AI32" s="155">
        <v>30000</v>
      </c>
      <c r="AJ32" s="155"/>
      <c r="AK32" s="155"/>
      <c r="AL32" s="155">
        <f t="shared" si="18"/>
        <v>0</v>
      </c>
      <c r="AM32" s="370"/>
      <c r="AN32" s="370"/>
      <c r="AO32" s="155">
        <f t="shared" si="19"/>
        <v>0</v>
      </c>
      <c r="AP32" s="370"/>
      <c r="AQ32" s="370"/>
      <c r="AR32" s="155">
        <f t="shared" si="47"/>
        <v>0</v>
      </c>
      <c r="AS32" s="370"/>
      <c r="AT32" s="370"/>
      <c r="AU32" s="155">
        <f t="shared" si="45"/>
        <v>0</v>
      </c>
      <c r="AV32" s="370"/>
      <c r="AW32" s="370"/>
      <c r="AX32" s="155">
        <f t="shared" si="22"/>
        <v>0</v>
      </c>
      <c r="AY32" s="370"/>
      <c r="AZ32" s="370"/>
      <c r="BA32" s="155">
        <f t="shared" si="23"/>
        <v>0</v>
      </c>
      <c r="BB32" s="370"/>
      <c r="BC32" s="370"/>
      <c r="BD32" s="155">
        <f t="shared" si="24"/>
        <v>0</v>
      </c>
      <c r="BE32" s="370"/>
      <c r="BF32" s="370"/>
      <c r="BG32" s="155">
        <f t="shared" si="25"/>
        <v>0</v>
      </c>
      <c r="BH32" s="370"/>
      <c r="BI32" s="370"/>
      <c r="BJ32" s="155">
        <f t="shared" si="26"/>
        <v>0</v>
      </c>
      <c r="BK32" s="370"/>
      <c r="BL32" s="370"/>
      <c r="BM32" s="155">
        <f t="shared" si="27"/>
        <v>0</v>
      </c>
      <c r="BN32" s="370"/>
      <c r="BO32" s="370"/>
      <c r="BP32" s="155">
        <f t="shared" si="28"/>
        <v>0</v>
      </c>
      <c r="BQ32" s="370"/>
      <c r="BR32" s="370"/>
      <c r="BS32" s="155"/>
      <c r="BT32" s="155">
        <f t="shared" si="29"/>
        <v>0</v>
      </c>
      <c r="BU32" s="370"/>
      <c r="BV32" s="370"/>
      <c r="BW32" s="155"/>
      <c r="BX32" s="155">
        <f t="shared" si="30"/>
        <v>0</v>
      </c>
      <c r="BY32" s="370"/>
      <c r="BZ32" s="370"/>
      <c r="CA32" s="155">
        <f t="shared" si="31"/>
        <v>0</v>
      </c>
      <c r="CB32" s="370"/>
      <c r="CC32" s="370"/>
      <c r="CD32" s="155"/>
      <c r="CE32" s="155">
        <f t="shared" si="32"/>
        <v>0</v>
      </c>
      <c r="CF32" s="370"/>
      <c r="CG32" s="370"/>
      <c r="CH32" s="155"/>
      <c r="CI32" s="370"/>
      <c r="CJ32" s="370"/>
      <c r="CK32" s="155">
        <f t="shared" si="46"/>
        <v>0</v>
      </c>
      <c r="CL32" s="370"/>
      <c r="CM32" s="370"/>
      <c r="CN32" s="155"/>
      <c r="CO32" s="370"/>
      <c r="CP32" s="370"/>
      <c r="CQ32" s="155">
        <f t="shared" si="33"/>
        <v>0</v>
      </c>
      <c r="CR32" s="370"/>
      <c r="CS32" s="370"/>
      <c r="CT32" s="155"/>
      <c r="CU32" s="155">
        <f t="shared" si="34"/>
        <v>0</v>
      </c>
      <c r="CV32" s="370"/>
      <c r="CW32" s="370"/>
      <c r="CX32" s="155">
        <f t="shared" si="35"/>
        <v>0</v>
      </c>
      <c r="CY32" s="370"/>
      <c r="CZ32" s="370"/>
      <c r="DA32" s="155">
        <f t="shared" si="36"/>
        <v>0</v>
      </c>
      <c r="DB32" s="370"/>
      <c r="DC32" s="370"/>
      <c r="DD32" s="155"/>
      <c r="DE32" s="155">
        <f t="shared" si="37"/>
        <v>0</v>
      </c>
      <c r="DF32" s="370"/>
      <c r="DG32" s="370"/>
      <c r="DH32" s="370"/>
      <c r="DI32" s="155"/>
      <c r="DJ32" s="155"/>
      <c r="DK32" s="155"/>
      <c r="DL32" s="155"/>
      <c r="DM32" s="155"/>
      <c r="DN32" s="155"/>
      <c r="DO32" s="155"/>
      <c r="DP32" s="155"/>
      <c r="DQ32" s="370"/>
      <c r="DR32" s="370"/>
      <c r="DS32" s="155"/>
      <c r="DT32" s="155"/>
      <c r="DU32" s="373"/>
      <c r="DV32" s="190">
        <f t="shared" si="42"/>
        <v>375000</v>
      </c>
      <c r="DW32" s="337">
        <f t="shared" si="12"/>
        <v>0</v>
      </c>
      <c r="DX32" s="338">
        <f>+E32-'Výdaje kapitol celkem'!G32</f>
        <v>-40000</v>
      </c>
      <c r="DY32" s="369">
        <f t="shared" si="13"/>
        <v>0</v>
      </c>
      <c r="EA32" s="322"/>
    </row>
    <row r="33" spans="1:131" ht="13.5" customHeight="1" outlineLevel="1" x14ac:dyDescent="0.25">
      <c r="A33" s="222">
        <v>5168</v>
      </c>
      <c r="B33" s="205" t="s">
        <v>87</v>
      </c>
      <c r="C33" s="369">
        <v>465000</v>
      </c>
      <c r="D33" s="369">
        <v>465000</v>
      </c>
      <c r="E33" s="369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70"/>
      <c r="O33" s="371"/>
      <c r="P33" s="155"/>
      <c r="Q33" s="380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0"/>
      <c r="AB33" s="370"/>
      <c r="AC33" s="155">
        <f t="shared" si="16"/>
        <v>0</v>
      </c>
      <c r="AD33" s="370"/>
      <c r="AE33" s="370"/>
      <c r="AF33" s="155">
        <f t="shared" si="17"/>
        <v>0</v>
      </c>
      <c r="AG33" s="370"/>
      <c r="AH33" s="370"/>
      <c r="AI33" s="155"/>
      <c r="AJ33" s="155"/>
      <c r="AK33" s="155"/>
      <c r="AL33" s="155">
        <f t="shared" si="18"/>
        <v>0</v>
      </c>
      <c r="AM33" s="370"/>
      <c r="AN33" s="370"/>
      <c r="AO33" s="155">
        <f t="shared" si="19"/>
        <v>0</v>
      </c>
      <c r="AP33" s="370"/>
      <c r="AQ33" s="370"/>
      <c r="AR33" s="155">
        <f t="shared" si="47"/>
        <v>0</v>
      </c>
      <c r="AS33" s="370"/>
      <c r="AT33" s="370"/>
      <c r="AU33" s="155">
        <f t="shared" si="45"/>
        <v>0</v>
      </c>
      <c r="AV33" s="370"/>
      <c r="AW33" s="370"/>
      <c r="AX33" s="155">
        <f t="shared" si="22"/>
        <v>0</v>
      </c>
      <c r="AY33" s="370"/>
      <c r="AZ33" s="370"/>
      <c r="BA33" s="155">
        <f t="shared" si="23"/>
        <v>0</v>
      </c>
      <c r="BB33" s="370"/>
      <c r="BC33" s="370"/>
      <c r="BD33" s="155">
        <f t="shared" si="24"/>
        <v>0</v>
      </c>
      <c r="BE33" s="370"/>
      <c r="BF33" s="370"/>
      <c r="BG33" s="155">
        <f t="shared" si="25"/>
        <v>0</v>
      </c>
      <c r="BH33" s="370"/>
      <c r="BI33" s="370"/>
      <c r="BJ33" s="155">
        <f t="shared" si="26"/>
        <v>0</v>
      </c>
      <c r="BK33" s="370"/>
      <c r="BL33" s="370"/>
      <c r="BM33" s="155">
        <f t="shared" si="27"/>
        <v>0</v>
      </c>
      <c r="BN33" s="370"/>
      <c r="BO33" s="370"/>
      <c r="BP33" s="155">
        <f t="shared" si="28"/>
        <v>0</v>
      </c>
      <c r="BQ33" s="370"/>
      <c r="BR33" s="370"/>
      <c r="BS33" s="155"/>
      <c r="BT33" s="155">
        <f t="shared" si="29"/>
        <v>0</v>
      </c>
      <c r="BU33" s="370"/>
      <c r="BV33" s="370"/>
      <c r="BW33" s="155">
        <v>450000</v>
      </c>
      <c r="BX33" s="155">
        <f t="shared" si="30"/>
        <v>0</v>
      </c>
      <c r="BY33" s="370"/>
      <c r="BZ33" s="370"/>
      <c r="CA33" s="155">
        <f t="shared" si="31"/>
        <v>0</v>
      </c>
      <c r="CB33" s="370"/>
      <c r="CC33" s="370"/>
      <c r="CD33" s="155"/>
      <c r="CE33" s="155">
        <f t="shared" si="32"/>
        <v>0</v>
      </c>
      <c r="CF33" s="370"/>
      <c r="CG33" s="370"/>
      <c r="CH33" s="155"/>
      <c r="CI33" s="370"/>
      <c r="CJ33" s="370"/>
      <c r="CK33" s="155">
        <f t="shared" si="46"/>
        <v>0</v>
      </c>
      <c r="CL33" s="370"/>
      <c r="CM33" s="370"/>
      <c r="CN33" s="155"/>
      <c r="CO33" s="370"/>
      <c r="CP33" s="370"/>
      <c r="CQ33" s="155">
        <f t="shared" si="33"/>
        <v>0</v>
      </c>
      <c r="CR33" s="370"/>
      <c r="CS33" s="370"/>
      <c r="CT33" s="155"/>
      <c r="CU33" s="155">
        <f t="shared" si="34"/>
        <v>0</v>
      </c>
      <c r="CV33" s="370"/>
      <c r="CW33" s="370"/>
      <c r="CX33" s="155">
        <f t="shared" si="35"/>
        <v>0</v>
      </c>
      <c r="CY33" s="370"/>
      <c r="CZ33" s="370"/>
      <c r="DA33" s="155">
        <f t="shared" si="36"/>
        <v>0</v>
      </c>
      <c r="DB33" s="370"/>
      <c r="DC33" s="370"/>
      <c r="DD33" s="155"/>
      <c r="DE33" s="155">
        <f>+DF33+DG33+DH33</f>
        <v>0</v>
      </c>
      <c r="DF33" s="370"/>
      <c r="DG33" s="370"/>
      <c r="DH33" s="370"/>
      <c r="DI33" s="155"/>
      <c r="DJ33" s="155"/>
      <c r="DK33" s="155"/>
      <c r="DL33" s="155"/>
      <c r="DM33" s="155"/>
      <c r="DN33" s="155"/>
      <c r="DO33" s="155"/>
      <c r="DP33" s="155"/>
      <c r="DQ33" s="370"/>
      <c r="DR33" s="370"/>
      <c r="DS33" s="155"/>
      <c r="DT33" s="155"/>
      <c r="DU33" s="373"/>
      <c r="DV33" s="190">
        <f t="shared" si="42"/>
        <v>615000</v>
      </c>
      <c r="DW33" s="337">
        <f>DV33-E33</f>
        <v>0</v>
      </c>
      <c r="DX33" s="338">
        <f>+E33-'Výdaje kapitol celkem'!G33</f>
        <v>-300000</v>
      </c>
      <c r="DY33" s="369">
        <f t="shared" si="13"/>
        <v>0</v>
      </c>
      <c r="EA33" s="322"/>
    </row>
    <row r="34" spans="1:131" ht="13.5" customHeight="1" outlineLevel="1" x14ac:dyDescent="0.25">
      <c r="A34" s="222">
        <v>5169</v>
      </c>
      <c r="B34" s="205" t="s">
        <v>88</v>
      </c>
      <c r="C34" s="369">
        <v>15903266.666666666</v>
      </c>
      <c r="D34" s="369">
        <v>16823266.666666664</v>
      </c>
      <c r="E34" s="369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70">
        <v>1270000</v>
      </c>
      <c r="O34" s="371"/>
      <c r="P34" s="155"/>
      <c r="Q34" s="381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70">
        <v>1420000</v>
      </c>
      <c r="AB34" s="370"/>
      <c r="AC34" s="155">
        <f t="shared" si="16"/>
        <v>170000</v>
      </c>
      <c r="AD34" s="370">
        <v>170000</v>
      </c>
      <c r="AE34" s="370"/>
      <c r="AF34" s="155">
        <f t="shared" si="17"/>
        <v>570000</v>
      </c>
      <c r="AG34" s="370">
        <v>570000</v>
      </c>
      <c r="AH34" s="370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70">
        <v>50000</v>
      </c>
      <c r="AN34" s="370"/>
      <c r="AO34" s="155">
        <f t="shared" si="19"/>
        <v>30000</v>
      </c>
      <c r="AP34" s="370">
        <v>30000</v>
      </c>
      <c r="AQ34" s="370"/>
      <c r="AR34" s="155">
        <f t="shared" si="47"/>
        <v>320000</v>
      </c>
      <c r="AS34" s="370">
        <v>290000</v>
      </c>
      <c r="AT34" s="370">
        <v>30000</v>
      </c>
      <c r="AU34" s="155">
        <f t="shared" si="45"/>
        <v>550000</v>
      </c>
      <c r="AV34" s="370">
        <v>550000</v>
      </c>
      <c r="AW34" s="370"/>
      <c r="AX34" s="155">
        <f t="shared" si="22"/>
        <v>0</v>
      </c>
      <c r="AY34" s="370">
        <v>0</v>
      </c>
      <c r="AZ34" s="370"/>
      <c r="BA34" s="155">
        <f t="shared" si="23"/>
        <v>0</v>
      </c>
      <c r="BB34" s="370"/>
      <c r="BC34" s="370"/>
      <c r="BD34" s="155">
        <f t="shared" si="24"/>
        <v>60000</v>
      </c>
      <c r="BE34" s="370">
        <v>60000</v>
      </c>
      <c r="BF34" s="370"/>
      <c r="BG34" s="155">
        <f t="shared" si="25"/>
        <v>30000</v>
      </c>
      <c r="BH34" s="370">
        <v>30000</v>
      </c>
      <c r="BI34" s="370"/>
      <c r="BJ34" s="155">
        <f t="shared" si="26"/>
        <v>50000</v>
      </c>
      <c r="BK34" s="370">
        <v>50000</v>
      </c>
      <c r="BL34" s="370"/>
      <c r="BM34" s="155">
        <f t="shared" si="27"/>
        <v>90000</v>
      </c>
      <c r="BN34" s="370">
        <v>90000</v>
      </c>
      <c r="BO34" s="370"/>
      <c r="BP34" s="155">
        <f t="shared" si="28"/>
        <v>0</v>
      </c>
      <c r="BQ34" s="370">
        <v>0</v>
      </c>
      <c r="BR34" s="370"/>
      <c r="BS34" s="155">
        <v>20000</v>
      </c>
      <c r="BT34" s="155">
        <f t="shared" si="29"/>
        <v>80000</v>
      </c>
      <c r="BU34" s="370">
        <v>80000</v>
      </c>
      <c r="BV34" s="370"/>
      <c r="BW34" s="155">
        <v>50000</v>
      </c>
      <c r="BX34" s="155">
        <f t="shared" si="30"/>
        <v>262100</v>
      </c>
      <c r="BY34" s="370">
        <v>262100</v>
      </c>
      <c r="BZ34" s="370"/>
      <c r="CA34" s="336">
        <f t="shared" si="31"/>
        <v>100000</v>
      </c>
      <c r="CB34" s="382">
        <v>100000</v>
      </c>
      <c r="CC34" s="370"/>
      <c r="CD34" s="155"/>
      <c r="CE34" s="155">
        <f t="shared" si="32"/>
        <v>550000</v>
      </c>
      <c r="CF34" s="177">
        <v>550000</v>
      </c>
      <c r="CG34" s="370"/>
      <c r="CH34" s="155"/>
      <c r="CI34" s="177"/>
      <c r="CJ34" s="370"/>
      <c r="CK34" s="155">
        <f t="shared" si="46"/>
        <v>150000</v>
      </c>
      <c r="CL34" s="177">
        <v>150000</v>
      </c>
      <c r="CM34" s="370"/>
      <c r="CN34" s="155"/>
      <c r="CO34" s="177"/>
      <c r="CP34" s="370"/>
      <c r="CQ34" s="155">
        <f>CR34+CS34</f>
        <v>100000</v>
      </c>
      <c r="CR34" s="370">
        <v>100000</v>
      </c>
      <c r="CS34" s="370"/>
      <c r="CT34" s="155">
        <v>100000</v>
      </c>
      <c r="CU34" s="155">
        <f t="shared" si="34"/>
        <v>5500000</v>
      </c>
      <c r="CV34" s="370"/>
      <c r="CW34" s="370">
        <v>5500000</v>
      </c>
      <c r="CX34" s="336">
        <f t="shared" si="35"/>
        <v>800000</v>
      </c>
      <c r="CY34" s="370"/>
      <c r="CZ34" s="382">
        <v>800000</v>
      </c>
      <c r="DA34" s="336">
        <f t="shared" si="36"/>
        <v>70000</v>
      </c>
      <c r="DB34" s="370"/>
      <c r="DC34" s="382">
        <v>70000</v>
      </c>
      <c r="DD34" s="155">
        <v>66500</v>
      </c>
      <c r="DE34" s="336">
        <f t="shared" si="37"/>
        <v>2750000</v>
      </c>
      <c r="DF34" s="370">
        <v>1200000</v>
      </c>
      <c r="DG34" s="370"/>
      <c r="DH34" s="382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6">
        <f>+DQ34+DR34</f>
        <v>750000</v>
      </c>
      <c r="DQ34" s="370">
        <v>50000</v>
      </c>
      <c r="DR34" s="382">
        <v>700000</v>
      </c>
      <c r="DS34" s="155"/>
      <c r="DT34" s="155"/>
      <c r="DU34" s="373"/>
      <c r="DV34" s="190">
        <f t="shared" si="42"/>
        <v>18562900</v>
      </c>
      <c r="DW34" s="337">
        <f t="shared" ref="DW34:DW35" si="48">DV34-E34</f>
        <v>0</v>
      </c>
      <c r="DX34" s="338">
        <f>+E34-'Výdaje kapitol celkem'!G34</f>
        <v>-1088907</v>
      </c>
      <c r="DY34" s="369">
        <f t="shared" si="13"/>
        <v>7920000</v>
      </c>
      <c r="EA34" s="322"/>
    </row>
    <row r="35" spans="1:131" ht="13.5" customHeight="1" outlineLevel="1" x14ac:dyDescent="0.25">
      <c r="A35" s="222">
        <v>5171</v>
      </c>
      <c r="B35" s="205" t="s">
        <v>89</v>
      </c>
      <c r="C35" s="369">
        <v>13547480</v>
      </c>
      <c r="D35" s="369">
        <v>13727480</v>
      </c>
      <c r="E35" s="369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6">
        <f t="shared" si="14"/>
        <v>470000</v>
      </c>
      <c r="N35" s="382">
        <v>470000</v>
      </c>
      <c r="O35" s="371"/>
      <c r="P35" s="155"/>
      <c r="Q35" s="381">
        <f t="shared" si="43"/>
        <v>2690000</v>
      </c>
      <c r="R35" s="155">
        <v>60000</v>
      </c>
      <c r="S35" s="155"/>
      <c r="T35" s="155" t="s">
        <v>598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70">
        <v>1110000</v>
      </c>
      <c r="AB35" s="370">
        <v>0</v>
      </c>
      <c r="AC35" s="155">
        <f t="shared" si="16"/>
        <v>1240000</v>
      </c>
      <c r="AD35" s="370">
        <v>1240000</v>
      </c>
      <c r="AE35" s="370"/>
      <c r="AF35" s="155">
        <f t="shared" si="17"/>
        <v>4150000</v>
      </c>
      <c r="AG35" s="370">
        <v>4150000</v>
      </c>
      <c r="AH35" s="370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70">
        <v>100000</v>
      </c>
      <c r="AN35" s="370"/>
      <c r="AO35" s="155">
        <f t="shared" si="19"/>
        <v>700000</v>
      </c>
      <c r="AP35" s="370">
        <v>700000</v>
      </c>
      <c r="AQ35" s="370"/>
      <c r="AR35" s="155">
        <f t="shared" si="47"/>
        <v>280000</v>
      </c>
      <c r="AS35" s="370">
        <v>80000</v>
      </c>
      <c r="AT35" s="370">
        <v>200000</v>
      </c>
      <c r="AU35" s="155">
        <f t="shared" si="45"/>
        <v>0</v>
      </c>
      <c r="AV35" s="370">
        <v>0</v>
      </c>
      <c r="AW35" s="370"/>
      <c r="AX35" s="155">
        <f t="shared" si="22"/>
        <v>0</v>
      </c>
      <c r="AY35" s="370">
        <v>0</v>
      </c>
      <c r="AZ35" s="370"/>
      <c r="BA35" s="155">
        <f t="shared" si="23"/>
        <v>0</v>
      </c>
      <c r="BB35" s="370"/>
      <c r="BC35" s="370"/>
      <c r="BD35" s="155">
        <f t="shared" si="24"/>
        <v>280000</v>
      </c>
      <c r="BE35" s="370">
        <v>280000</v>
      </c>
      <c r="BF35" s="370"/>
      <c r="BG35" s="155">
        <f t="shared" si="25"/>
        <v>370000</v>
      </c>
      <c r="BH35" s="370">
        <v>370000</v>
      </c>
      <c r="BI35" s="370"/>
      <c r="BJ35" s="155">
        <f t="shared" si="26"/>
        <v>270000</v>
      </c>
      <c r="BK35" s="370">
        <v>240000</v>
      </c>
      <c r="BL35" s="370">
        <v>30000</v>
      </c>
      <c r="BM35" s="155">
        <f t="shared" si="27"/>
        <v>1095000</v>
      </c>
      <c r="BN35" s="370">
        <v>1065000</v>
      </c>
      <c r="BO35" s="370">
        <v>30000</v>
      </c>
      <c r="BP35" s="155">
        <f t="shared" si="28"/>
        <v>0</v>
      </c>
      <c r="BQ35" s="370">
        <v>0</v>
      </c>
      <c r="BR35" s="370"/>
      <c r="BS35" s="155">
        <v>50000</v>
      </c>
      <c r="BT35" s="155">
        <f t="shared" si="29"/>
        <v>430000</v>
      </c>
      <c r="BU35" s="370">
        <v>400000</v>
      </c>
      <c r="BV35" s="370">
        <v>30000</v>
      </c>
      <c r="BW35" s="155"/>
      <c r="BX35" s="155">
        <f t="shared" si="30"/>
        <v>950000</v>
      </c>
      <c r="BY35" s="370">
        <v>600000</v>
      </c>
      <c r="BZ35" s="370">
        <v>350000</v>
      </c>
      <c r="CA35" s="155">
        <f t="shared" si="31"/>
        <v>8211480</v>
      </c>
      <c r="CB35" s="177">
        <v>5961480</v>
      </c>
      <c r="CC35" s="370">
        <v>2250000</v>
      </c>
      <c r="CD35" s="155"/>
      <c r="CE35" s="155">
        <f t="shared" si="32"/>
        <v>600000</v>
      </c>
      <c r="CF35" s="177">
        <v>600000</v>
      </c>
      <c r="CG35" s="370"/>
      <c r="CH35" s="208">
        <f>+CJ35+CI35</f>
        <v>2500000</v>
      </c>
      <c r="CI35" s="177">
        <v>2500000</v>
      </c>
      <c r="CJ35" s="370"/>
      <c r="CK35" s="155">
        <f t="shared" si="46"/>
        <v>640000</v>
      </c>
      <c r="CL35" s="177">
        <v>640000</v>
      </c>
      <c r="CM35" s="370"/>
      <c r="CN35" s="208">
        <f>+CP35+CO35</f>
        <v>2500000</v>
      </c>
      <c r="CO35" s="177">
        <v>2500000</v>
      </c>
      <c r="CP35" s="370"/>
      <c r="CQ35" s="155">
        <f t="shared" si="33"/>
        <v>430000</v>
      </c>
      <c r="CR35" s="370">
        <v>430000</v>
      </c>
      <c r="CS35" s="370"/>
      <c r="CT35" s="155"/>
      <c r="CU35" s="155">
        <f t="shared" si="34"/>
        <v>0</v>
      </c>
      <c r="CV35" s="370"/>
      <c r="CW35" s="370"/>
      <c r="CX35" s="155">
        <f t="shared" si="35"/>
        <v>0</v>
      </c>
      <c r="CY35" s="370"/>
      <c r="CZ35" s="370"/>
      <c r="DA35" s="155">
        <f t="shared" si="36"/>
        <v>0</v>
      </c>
      <c r="DB35" s="370"/>
      <c r="DC35" s="370"/>
      <c r="DD35" s="155"/>
      <c r="DE35" s="155">
        <f t="shared" si="37"/>
        <v>0</v>
      </c>
      <c r="DF35" s="370"/>
      <c r="DG35" s="370"/>
      <c r="DH35" s="370"/>
      <c r="DI35" s="155">
        <v>0</v>
      </c>
      <c r="DJ35" s="155"/>
      <c r="DK35" s="155"/>
      <c r="DL35" s="155"/>
      <c r="DM35" s="155"/>
      <c r="DN35" s="155"/>
      <c r="DO35" s="155"/>
      <c r="DP35" s="155"/>
      <c r="DQ35" s="370"/>
      <c r="DR35" s="370"/>
      <c r="DS35" s="155"/>
      <c r="DT35" s="155"/>
      <c r="DU35" s="373"/>
      <c r="DV35" s="190" t="e">
        <f t="shared" si="42"/>
        <v>#VALUE!</v>
      </c>
      <c r="DW35" s="337" t="e">
        <f t="shared" si="48"/>
        <v>#VALUE!</v>
      </c>
      <c r="DX35" s="338">
        <f>+E35-'Výdaje kapitol celkem'!G35</f>
        <v>-12572628</v>
      </c>
      <c r="DY35" s="369">
        <f>+O35+AB35+AE35++AH35+AN35+AQ35+AZ35+BF35+BI35+BL35+BO35+BR35+BV35+BZ35+CC35+CG35+CS35+CW35+CZ35+DC35+DH35+CJ35+CP35</f>
        <v>2690000</v>
      </c>
      <c r="EA35" s="322"/>
    </row>
    <row r="36" spans="1:131" ht="13.5" customHeight="1" outlineLevel="1" x14ac:dyDescent="0.25">
      <c r="A36" s="222">
        <v>5172</v>
      </c>
      <c r="B36" s="205" t="s">
        <v>90</v>
      </c>
      <c r="C36" s="369">
        <v>2971000</v>
      </c>
      <c r="D36" s="369">
        <v>2971000</v>
      </c>
      <c r="E36" s="369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0">
        <v>3050000</v>
      </c>
      <c r="O36" s="371"/>
      <c r="P36" s="155"/>
      <c r="Q36" s="380">
        <f t="shared" si="43"/>
        <v>0</v>
      </c>
      <c r="R36" s="155">
        <v>10000</v>
      </c>
      <c r="S36" s="155"/>
      <c r="T36" s="155" t="s">
        <v>598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70"/>
      <c r="AB36" s="370"/>
      <c r="AC36" s="155">
        <f t="shared" si="16"/>
        <v>0</v>
      </c>
      <c r="AD36" s="370"/>
      <c r="AE36" s="370"/>
      <c r="AF36" s="155">
        <f t="shared" si="17"/>
        <v>0</v>
      </c>
      <c r="AG36" s="370"/>
      <c r="AH36" s="370"/>
      <c r="AI36" s="155">
        <v>30000</v>
      </c>
      <c r="AJ36" s="155"/>
      <c r="AK36" s="155"/>
      <c r="AL36" s="155">
        <f t="shared" si="18"/>
        <v>0</v>
      </c>
      <c r="AM36" s="370"/>
      <c r="AN36" s="370"/>
      <c r="AO36" s="155">
        <f t="shared" si="19"/>
        <v>0</v>
      </c>
      <c r="AP36" s="370"/>
      <c r="AQ36" s="370"/>
      <c r="AR36" s="155">
        <f t="shared" si="47"/>
        <v>0</v>
      </c>
      <c r="AS36" s="370"/>
      <c r="AT36" s="370"/>
      <c r="AU36" s="155">
        <f t="shared" si="45"/>
        <v>0</v>
      </c>
      <c r="AV36" s="370"/>
      <c r="AW36" s="370"/>
      <c r="AX36" s="155">
        <f t="shared" si="22"/>
        <v>0</v>
      </c>
      <c r="AY36" s="370"/>
      <c r="AZ36" s="370"/>
      <c r="BA36" s="155">
        <f t="shared" si="23"/>
        <v>0</v>
      </c>
      <c r="BB36" s="370"/>
      <c r="BC36" s="370"/>
      <c r="BD36" s="155">
        <f t="shared" si="24"/>
        <v>0</v>
      </c>
      <c r="BE36" s="370"/>
      <c r="BF36" s="370"/>
      <c r="BG36" s="155">
        <f t="shared" si="25"/>
        <v>0</v>
      </c>
      <c r="BH36" s="370"/>
      <c r="BI36" s="370"/>
      <c r="BJ36" s="155">
        <f t="shared" si="26"/>
        <v>0</v>
      </c>
      <c r="BK36" s="370"/>
      <c r="BL36" s="370"/>
      <c r="BM36" s="155">
        <f t="shared" si="27"/>
        <v>0</v>
      </c>
      <c r="BN36" s="370"/>
      <c r="BO36" s="370"/>
      <c r="BP36" s="155">
        <f t="shared" si="28"/>
        <v>0</v>
      </c>
      <c r="BQ36" s="370"/>
      <c r="BR36" s="370"/>
      <c r="BS36" s="155"/>
      <c r="BT36" s="155">
        <f t="shared" si="29"/>
        <v>0</v>
      </c>
      <c r="BU36" s="370"/>
      <c r="BV36" s="370"/>
      <c r="BW36" s="155"/>
      <c r="BX36" s="155">
        <f t="shared" si="30"/>
        <v>0</v>
      </c>
      <c r="BY36" s="370"/>
      <c r="BZ36" s="370"/>
      <c r="CA36" s="155">
        <f t="shared" si="31"/>
        <v>0</v>
      </c>
      <c r="CB36" s="370"/>
      <c r="CC36" s="370"/>
      <c r="CD36" s="155"/>
      <c r="CE36" s="155">
        <f t="shared" si="32"/>
        <v>0</v>
      </c>
      <c r="CF36" s="370"/>
      <c r="CG36" s="370"/>
      <c r="CH36" s="155"/>
      <c r="CI36" s="370"/>
      <c r="CJ36" s="370"/>
      <c r="CK36" s="155">
        <f t="shared" si="46"/>
        <v>0</v>
      </c>
      <c r="CL36" s="370"/>
      <c r="CM36" s="370"/>
      <c r="CN36" s="155"/>
      <c r="CO36" s="370"/>
      <c r="CP36" s="370"/>
      <c r="CQ36" s="155">
        <f t="shared" si="33"/>
        <v>0</v>
      </c>
      <c r="CR36" s="370"/>
      <c r="CS36" s="370"/>
      <c r="CT36" s="155"/>
      <c r="CU36" s="155">
        <f t="shared" si="34"/>
        <v>0</v>
      </c>
      <c r="CV36" s="370"/>
      <c r="CW36" s="370"/>
      <c r="CX36" s="155">
        <f t="shared" si="35"/>
        <v>0</v>
      </c>
      <c r="CY36" s="370"/>
      <c r="CZ36" s="370"/>
      <c r="DA36" s="155">
        <f t="shared" si="36"/>
        <v>0</v>
      </c>
      <c r="DB36" s="370"/>
      <c r="DC36" s="370"/>
      <c r="DD36" s="155"/>
      <c r="DE36" s="155">
        <f t="shared" si="37"/>
        <v>0</v>
      </c>
      <c r="DF36" s="370"/>
      <c r="DG36" s="370"/>
      <c r="DH36" s="370"/>
      <c r="DI36" s="155"/>
      <c r="DJ36" s="155"/>
      <c r="DK36" s="155"/>
      <c r="DL36" s="155"/>
      <c r="DM36" s="155"/>
      <c r="DN36" s="155"/>
      <c r="DO36" s="155"/>
      <c r="DP36" s="155"/>
      <c r="DQ36" s="370"/>
      <c r="DR36" s="370"/>
      <c r="DS36" s="155"/>
      <c r="DT36" s="155"/>
      <c r="DU36" s="373"/>
      <c r="DV36" s="190" t="e">
        <f t="shared" si="42"/>
        <v>#VALUE!</v>
      </c>
      <c r="DW36" s="337" t="e">
        <f t="shared" si="12"/>
        <v>#VALUE!</v>
      </c>
      <c r="DX36" s="338">
        <f>+E36-'Výdaje kapitol celkem'!G36</f>
        <v>-257000</v>
      </c>
      <c r="DY36" s="369">
        <f t="shared" si="13"/>
        <v>0</v>
      </c>
      <c r="EA36" s="322"/>
    </row>
    <row r="37" spans="1:131" ht="13.5" customHeight="1" outlineLevel="1" x14ac:dyDescent="0.25">
      <c r="A37" s="222">
        <v>5173</v>
      </c>
      <c r="B37" s="205" t="s">
        <v>91</v>
      </c>
      <c r="C37" s="369">
        <v>62000</v>
      </c>
      <c r="D37" s="369">
        <v>62000</v>
      </c>
      <c r="E37" s="369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70">
        <v>30000</v>
      </c>
      <c r="O37" s="371"/>
      <c r="P37" s="155"/>
      <c r="Q37" s="380">
        <f t="shared" si="43"/>
        <v>0</v>
      </c>
      <c r="R37" s="155">
        <v>1000</v>
      </c>
      <c r="S37" s="155"/>
      <c r="T37" s="155" t="s">
        <v>598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70"/>
      <c r="AB37" s="370"/>
      <c r="AC37" s="155">
        <f t="shared" si="16"/>
        <v>0</v>
      </c>
      <c r="AD37" s="370"/>
      <c r="AE37" s="370"/>
      <c r="AF37" s="155">
        <f t="shared" si="17"/>
        <v>0</v>
      </c>
      <c r="AG37" s="370"/>
      <c r="AH37" s="370"/>
      <c r="AI37" s="155"/>
      <c r="AJ37" s="155"/>
      <c r="AK37" s="155"/>
      <c r="AL37" s="155">
        <f t="shared" si="18"/>
        <v>0</v>
      </c>
      <c r="AM37" s="370"/>
      <c r="AN37" s="370"/>
      <c r="AO37" s="155">
        <f t="shared" si="19"/>
        <v>0</v>
      </c>
      <c r="AP37" s="370"/>
      <c r="AQ37" s="370"/>
      <c r="AR37" s="155">
        <f t="shared" si="47"/>
        <v>0</v>
      </c>
      <c r="AS37" s="370"/>
      <c r="AT37" s="370"/>
      <c r="AU37" s="155">
        <f t="shared" si="45"/>
        <v>0</v>
      </c>
      <c r="AV37" s="370"/>
      <c r="AW37" s="370"/>
      <c r="AX37" s="155">
        <f t="shared" si="22"/>
        <v>0</v>
      </c>
      <c r="AY37" s="370"/>
      <c r="AZ37" s="370"/>
      <c r="BA37" s="155">
        <f t="shared" si="23"/>
        <v>0</v>
      </c>
      <c r="BB37" s="370"/>
      <c r="BC37" s="370"/>
      <c r="BD37" s="155">
        <f t="shared" si="24"/>
        <v>0</v>
      </c>
      <c r="BE37" s="370"/>
      <c r="BF37" s="370"/>
      <c r="BG37" s="155">
        <f t="shared" si="25"/>
        <v>0</v>
      </c>
      <c r="BH37" s="370"/>
      <c r="BI37" s="370"/>
      <c r="BJ37" s="155">
        <f t="shared" si="26"/>
        <v>0</v>
      </c>
      <c r="BK37" s="370"/>
      <c r="BL37" s="370"/>
      <c r="BM37" s="155">
        <f t="shared" si="27"/>
        <v>0</v>
      </c>
      <c r="BN37" s="370"/>
      <c r="BO37" s="370"/>
      <c r="BP37" s="155">
        <f t="shared" si="28"/>
        <v>0</v>
      </c>
      <c r="BQ37" s="370"/>
      <c r="BR37" s="370"/>
      <c r="BS37" s="155"/>
      <c r="BT37" s="155">
        <f t="shared" si="29"/>
        <v>0</v>
      </c>
      <c r="BU37" s="370"/>
      <c r="BV37" s="370"/>
      <c r="BW37" s="155"/>
      <c r="BX37" s="155">
        <f t="shared" si="30"/>
        <v>0</v>
      </c>
      <c r="BY37" s="370"/>
      <c r="BZ37" s="370"/>
      <c r="CA37" s="155">
        <f t="shared" si="31"/>
        <v>0</v>
      </c>
      <c r="CB37" s="370"/>
      <c r="CC37" s="370"/>
      <c r="CD37" s="155"/>
      <c r="CE37" s="155">
        <f t="shared" si="32"/>
        <v>0</v>
      </c>
      <c r="CF37" s="370"/>
      <c r="CG37" s="370"/>
      <c r="CH37" s="155"/>
      <c r="CI37" s="370"/>
      <c r="CJ37" s="370"/>
      <c r="CK37" s="155">
        <f t="shared" si="46"/>
        <v>0</v>
      </c>
      <c r="CL37" s="370"/>
      <c r="CM37" s="370"/>
      <c r="CN37" s="155"/>
      <c r="CO37" s="370"/>
      <c r="CP37" s="370"/>
      <c r="CQ37" s="155">
        <f t="shared" si="33"/>
        <v>0</v>
      </c>
      <c r="CR37" s="370"/>
      <c r="CS37" s="370"/>
      <c r="CT37" s="155"/>
      <c r="CU37" s="155">
        <f t="shared" si="34"/>
        <v>0</v>
      </c>
      <c r="CV37" s="370"/>
      <c r="CW37" s="370"/>
      <c r="CX37" s="155">
        <f t="shared" si="35"/>
        <v>0</v>
      </c>
      <c r="CY37" s="370"/>
      <c r="CZ37" s="370"/>
      <c r="DA37" s="155">
        <f t="shared" si="36"/>
        <v>0</v>
      </c>
      <c r="DB37" s="370"/>
      <c r="DC37" s="370"/>
      <c r="DD37" s="155"/>
      <c r="DE37" s="155">
        <f t="shared" si="37"/>
        <v>0</v>
      </c>
      <c r="DF37" s="370"/>
      <c r="DG37" s="370"/>
      <c r="DH37" s="370"/>
      <c r="DI37" s="155"/>
      <c r="DJ37" s="155"/>
      <c r="DK37" s="155"/>
      <c r="DL37" s="155"/>
      <c r="DM37" s="155"/>
      <c r="DN37" s="155"/>
      <c r="DO37" s="155"/>
      <c r="DP37" s="155"/>
      <c r="DQ37" s="370"/>
      <c r="DR37" s="370"/>
      <c r="DS37" s="155"/>
      <c r="DT37" s="155"/>
      <c r="DU37" s="373"/>
      <c r="DV37" s="190" t="e">
        <f t="shared" si="42"/>
        <v>#VALUE!</v>
      </c>
      <c r="DW37" s="337" t="e">
        <f t="shared" si="12"/>
        <v>#VALUE!</v>
      </c>
      <c r="DX37" s="338">
        <f>+E37-'Výdaje kapitol celkem'!G37</f>
        <v>-10000</v>
      </c>
      <c r="DY37" s="369">
        <f t="shared" si="13"/>
        <v>0</v>
      </c>
      <c r="EA37" s="322"/>
    </row>
    <row r="38" spans="1:131" ht="13.5" customHeight="1" outlineLevel="1" x14ac:dyDescent="0.25">
      <c r="A38" s="222">
        <v>5175</v>
      </c>
      <c r="B38" s="205" t="s">
        <v>92</v>
      </c>
      <c r="C38" s="369">
        <v>406000</v>
      </c>
      <c r="D38" s="369">
        <v>406000</v>
      </c>
      <c r="E38" s="369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70">
        <v>150000</v>
      </c>
      <c r="O38" s="371"/>
      <c r="P38" s="155"/>
      <c r="Q38" s="380">
        <f t="shared" si="43"/>
        <v>0</v>
      </c>
      <c r="R38" s="155">
        <v>12000</v>
      </c>
      <c r="S38" s="155"/>
      <c r="T38" s="155" t="s">
        <v>598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70"/>
      <c r="AB38" s="370"/>
      <c r="AC38" s="155">
        <f t="shared" si="16"/>
        <v>0</v>
      </c>
      <c r="AD38" s="370"/>
      <c r="AE38" s="370"/>
      <c r="AF38" s="155">
        <f t="shared" si="17"/>
        <v>0</v>
      </c>
      <c r="AG38" s="370"/>
      <c r="AH38" s="370"/>
      <c r="AI38" s="155">
        <v>10000</v>
      </c>
      <c r="AJ38" s="155"/>
      <c r="AK38" s="155"/>
      <c r="AL38" s="155">
        <f t="shared" si="18"/>
        <v>0</v>
      </c>
      <c r="AM38" s="370"/>
      <c r="AN38" s="370"/>
      <c r="AO38" s="155">
        <f t="shared" si="19"/>
        <v>0</v>
      </c>
      <c r="AP38" s="370"/>
      <c r="AQ38" s="370"/>
      <c r="AR38" s="155">
        <f t="shared" si="47"/>
        <v>0</v>
      </c>
      <c r="AS38" s="370"/>
      <c r="AT38" s="370"/>
      <c r="AU38" s="155">
        <f t="shared" si="45"/>
        <v>0</v>
      </c>
      <c r="AV38" s="370"/>
      <c r="AW38" s="370"/>
      <c r="AX38" s="155">
        <f t="shared" si="22"/>
        <v>0</v>
      </c>
      <c r="AY38" s="370"/>
      <c r="AZ38" s="370"/>
      <c r="BA38" s="155">
        <f t="shared" si="23"/>
        <v>0</v>
      </c>
      <c r="BB38" s="370"/>
      <c r="BC38" s="370"/>
      <c r="BD38" s="155">
        <f t="shared" si="24"/>
        <v>0</v>
      </c>
      <c r="BE38" s="370">
        <v>0</v>
      </c>
      <c r="BF38" s="370"/>
      <c r="BG38" s="155">
        <f t="shared" si="25"/>
        <v>0</v>
      </c>
      <c r="BH38" s="370"/>
      <c r="BI38" s="370"/>
      <c r="BJ38" s="155">
        <f t="shared" si="26"/>
        <v>0</v>
      </c>
      <c r="BK38" s="370"/>
      <c r="BL38" s="370"/>
      <c r="BM38" s="155">
        <f t="shared" si="27"/>
        <v>0</v>
      </c>
      <c r="BN38" s="370"/>
      <c r="BO38" s="370"/>
      <c r="BP38" s="155">
        <f t="shared" si="28"/>
        <v>0</v>
      </c>
      <c r="BQ38" s="370"/>
      <c r="BR38" s="370"/>
      <c r="BS38" s="155"/>
      <c r="BT38" s="155">
        <f t="shared" si="29"/>
        <v>0</v>
      </c>
      <c r="BU38" s="370"/>
      <c r="BV38" s="370"/>
      <c r="BW38" s="155"/>
      <c r="BX38" s="155">
        <f t="shared" si="30"/>
        <v>0</v>
      </c>
      <c r="BY38" s="370"/>
      <c r="BZ38" s="370"/>
      <c r="CA38" s="155">
        <f t="shared" si="31"/>
        <v>0</v>
      </c>
      <c r="CB38" s="370"/>
      <c r="CC38" s="370"/>
      <c r="CD38" s="155"/>
      <c r="CE38" s="155">
        <f t="shared" si="32"/>
        <v>0</v>
      </c>
      <c r="CF38" s="370"/>
      <c r="CG38" s="370"/>
      <c r="CH38" s="155"/>
      <c r="CI38" s="370"/>
      <c r="CJ38" s="370"/>
      <c r="CK38" s="155">
        <f t="shared" si="46"/>
        <v>0</v>
      </c>
      <c r="CL38" s="370"/>
      <c r="CM38" s="370"/>
      <c r="CN38" s="155"/>
      <c r="CO38" s="370"/>
      <c r="CP38" s="370"/>
      <c r="CQ38" s="155">
        <f t="shared" si="33"/>
        <v>0</v>
      </c>
      <c r="CR38" s="370"/>
      <c r="CS38" s="370"/>
      <c r="CT38" s="155"/>
      <c r="CU38" s="155">
        <f t="shared" si="34"/>
        <v>0</v>
      </c>
      <c r="CV38" s="370"/>
      <c r="CW38" s="370"/>
      <c r="CX38" s="155">
        <f t="shared" si="35"/>
        <v>0</v>
      </c>
      <c r="CY38" s="370"/>
      <c r="CZ38" s="370"/>
      <c r="DA38" s="155">
        <f t="shared" si="36"/>
        <v>0</v>
      </c>
      <c r="DB38" s="370"/>
      <c r="DC38" s="370"/>
      <c r="DD38" s="155"/>
      <c r="DE38" s="155">
        <f t="shared" si="37"/>
        <v>0</v>
      </c>
      <c r="DF38" s="370"/>
      <c r="DG38" s="370"/>
      <c r="DH38" s="370"/>
      <c r="DI38" s="155"/>
      <c r="DJ38" s="155"/>
      <c r="DK38" s="155"/>
      <c r="DL38" s="155"/>
      <c r="DM38" s="155"/>
      <c r="DN38" s="155"/>
      <c r="DO38" s="155"/>
      <c r="DP38" s="155"/>
      <c r="DQ38" s="370"/>
      <c r="DR38" s="370"/>
      <c r="DS38" s="155"/>
      <c r="DT38" s="155"/>
      <c r="DU38" s="373"/>
      <c r="DV38" s="190" t="e">
        <f t="shared" si="42"/>
        <v>#VALUE!</v>
      </c>
      <c r="DW38" s="337" t="e">
        <f t="shared" si="12"/>
        <v>#VALUE!</v>
      </c>
      <c r="DX38" s="338">
        <f>+E38-'Výdaje kapitol celkem'!G38</f>
        <v>-35822</v>
      </c>
      <c r="DY38" s="369">
        <f t="shared" si="13"/>
        <v>0</v>
      </c>
      <c r="EA38" s="322"/>
    </row>
    <row r="39" spans="1:131" ht="13.5" hidden="1" customHeight="1" outlineLevel="1" x14ac:dyDescent="0.25">
      <c r="A39" s="222">
        <v>5179</v>
      </c>
      <c r="B39" s="205" t="s">
        <v>93</v>
      </c>
      <c r="C39" s="369">
        <v>0</v>
      </c>
      <c r="D39" s="369">
        <v>0</v>
      </c>
      <c r="E39" s="369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0">
        <v>0</v>
      </c>
      <c r="O39" s="371"/>
      <c r="P39" s="155"/>
      <c r="Q39" s="380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0"/>
      <c r="AB39" s="370"/>
      <c r="AC39" s="155">
        <f t="shared" si="16"/>
        <v>0</v>
      </c>
      <c r="AD39" s="370"/>
      <c r="AE39" s="370"/>
      <c r="AF39" s="155">
        <f t="shared" si="17"/>
        <v>0</v>
      </c>
      <c r="AG39" s="370"/>
      <c r="AH39" s="370"/>
      <c r="AI39" s="155"/>
      <c r="AJ39" s="155"/>
      <c r="AK39" s="155"/>
      <c r="AL39" s="155">
        <f t="shared" si="18"/>
        <v>0</v>
      </c>
      <c r="AM39" s="370"/>
      <c r="AN39" s="370"/>
      <c r="AO39" s="155">
        <f t="shared" si="19"/>
        <v>0</v>
      </c>
      <c r="AP39" s="370"/>
      <c r="AQ39" s="370"/>
      <c r="AR39" s="155">
        <f t="shared" si="47"/>
        <v>0</v>
      </c>
      <c r="AS39" s="370"/>
      <c r="AT39" s="370"/>
      <c r="AU39" s="155">
        <f t="shared" si="45"/>
        <v>0</v>
      </c>
      <c r="AV39" s="370"/>
      <c r="AW39" s="370"/>
      <c r="AX39" s="155">
        <f t="shared" si="22"/>
        <v>0</v>
      </c>
      <c r="AY39" s="370"/>
      <c r="AZ39" s="370"/>
      <c r="BA39" s="155">
        <f t="shared" si="23"/>
        <v>0</v>
      </c>
      <c r="BB39" s="370"/>
      <c r="BC39" s="370"/>
      <c r="BD39" s="155">
        <f t="shared" si="24"/>
        <v>0</v>
      </c>
      <c r="BE39" s="370"/>
      <c r="BF39" s="370"/>
      <c r="BG39" s="155">
        <f t="shared" si="25"/>
        <v>0</v>
      </c>
      <c r="BH39" s="370"/>
      <c r="BI39" s="370"/>
      <c r="BJ39" s="155">
        <f t="shared" si="26"/>
        <v>0</v>
      </c>
      <c r="BK39" s="370"/>
      <c r="BL39" s="370"/>
      <c r="BM39" s="155">
        <f t="shared" si="27"/>
        <v>0</v>
      </c>
      <c r="BN39" s="370"/>
      <c r="BO39" s="370"/>
      <c r="BP39" s="155">
        <f t="shared" si="28"/>
        <v>0</v>
      </c>
      <c r="BQ39" s="370"/>
      <c r="BR39" s="370"/>
      <c r="BS39" s="155"/>
      <c r="BT39" s="155">
        <f t="shared" si="29"/>
        <v>0</v>
      </c>
      <c r="BU39" s="370"/>
      <c r="BV39" s="370"/>
      <c r="BW39" s="155"/>
      <c r="BX39" s="155">
        <f t="shared" si="30"/>
        <v>0</v>
      </c>
      <c r="BY39" s="370"/>
      <c r="BZ39" s="370"/>
      <c r="CA39" s="155">
        <f t="shared" si="31"/>
        <v>0</v>
      </c>
      <c r="CB39" s="370"/>
      <c r="CC39" s="370"/>
      <c r="CD39" s="155"/>
      <c r="CE39" s="155">
        <f t="shared" si="32"/>
        <v>0</v>
      </c>
      <c r="CF39" s="370"/>
      <c r="CG39" s="370"/>
      <c r="CH39" s="155"/>
      <c r="CI39" s="370"/>
      <c r="CJ39" s="370"/>
      <c r="CK39" s="155">
        <f t="shared" si="46"/>
        <v>0</v>
      </c>
      <c r="CL39" s="370"/>
      <c r="CM39" s="370"/>
      <c r="CN39" s="155"/>
      <c r="CO39" s="370"/>
      <c r="CP39" s="370"/>
      <c r="CQ39" s="155">
        <f t="shared" si="33"/>
        <v>0</v>
      </c>
      <c r="CR39" s="370"/>
      <c r="CS39" s="370"/>
      <c r="CT39" s="155"/>
      <c r="CU39" s="155">
        <f t="shared" si="34"/>
        <v>0</v>
      </c>
      <c r="CV39" s="370"/>
      <c r="CW39" s="370"/>
      <c r="CX39" s="155">
        <f t="shared" si="35"/>
        <v>0</v>
      </c>
      <c r="CY39" s="370"/>
      <c r="CZ39" s="370"/>
      <c r="DA39" s="155">
        <f t="shared" si="36"/>
        <v>0</v>
      </c>
      <c r="DB39" s="370"/>
      <c r="DC39" s="370"/>
      <c r="DD39" s="155"/>
      <c r="DE39" s="155">
        <f t="shared" si="37"/>
        <v>0</v>
      </c>
      <c r="DF39" s="370"/>
      <c r="DG39" s="370"/>
      <c r="DH39" s="370"/>
      <c r="DI39" s="155"/>
      <c r="DJ39" s="155"/>
      <c r="DK39" s="155"/>
      <c r="DL39" s="155"/>
      <c r="DM39" s="155"/>
      <c r="DN39" s="155"/>
      <c r="DO39" s="155"/>
      <c r="DP39" s="155"/>
      <c r="DQ39" s="370"/>
      <c r="DR39" s="370"/>
      <c r="DS39" s="155"/>
      <c r="DT39" s="155"/>
      <c r="DU39" s="373"/>
      <c r="DV39" s="190">
        <f t="shared" si="42"/>
        <v>0</v>
      </c>
      <c r="DW39" s="337">
        <f t="shared" si="12"/>
        <v>0</v>
      </c>
      <c r="DX39" s="338">
        <f>+E39-'Výdaje kapitol celkem'!G39</f>
        <v>0</v>
      </c>
      <c r="DY39" s="369">
        <f>+O39+AB39+AE39++AH39+AN39+AQ39+AZ39+BF39+BI39+BL39+BO39+BR39+BV39+BZ39+CC39+CG39+CS39+CW39+CZ39+DC39+DH39</f>
        <v>0</v>
      </c>
      <c r="EA39" s="322"/>
    </row>
    <row r="40" spans="1:131" ht="13.5" hidden="1" customHeight="1" outlineLevel="1" x14ac:dyDescent="0.25">
      <c r="A40" s="222">
        <v>5192</v>
      </c>
      <c r="B40" s="205" t="s">
        <v>357</v>
      </c>
      <c r="C40" s="369">
        <v>0</v>
      </c>
      <c r="D40" s="369">
        <v>0</v>
      </c>
      <c r="E40" s="369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0"/>
      <c r="O40" s="371"/>
      <c r="P40" s="155"/>
      <c r="Q40" s="380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0"/>
      <c r="AB40" s="370"/>
      <c r="AC40" s="155">
        <f t="shared" si="16"/>
        <v>0</v>
      </c>
      <c r="AD40" s="370"/>
      <c r="AE40" s="370"/>
      <c r="AF40" s="155">
        <f t="shared" si="17"/>
        <v>0</v>
      </c>
      <c r="AG40" s="370"/>
      <c r="AH40" s="370"/>
      <c r="AI40" s="155"/>
      <c r="AJ40" s="155"/>
      <c r="AK40" s="155"/>
      <c r="AL40" s="155">
        <f t="shared" si="18"/>
        <v>0</v>
      </c>
      <c r="AM40" s="370"/>
      <c r="AN40" s="370"/>
      <c r="AO40" s="155">
        <f t="shared" si="19"/>
        <v>0</v>
      </c>
      <c r="AP40" s="370"/>
      <c r="AQ40" s="370"/>
      <c r="AR40" s="155">
        <f t="shared" si="47"/>
        <v>0</v>
      </c>
      <c r="AS40" s="370"/>
      <c r="AT40" s="370"/>
      <c r="AU40" s="155">
        <f t="shared" si="45"/>
        <v>0</v>
      </c>
      <c r="AV40" s="370"/>
      <c r="AW40" s="370"/>
      <c r="AX40" s="155">
        <f t="shared" si="22"/>
        <v>0</v>
      </c>
      <c r="AY40" s="370"/>
      <c r="AZ40" s="370"/>
      <c r="BA40" s="155">
        <f t="shared" si="23"/>
        <v>0</v>
      </c>
      <c r="BB40" s="370"/>
      <c r="BC40" s="370"/>
      <c r="BD40" s="155">
        <f t="shared" si="24"/>
        <v>0</v>
      </c>
      <c r="BE40" s="370"/>
      <c r="BF40" s="370"/>
      <c r="BG40" s="155">
        <f t="shared" si="25"/>
        <v>0</v>
      </c>
      <c r="BH40" s="370"/>
      <c r="BI40" s="370"/>
      <c r="BJ40" s="155">
        <f t="shared" si="26"/>
        <v>0</v>
      </c>
      <c r="BK40" s="370"/>
      <c r="BL40" s="370"/>
      <c r="BM40" s="155">
        <f t="shared" si="27"/>
        <v>0</v>
      </c>
      <c r="BN40" s="370"/>
      <c r="BO40" s="370"/>
      <c r="BP40" s="155">
        <f t="shared" si="28"/>
        <v>0</v>
      </c>
      <c r="BQ40" s="370"/>
      <c r="BR40" s="370"/>
      <c r="BS40" s="155"/>
      <c r="BT40" s="155">
        <f t="shared" si="29"/>
        <v>0</v>
      </c>
      <c r="BU40" s="370"/>
      <c r="BV40" s="370"/>
      <c r="BW40" s="155"/>
      <c r="BX40" s="155">
        <f t="shared" si="30"/>
        <v>0</v>
      </c>
      <c r="BY40" s="370"/>
      <c r="BZ40" s="370"/>
      <c r="CA40" s="155">
        <f t="shared" si="31"/>
        <v>0</v>
      </c>
      <c r="CB40" s="370"/>
      <c r="CC40" s="370"/>
      <c r="CD40" s="155"/>
      <c r="CE40" s="155">
        <f t="shared" si="32"/>
        <v>0</v>
      </c>
      <c r="CF40" s="370"/>
      <c r="CG40" s="370"/>
      <c r="CH40" s="155"/>
      <c r="CI40" s="370"/>
      <c r="CJ40" s="370"/>
      <c r="CK40" s="155">
        <f t="shared" si="46"/>
        <v>0</v>
      </c>
      <c r="CL40" s="370"/>
      <c r="CM40" s="370"/>
      <c r="CN40" s="155"/>
      <c r="CO40" s="370"/>
      <c r="CP40" s="370"/>
      <c r="CQ40" s="155">
        <f t="shared" si="33"/>
        <v>0</v>
      </c>
      <c r="CR40" s="370"/>
      <c r="CS40" s="370"/>
      <c r="CT40" s="155"/>
      <c r="CU40" s="155">
        <f t="shared" si="34"/>
        <v>0</v>
      </c>
      <c r="CV40" s="370"/>
      <c r="CW40" s="370"/>
      <c r="CX40" s="155">
        <f t="shared" si="35"/>
        <v>0</v>
      </c>
      <c r="CY40" s="370"/>
      <c r="CZ40" s="370"/>
      <c r="DA40" s="155">
        <f t="shared" si="36"/>
        <v>0</v>
      </c>
      <c r="DB40" s="370"/>
      <c r="DC40" s="370"/>
      <c r="DD40" s="155"/>
      <c r="DE40" s="155">
        <f t="shared" si="37"/>
        <v>0</v>
      </c>
      <c r="DF40" s="370"/>
      <c r="DG40" s="370"/>
      <c r="DH40" s="370"/>
      <c r="DI40" s="155"/>
      <c r="DJ40" s="155"/>
      <c r="DK40" s="155"/>
      <c r="DL40" s="155"/>
      <c r="DM40" s="155"/>
      <c r="DN40" s="155"/>
      <c r="DO40" s="155"/>
      <c r="DP40" s="155"/>
      <c r="DQ40" s="370"/>
      <c r="DR40" s="370"/>
      <c r="DS40" s="155"/>
      <c r="DT40" s="155"/>
      <c r="DU40" s="373"/>
      <c r="DV40" s="190">
        <f t="shared" si="42"/>
        <v>0</v>
      </c>
      <c r="DW40" s="337">
        <f t="shared" si="12"/>
        <v>0</v>
      </c>
      <c r="DX40" s="338">
        <f>+E40-'Výdaje kapitol celkem'!G40</f>
        <v>0</v>
      </c>
      <c r="DY40" s="369">
        <f t="shared" si="13"/>
        <v>0</v>
      </c>
      <c r="EA40" s="322"/>
    </row>
    <row r="41" spans="1:131" ht="13.5" customHeight="1" outlineLevel="1" x14ac:dyDescent="0.25">
      <c r="A41" s="222">
        <v>5213</v>
      </c>
      <c r="B41" s="205" t="s">
        <v>94</v>
      </c>
      <c r="C41" s="369">
        <v>2000000</v>
      </c>
      <c r="D41" s="369">
        <v>2978575</v>
      </c>
      <c r="E41" s="369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0"/>
      <c r="O41" s="371"/>
      <c r="P41" s="155"/>
      <c r="Q41" s="380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0"/>
      <c r="AB41" s="370"/>
      <c r="AC41" s="155">
        <f t="shared" si="16"/>
        <v>0</v>
      </c>
      <c r="AD41" s="370"/>
      <c r="AE41" s="370"/>
      <c r="AF41" s="155">
        <f t="shared" si="17"/>
        <v>0</v>
      </c>
      <c r="AG41" s="370"/>
      <c r="AH41" s="370"/>
      <c r="AI41" s="155"/>
      <c r="AJ41" s="155"/>
      <c r="AK41" s="155"/>
      <c r="AL41" s="155">
        <f t="shared" si="18"/>
        <v>0</v>
      </c>
      <c r="AM41" s="370"/>
      <c r="AN41" s="370"/>
      <c r="AO41" s="155">
        <f t="shared" si="19"/>
        <v>0</v>
      </c>
      <c r="AP41" s="370"/>
      <c r="AQ41" s="370"/>
      <c r="AR41" s="155">
        <f t="shared" si="47"/>
        <v>0</v>
      </c>
      <c r="AS41" s="370"/>
      <c r="AT41" s="370"/>
      <c r="AU41" s="155">
        <f t="shared" si="45"/>
        <v>0</v>
      </c>
      <c r="AV41" s="370"/>
      <c r="AW41" s="370"/>
      <c r="AX41" s="155">
        <f t="shared" si="22"/>
        <v>0</v>
      </c>
      <c r="AY41" s="370"/>
      <c r="AZ41" s="370"/>
      <c r="BA41" s="155">
        <f t="shared" si="23"/>
        <v>0</v>
      </c>
      <c r="BB41" s="370"/>
      <c r="BC41" s="370"/>
      <c r="BD41" s="155">
        <f t="shared" si="24"/>
        <v>0</v>
      </c>
      <c r="BE41" s="370"/>
      <c r="BF41" s="370"/>
      <c r="BG41" s="155">
        <f t="shared" si="25"/>
        <v>0</v>
      </c>
      <c r="BH41" s="370"/>
      <c r="BI41" s="370"/>
      <c r="BJ41" s="155">
        <f t="shared" si="26"/>
        <v>0</v>
      </c>
      <c r="BK41" s="370"/>
      <c r="BL41" s="370"/>
      <c r="BM41" s="155">
        <f t="shared" si="27"/>
        <v>0</v>
      </c>
      <c r="BN41" s="370"/>
      <c r="BO41" s="370"/>
      <c r="BP41" s="155">
        <f t="shared" si="28"/>
        <v>0</v>
      </c>
      <c r="BQ41" s="370"/>
      <c r="BR41" s="370"/>
      <c r="BS41" s="155"/>
      <c r="BT41" s="155">
        <f t="shared" si="29"/>
        <v>0</v>
      </c>
      <c r="BU41" s="370"/>
      <c r="BV41" s="370"/>
      <c r="BW41" s="155"/>
      <c r="BX41" s="155">
        <f t="shared" si="30"/>
        <v>0</v>
      </c>
      <c r="BY41" s="370"/>
      <c r="BZ41" s="370"/>
      <c r="CA41" s="155">
        <f t="shared" si="31"/>
        <v>0</v>
      </c>
      <c r="CB41" s="370"/>
      <c r="CC41" s="370"/>
      <c r="CD41" s="155">
        <v>2978575</v>
      </c>
      <c r="CE41" s="155">
        <f t="shared" si="32"/>
        <v>0</v>
      </c>
      <c r="CF41" s="370"/>
      <c r="CG41" s="370"/>
      <c r="CH41" s="155"/>
      <c r="CI41" s="370"/>
      <c r="CJ41" s="370"/>
      <c r="CK41" s="155">
        <f t="shared" si="46"/>
        <v>0</v>
      </c>
      <c r="CL41" s="370"/>
      <c r="CM41" s="370"/>
      <c r="CN41" s="155"/>
      <c r="CO41" s="370"/>
      <c r="CP41" s="370"/>
      <c r="CQ41" s="155">
        <f t="shared" si="33"/>
        <v>0</v>
      </c>
      <c r="CR41" s="370"/>
      <c r="CS41" s="370"/>
      <c r="CT41" s="155"/>
      <c r="CU41" s="155">
        <f t="shared" si="34"/>
        <v>0</v>
      </c>
      <c r="CV41" s="370"/>
      <c r="CW41" s="370"/>
      <c r="CX41" s="155">
        <f t="shared" si="35"/>
        <v>0</v>
      </c>
      <c r="CY41" s="370"/>
      <c r="CZ41" s="370"/>
      <c r="DA41" s="155">
        <f t="shared" si="36"/>
        <v>0</v>
      </c>
      <c r="DB41" s="370"/>
      <c r="DC41" s="370"/>
      <c r="DD41" s="155"/>
      <c r="DE41" s="155">
        <f t="shared" si="37"/>
        <v>0</v>
      </c>
      <c r="DF41" s="370"/>
      <c r="DG41" s="370"/>
      <c r="DH41" s="370"/>
      <c r="DI41" s="155"/>
      <c r="DJ41" s="155"/>
      <c r="DK41" s="155"/>
      <c r="DL41" s="155"/>
      <c r="DM41" s="155"/>
      <c r="DN41" s="155"/>
      <c r="DO41" s="155"/>
      <c r="DP41" s="155"/>
      <c r="DQ41" s="370"/>
      <c r="DR41" s="370"/>
      <c r="DS41" s="155"/>
      <c r="DT41" s="155"/>
      <c r="DU41" s="373"/>
      <c r="DV41" s="190">
        <f t="shared" si="42"/>
        <v>2978575</v>
      </c>
      <c r="DW41" s="337">
        <f t="shared" si="12"/>
        <v>0</v>
      </c>
      <c r="DX41" s="338">
        <f>+E41-'Výdaje kapitol celkem'!G41</f>
        <v>-200000</v>
      </c>
      <c r="DY41" s="369">
        <f t="shared" si="13"/>
        <v>0</v>
      </c>
      <c r="EA41" s="322"/>
    </row>
    <row r="42" spans="1:131" ht="13.5" customHeight="1" outlineLevel="1" x14ac:dyDescent="0.25">
      <c r="A42" s="222">
        <v>5194</v>
      </c>
      <c r="B42" s="205" t="s">
        <v>95</v>
      </c>
      <c r="C42" s="369">
        <v>240000</v>
      </c>
      <c r="D42" s="369">
        <v>740000</v>
      </c>
      <c r="E42" s="369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70">
        <v>90000</v>
      </c>
      <c r="O42" s="371"/>
      <c r="P42" s="155"/>
      <c r="Q42" s="380">
        <f t="shared" si="43"/>
        <v>0</v>
      </c>
      <c r="R42" s="155">
        <v>10000</v>
      </c>
      <c r="S42" s="155"/>
      <c r="T42" s="155" t="s">
        <v>598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70"/>
      <c r="AB42" s="370"/>
      <c r="AC42" s="155">
        <f t="shared" si="16"/>
        <v>0</v>
      </c>
      <c r="AD42" s="370"/>
      <c r="AE42" s="370"/>
      <c r="AF42" s="155">
        <f t="shared" si="17"/>
        <v>0</v>
      </c>
      <c r="AG42" s="370"/>
      <c r="AH42" s="370"/>
      <c r="AI42" s="155"/>
      <c r="AJ42" s="155"/>
      <c r="AK42" s="155"/>
      <c r="AL42" s="155">
        <f t="shared" si="18"/>
        <v>0</v>
      </c>
      <c r="AM42" s="370"/>
      <c r="AN42" s="370"/>
      <c r="AO42" s="155">
        <f t="shared" si="19"/>
        <v>0</v>
      </c>
      <c r="AP42" s="370"/>
      <c r="AQ42" s="370"/>
      <c r="AR42" s="155">
        <f t="shared" si="47"/>
        <v>0</v>
      </c>
      <c r="AS42" s="370"/>
      <c r="AT42" s="370"/>
      <c r="AU42" s="155">
        <f t="shared" si="45"/>
        <v>0</v>
      </c>
      <c r="AV42" s="370"/>
      <c r="AW42" s="370"/>
      <c r="AX42" s="155">
        <f t="shared" si="22"/>
        <v>0</v>
      </c>
      <c r="AY42" s="370"/>
      <c r="AZ42" s="370"/>
      <c r="BA42" s="155">
        <f t="shared" si="23"/>
        <v>0</v>
      </c>
      <c r="BB42" s="370"/>
      <c r="BC42" s="370"/>
      <c r="BD42" s="155">
        <f t="shared" si="24"/>
        <v>0</v>
      </c>
      <c r="BE42" s="370"/>
      <c r="BF42" s="370"/>
      <c r="BG42" s="155">
        <f t="shared" si="25"/>
        <v>0</v>
      </c>
      <c r="BH42" s="370"/>
      <c r="BI42" s="370"/>
      <c r="BJ42" s="155">
        <f t="shared" si="26"/>
        <v>0</v>
      </c>
      <c r="BK42" s="370"/>
      <c r="BL42" s="370"/>
      <c r="BM42" s="155">
        <f t="shared" si="27"/>
        <v>0</v>
      </c>
      <c r="BN42" s="370"/>
      <c r="BO42" s="370"/>
      <c r="BP42" s="155">
        <f t="shared" si="28"/>
        <v>0</v>
      </c>
      <c r="BQ42" s="370"/>
      <c r="BR42" s="370"/>
      <c r="BS42" s="155"/>
      <c r="BT42" s="155">
        <f t="shared" si="29"/>
        <v>0</v>
      </c>
      <c r="BU42" s="370"/>
      <c r="BV42" s="370"/>
      <c r="BW42" s="155"/>
      <c r="BX42" s="155">
        <f t="shared" si="30"/>
        <v>0</v>
      </c>
      <c r="BY42" s="370"/>
      <c r="BZ42" s="370"/>
      <c r="CA42" s="155">
        <f t="shared" si="31"/>
        <v>0</v>
      </c>
      <c r="CB42" s="370"/>
      <c r="CC42" s="370"/>
      <c r="CD42" s="155"/>
      <c r="CE42" s="155">
        <f t="shared" si="32"/>
        <v>0</v>
      </c>
      <c r="CF42" s="370"/>
      <c r="CG42" s="370"/>
      <c r="CH42" s="155"/>
      <c r="CI42" s="370"/>
      <c r="CJ42" s="370"/>
      <c r="CK42" s="155">
        <f t="shared" si="46"/>
        <v>0</v>
      </c>
      <c r="CL42" s="370"/>
      <c r="CM42" s="370"/>
      <c r="CN42" s="155"/>
      <c r="CO42" s="370"/>
      <c r="CP42" s="370"/>
      <c r="CQ42" s="155">
        <f t="shared" si="33"/>
        <v>0</v>
      </c>
      <c r="CR42" s="370"/>
      <c r="CS42" s="370"/>
      <c r="CT42" s="155"/>
      <c r="CU42" s="155">
        <f t="shared" si="34"/>
        <v>0</v>
      </c>
      <c r="CV42" s="370"/>
      <c r="CW42" s="370"/>
      <c r="CX42" s="155">
        <f t="shared" si="35"/>
        <v>0</v>
      </c>
      <c r="CY42" s="370"/>
      <c r="CZ42" s="370"/>
      <c r="DA42" s="155">
        <f t="shared" si="36"/>
        <v>0</v>
      </c>
      <c r="DB42" s="370"/>
      <c r="DC42" s="370"/>
      <c r="DD42" s="155"/>
      <c r="DE42" s="155">
        <f t="shared" si="37"/>
        <v>0</v>
      </c>
      <c r="DF42" s="370"/>
      <c r="DG42" s="370"/>
      <c r="DH42" s="370"/>
      <c r="DI42" s="155"/>
      <c r="DJ42" s="155"/>
      <c r="DK42" s="155"/>
      <c r="DL42" s="155"/>
      <c r="DM42" s="155"/>
      <c r="DN42" s="155"/>
      <c r="DO42" s="155"/>
      <c r="DP42" s="155"/>
      <c r="DQ42" s="370"/>
      <c r="DR42" s="370"/>
      <c r="DS42" s="155"/>
      <c r="DT42" s="155"/>
      <c r="DU42" s="373"/>
      <c r="DV42" s="190" t="e">
        <f t="shared" si="42"/>
        <v>#VALUE!</v>
      </c>
      <c r="DW42" s="337" t="e">
        <f t="shared" si="12"/>
        <v>#VALUE!</v>
      </c>
      <c r="DX42" s="338">
        <f>+E42-'Výdaje kapitol celkem'!G42</f>
        <v>-33000</v>
      </c>
      <c r="DY42" s="369">
        <f t="shared" si="13"/>
        <v>0</v>
      </c>
      <c r="EA42" s="322"/>
    </row>
    <row r="43" spans="1:131" ht="13.5" customHeight="1" outlineLevel="1" x14ac:dyDescent="0.25">
      <c r="A43" s="222">
        <v>5329</v>
      </c>
      <c r="B43" s="205" t="s">
        <v>96</v>
      </c>
      <c r="C43" s="369">
        <v>885140</v>
      </c>
      <c r="D43" s="369">
        <v>885140</v>
      </c>
      <c r="E43" s="369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70"/>
      <c r="O43" s="371"/>
      <c r="P43" s="155"/>
      <c r="Q43" s="380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0"/>
      <c r="AB43" s="370"/>
      <c r="AC43" s="155">
        <f t="shared" si="16"/>
        <v>0</v>
      </c>
      <c r="AD43" s="370"/>
      <c r="AE43" s="370"/>
      <c r="AF43" s="155">
        <f t="shared" si="17"/>
        <v>0</v>
      </c>
      <c r="AG43" s="370"/>
      <c r="AH43" s="370"/>
      <c r="AI43" s="155"/>
      <c r="AJ43" s="155"/>
      <c r="AK43" s="155"/>
      <c r="AL43" s="155">
        <f t="shared" si="18"/>
        <v>0</v>
      </c>
      <c r="AM43" s="370"/>
      <c r="AN43" s="370"/>
      <c r="AO43" s="155">
        <f t="shared" si="19"/>
        <v>0</v>
      </c>
      <c r="AP43" s="370"/>
      <c r="AQ43" s="370"/>
      <c r="AR43" s="155">
        <f t="shared" si="47"/>
        <v>0</v>
      </c>
      <c r="AS43" s="370"/>
      <c r="AT43" s="370"/>
      <c r="AU43" s="155">
        <f t="shared" si="45"/>
        <v>0</v>
      </c>
      <c r="AV43" s="370"/>
      <c r="AW43" s="370"/>
      <c r="AX43" s="155">
        <f t="shared" si="22"/>
        <v>0</v>
      </c>
      <c r="AY43" s="370"/>
      <c r="AZ43" s="370"/>
      <c r="BA43" s="155">
        <f t="shared" si="23"/>
        <v>1600000</v>
      </c>
      <c r="BB43" s="370">
        <v>1600000</v>
      </c>
      <c r="BC43" s="370"/>
      <c r="BD43" s="155">
        <f t="shared" si="24"/>
        <v>0</v>
      </c>
      <c r="BE43" s="370"/>
      <c r="BF43" s="370"/>
      <c r="BG43" s="155">
        <f t="shared" si="25"/>
        <v>0</v>
      </c>
      <c r="BH43" s="370"/>
      <c r="BI43" s="370"/>
      <c r="BJ43" s="155">
        <f t="shared" si="26"/>
        <v>0</v>
      </c>
      <c r="BK43" s="370"/>
      <c r="BL43" s="370"/>
      <c r="BM43" s="155">
        <f t="shared" si="27"/>
        <v>0</v>
      </c>
      <c r="BN43" s="370"/>
      <c r="BO43" s="370"/>
      <c r="BP43" s="155">
        <f t="shared" si="28"/>
        <v>0</v>
      </c>
      <c r="BQ43" s="370"/>
      <c r="BR43" s="370"/>
      <c r="BS43" s="155"/>
      <c r="BT43" s="155">
        <f t="shared" si="29"/>
        <v>0</v>
      </c>
      <c r="BU43" s="370"/>
      <c r="BV43" s="370"/>
      <c r="BW43" s="155"/>
      <c r="BX43" s="155">
        <f t="shared" si="30"/>
        <v>0</v>
      </c>
      <c r="BY43" s="370"/>
      <c r="BZ43" s="370"/>
      <c r="CA43" s="155">
        <f t="shared" si="31"/>
        <v>0</v>
      </c>
      <c r="CB43" s="370"/>
      <c r="CC43" s="370"/>
      <c r="CD43" s="155"/>
      <c r="CE43" s="155">
        <f t="shared" si="32"/>
        <v>0</v>
      </c>
      <c r="CF43" s="370"/>
      <c r="CG43" s="370"/>
      <c r="CH43" s="155"/>
      <c r="CI43" s="370"/>
      <c r="CJ43" s="370"/>
      <c r="CK43" s="155">
        <f t="shared" si="46"/>
        <v>0</v>
      </c>
      <c r="CL43" s="370"/>
      <c r="CM43" s="370"/>
      <c r="CN43" s="155"/>
      <c r="CO43" s="370"/>
      <c r="CP43" s="370"/>
      <c r="CQ43" s="155">
        <f t="shared" si="33"/>
        <v>0</v>
      </c>
      <c r="CR43" s="370"/>
      <c r="CS43" s="370"/>
      <c r="CT43" s="155"/>
      <c r="CU43" s="155">
        <f t="shared" si="34"/>
        <v>0</v>
      </c>
      <c r="CV43" s="370"/>
      <c r="CW43" s="370"/>
      <c r="CX43" s="155">
        <f t="shared" si="35"/>
        <v>0</v>
      </c>
      <c r="CY43" s="370"/>
      <c r="CZ43" s="370"/>
      <c r="DA43" s="155">
        <f t="shared" si="36"/>
        <v>0</v>
      </c>
      <c r="DB43" s="370"/>
      <c r="DC43" s="370"/>
      <c r="DD43" s="155"/>
      <c r="DE43" s="155">
        <f t="shared" si="37"/>
        <v>0</v>
      </c>
      <c r="DF43" s="370"/>
      <c r="DG43" s="370"/>
      <c r="DH43" s="370"/>
      <c r="DI43" s="155"/>
      <c r="DJ43" s="155"/>
      <c r="DK43" s="155"/>
      <c r="DL43" s="155"/>
      <c r="DM43" s="155"/>
      <c r="DN43" s="155"/>
      <c r="DO43" s="155"/>
      <c r="DP43" s="155"/>
      <c r="DQ43" s="370"/>
      <c r="DR43" s="370"/>
      <c r="DS43" s="155"/>
      <c r="DT43" s="155"/>
      <c r="DU43" s="373"/>
      <c r="DV43" s="190">
        <f t="shared" si="42"/>
        <v>2514380</v>
      </c>
      <c r="DW43" s="337">
        <f t="shared" si="12"/>
        <v>0</v>
      </c>
      <c r="DX43" s="338">
        <f>+E43-'Výdaje kapitol celkem'!G43</f>
        <v>-5322428.38</v>
      </c>
      <c r="DY43" s="369">
        <f t="shared" si="13"/>
        <v>0</v>
      </c>
      <c r="EA43" s="322"/>
    </row>
    <row r="44" spans="1:131" ht="13.5" customHeight="1" outlineLevel="1" x14ac:dyDescent="0.25">
      <c r="A44" s="222">
        <v>5331</v>
      </c>
      <c r="B44" s="205" t="s">
        <v>97</v>
      </c>
      <c r="C44" s="369">
        <v>32740000</v>
      </c>
      <c r="D44" s="369">
        <v>32740000</v>
      </c>
      <c r="E44" s="369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0"/>
      <c r="O44" s="371"/>
      <c r="P44" s="155"/>
      <c r="Q44" s="381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0"/>
      <c r="AB44" s="370"/>
      <c r="AC44" s="155">
        <f t="shared" si="16"/>
        <v>0</v>
      </c>
      <c r="AD44" s="370"/>
      <c r="AE44" s="370"/>
      <c r="AF44" s="155">
        <f t="shared" si="17"/>
        <v>0</v>
      </c>
      <c r="AG44" s="370"/>
      <c r="AH44" s="370"/>
      <c r="AI44" s="155"/>
      <c r="AJ44" s="155"/>
      <c r="AK44" s="155"/>
      <c r="AL44" s="155">
        <f t="shared" si="18"/>
        <v>0</v>
      </c>
      <c r="AM44" s="370"/>
      <c r="AN44" s="370"/>
      <c r="AO44" s="155">
        <f t="shared" si="19"/>
        <v>0</v>
      </c>
      <c r="AP44" s="370"/>
      <c r="AQ44" s="370"/>
      <c r="AR44" s="155">
        <f t="shared" si="47"/>
        <v>0</v>
      </c>
      <c r="AS44" s="370"/>
      <c r="AT44" s="370"/>
      <c r="AU44" s="155">
        <f t="shared" si="45"/>
        <v>0</v>
      </c>
      <c r="AV44" s="370"/>
      <c r="AW44" s="370"/>
      <c r="AX44" s="155">
        <f t="shared" si="22"/>
        <v>9325900</v>
      </c>
      <c r="AY44" s="370">
        <v>9325900</v>
      </c>
      <c r="AZ44" s="370"/>
      <c r="BA44" s="155">
        <f t="shared" si="23"/>
        <v>0</v>
      </c>
      <c r="BB44" s="370"/>
      <c r="BC44" s="370"/>
      <c r="BD44" s="155">
        <f t="shared" si="24"/>
        <v>0</v>
      </c>
      <c r="BE44" s="370"/>
      <c r="BF44" s="370"/>
      <c r="BG44" s="155">
        <f t="shared" si="25"/>
        <v>600000</v>
      </c>
      <c r="BH44" s="370">
        <v>600000</v>
      </c>
      <c r="BI44" s="370"/>
      <c r="BJ44" s="155">
        <f t="shared" si="26"/>
        <v>0</v>
      </c>
      <c r="BK44" s="370"/>
      <c r="BL44" s="370"/>
      <c r="BM44" s="155">
        <f t="shared" si="27"/>
        <v>3974000</v>
      </c>
      <c r="BN44" s="370">
        <v>3974000</v>
      </c>
      <c r="BO44" s="370"/>
      <c r="BP44" s="155">
        <v>0</v>
      </c>
      <c r="BQ44" s="370">
        <v>0</v>
      </c>
      <c r="BR44" s="370"/>
      <c r="BS44" s="155">
        <v>200000</v>
      </c>
      <c r="BT44" s="155">
        <f t="shared" si="29"/>
        <v>0</v>
      </c>
      <c r="BU44" s="370"/>
      <c r="BV44" s="370"/>
      <c r="BW44" s="155"/>
      <c r="BX44" s="155">
        <f t="shared" si="30"/>
        <v>0</v>
      </c>
      <c r="BY44" s="370"/>
      <c r="BZ44" s="370"/>
      <c r="CA44" s="155">
        <f t="shared" si="31"/>
        <v>0</v>
      </c>
      <c r="CB44" s="370"/>
      <c r="CC44" s="370"/>
      <c r="CD44" s="155"/>
      <c r="CE44" s="155">
        <f t="shared" si="32"/>
        <v>0</v>
      </c>
      <c r="CF44" s="370"/>
      <c r="CG44" s="370"/>
      <c r="CH44" s="155"/>
      <c r="CI44" s="370"/>
      <c r="CJ44" s="370"/>
      <c r="CK44" s="155">
        <f t="shared" si="46"/>
        <v>0</v>
      </c>
      <c r="CL44" s="370"/>
      <c r="CM44" s="370"/>
      <c r="CN44" s="155"/>
      <c r="CO44" s="370"/>
      <c r="CP44" s="370"/>
      <c r="CQ44" s="155">
        <f t="shared" si="33"/>
        <v>0</v>
      </c>
      <c r="CR44" s="370"/>
      <c r="CS44" s="370"/>
      <c r="CT44" s="155"/>
      <c r="CU44" s="155">
        <f t="shared" si="34"/>
        <v>0</v>
      </c>
      <c r="CV44" s="370"/>
      <c r="CW44" s="370"/>
      <c r="CX44" s="155">
        <f t="shared" si="35"/>
        <v>0</v>
      </c>
      <c r="CY44" s="370"/>
      <c r="CZ44" s="370"/>
      <c r="DA44" s="155">
        <f t="shared" si="36"/>
        <v>0</v>
      </c>
      <c r="DB44" s="370"/>
      <c r="DC44" s="370"/>
      <c r="DD44" s="155"/>
      <c r="DE44" s="155">
        <f t="shared" si="37"/>
        <v>0</v>
      </c>
      <c r="DF44" s="370"/>
      <c r="DG44" s="370"/>
      <c r="DH44" s="370"/>
      <c r="DI44" s="155"/>
      <c r="DJ44" s="155"/>
      <c r="DK44" s="155"/>
      <c r="DL44" s="155"/>
      <c r="DM44" s="155"/>
      <c r="DN44" s="155"/>
      <c r="DO44" s="155"/>
      <c r="DP44" s="155"/>
      <c r="DQ44" s="370"/>
      <c r="DR44" s="370"/>
      <c r="DS44" s="155"/>
      <c r="DT44" s="155"/>
      <c r="DU44" s="373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7">
        <f t="shared" si="12"/>
        <v>0</v>
      </c>
      <c r="DX44" s="338">
        <f>+E44-'Výdaje kapitol celkem'!G44</f>
        <v>-15721903</v>
      </c>
      <c r="DY44" s="369">
        <f t="shared" si="13"/>
        <v>0</v>
      </c>
      <c r="EA44" s="322"/>
    </row>
    <row r="45" spans="1:131" ht="13.5" customHeight="1" outlineLevel="1" x14ac:dyDescent="0.25">
      <c r="A45" s="222">
        <v>5361</v>
      </c>
      <c r="B45" s="205" t="s">
        <v>98</v>
      </c>
      <c r="C45" s="369">
        <v>40000</v>
      </c>
      <c r="D45" s="369">
        <v>40000</v>
      </c>
      <c r="E45" s="369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0">
        <v>30000</v>
      </c>
      <c r="O45" s="371"/>
      <c r="P45" s="155"/>
      <c r="Q45" s="380">
        <f t="shared" si="43"/>
        <v>0</v>
      </c>
      <c r="R45" s="155"/>
      <c r="S45" s="155"/>
      <c r="T45" s="155" t="s">
        <v>598</v>
      </c>
      <c r="U45" s="155"/>
      <c r="V45" s="155"/>
      <c r="W45" s="155"/>
      <c r="X45" s="155"/>
      <c r="Y45" s="155"/>
      <c r="Z45" s="155">
        <f t="shared" si="15"/>
        <v>0</v>
      </c>
      <c r="AA45" s="370"/>
      <c r="AB45" s="370"/>
      <c r="AC45" s="155">
        <f t="shared" si="16"/>
        <v>0</v>
      </c>
      <c r="AD45" s="370"/>
      <c r="AE45" s="370"/>
      <c r="AF45" s="155">
        <f t="shared" si="17"/>
        <v>0</v>
      </c>
      <c r="AG45" s="370"/>
      <c r="AH45" s="370"/>
      <c r="AI45" s="155"/>
      <c r="AJ45" s="155"/>
      <c r="AK45" s="155"/>
      <c r="AL45" s="155">
        <f t="shared" si="18"/>
        <v>0</v>
      </c>
      <c r="AM45" s="370"/>
      <c r="AN45" s="370"/>
      <c r="AO45" s="155">
        <f t="shared" si="19"/>
        <v>0</v>
      </c>
      <c r="AP45" s="370"/>
      <c r="AQ45" s="370"/>
      <c r="AR45" s="155">
        <f t="shared" si="47"/>
        <v>0</v>
      </c>
      <c r="AS45" s="370"/>
      <c r="AT45" s="370"/>
      <c r="AU45" s="155">
        <f t="shared" si="45"/>
        <v>0</v>
      </c>
      <c r="AV45" s="370"/>
      <c r="AW45" s="370"/>
      <c r="AX45" s="155">
        <f t="shared" si="22"/>
        <v>0</v>
      </c>
      <c r="AY45" s="370"/>
      <c r="AZ45" s="370"/>
      <c r="BA45" s="155">
        <f t="shared" si="23"/>
        <v>0</v>
      </c>
      <c r="BB45" s="370"/>
      <c r="BC45" s="370"/>
      <c r="BD45" s="155">
        <f t="shared" si="24"/>
        <v>0</v>
      </c>
      <c r="BE45" s="370"/>
      <c r="BF45" s="370"/>
      <c r="BG45" s="155">
        <f t="shared" si="25"/>
        <v>0</v>
      </c>
      <c r="BH45" s="370"/>
      <c r="BI45" s="370"/>
      <c r="BJ45" s="155">
        <f t="shared" si="26"/>
        <v>0</v>
      </c>
      <c r="BK45" s="370"/>
      <c r="BL45" s="370"/>
      <c r="BM45" s="155">
        <f t="shared" si="27"/>
        <v>0</v>
      </c>
      <c r="BN45" s="370"/>
      <c r="BO45" s="370"/>
      <c r="BP45" s="155">
        <f t="shared" si="28"/>
        <v>0</v>
      </c>
      <c r="BQ45" s="370"/>
      <c r="BR45" s="370"/>
      <c r="BS45" s="155"/>
      <c r="BT45" s="155">
        <f t="shared" si="29"/>
        <v>0</v>
      </c>
      <c r="BU45" s="370"/>
      <c r="BV45" s="370"/>
      <c r="BW45" s="155"/>
      <c r="BX45" s="155">
        <f t="shared" si="30"/>
        <v>0</v>
      </c>
      <c r="BY45" s="370"/>
      <c r="BZ45" s="370"/>
      <c r="CA45" s="155">
        <f t="shared" si="31"/>
        <v>0</v>
      </c>
      <c r="CB45" s="370"/>
      <c r="CC45" s="370"/>
      <c r="CD45" s="155"/>
      <c r="CE45" s="155">
        <f t="shared" si="32"/>
        <v>0</v>
      </c>
      <c r="CF45" s="370"/>
      <c r="CG45" s="370"/>
      <c r="CH45" s="155"/>
      <c r="CI45" s="370"/>
      <c r="CJ45" s="370"/>
      <c r="CK45" s="155">
        <f t="shared" si="46"/>
        <v>0</v>
      </c>
      <c r="CL45" s="370"/>
      <c r="CM45" s="370"/>
      <c r="CN45" s="155"/>
      <c r="CO45" s="370"/>
      <c r="CP45" s="370"/>
      <c r="CQ45" s="155">
        <f t="shared" si="33"/>
        <v>0</v>
      </c>
      <c r="CR45" s="370"/>
      <c r="CS45" s="370"/>
      <c r="CT45" s="155"/>
      <c r="CU45" s="155">
        <f t="shared" si="34"/>
        <v>0</v>
      </c>
      <c r="CV45" s="370"/>
      <c r="CW45" s="370"/>
      <c r="CX45" s="155">
        <f t="shared" si="35"/>
        <v>0</v>
      </c>
      <c r="CY45" s="370"/>
      <c r="CZ45" s="370"/>
      <c r="DA45" s="155">
        <f t="shared" si="36"/>
        <v>0</v>
      </c>
      <c r="DB45" s="370"/>
      <c r="DC45" s="370"/>
      <c r="DD45" s="155"/>
      <c r="DE45" s="155">
        <f t="shared" si="37"/>
        <v>0</v>
      </c>
      <c r="DF45" s="370"/>
      <c r="DG45" s="370"/>
      <c r="DH45" s="370"/>
      <c r="DI45" s="155"/>
      <c r="DJ45" s="155"/>
      <c r="DK45" s="155"/>
      <c r="DL45" s="155"/>
      <c r="DM45" s="155"/>
      <c r="DN45" s="155"/>
      <c r="DO45" s="155"/>
      <c r="DP45" s="155"/>
      <c r="DQ45" s="370"/>
      <c r="DR45" s="370"/>
      <c r="DS45" s="155"/>
      <c r="DT45" s="155"/>
      <c r="DU45" s="373"/>
      <c r="DV45" s="190" t="e">
        <f t="shared" si="42"/>
        <v>#VALUE!</v>
      </c>
      <c r="DW45" s="337" t="e">
        <f t="shared" si="12"/>
        <v>#VALUE!</v>
      </c>
      <c r="DX45" s="338">
        <f>+E45-'Výdaje kapitol celkem'!G45</f>
        <v>-10000</v>
      </c>
      <c r="DY45" s="369">
        <f t="shared" si="13"/>
        <v>0</v>
      </c>
      <c r="EA45" s="322"/>
    </row>
    <row r="46" spans="1:131" ht="13.5" customHeight="1" outlineLevel="1" x14ac:dyDescent="0.25">
      <c r="A46" s="222">
        <v>5362</v>
      </c>
      <c r="B46" s="205" t="s">
        <v>99</v>
      </c>
      <c r="C46" s="369">
        <v>2130000</v>
      </c>
      <c r="D46" s="369">
        <v>2130000</v>
      </c>
      <c r="E46" s="369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70">
        <v>50000</v>
      </c>
      <c r="O46" s="371"/>
      <c r="P46" s="155"/>
      <c r="Q46" s="380">
        <f t="shared" si="43"/>
        <v>0</v>
      </c>
      <c r="R46" s="155">
        <v>6000</v>
      </c>
      <c r="S46" s="155"/>
      <c r="T46" s="155" t="s">
        <v>598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70"/>
      <c r="AB46" s="370"/>
      <c r="AC46" s="155">
        <f t="shared" si="16"/>
        <v>0</v>
      </c>
      <c r="AD46" s="370"/>
      <c r="AE46" s="370"/>
      <c r="AF46" s="155">
        <f t="shared" si="17"/>
        <v>0</v>
      </c>
      <c r="AG46" s="370"/>
      <c r="AH46" s="370"/>
      <c r="AI46" s="155"/>
      <c r="AJ46" s="155"/>
      <c r="AK46" s="155"/>
      <c r="AL46" s="155">
        <f t="shared" si="18"/>
        <v>0</v>
      </c>
      <c r="AM46" s="370"/>
      <c r="AN46" s="370"/>
      <c r="AO46" s="155">
        <f t="shared" si="19"/>
        <v>0</v>
      </c>
      <c r="AP46" s="370"/>
      <c r="AQ46" s="370"/>
      <c r="AR46" s="155">
        <f t="shared" si="47"/>
        <v>0</v>
      </c>
      <c r="AS46" s="370"/>
      <c r="AT46" s="370"/>
      <c r="AU46" s="155">
        <f t="shared" si="45"/>
        <v>0</v>
      </c>
      <c r="AV46" s="370"/>
      <c r="AW46" s="370"/>
      <c r="AX46" s="155">
        <f t="shared" si="22"/>
        <v>0</v>
      </c>
      <c r="AY46" s="370"/>
      <c r="AZ46" s="370"/>
      <c r="BA46" s="155">
        <f t="shared" si="23"/>
        <v>0</v>
      </c>
      <c r="BB46" s="370"/>
      <c r="BC46" s="370"/>
      <c r="BD46" s="155">
        <f t="shared" si="24"/>
        <v>0</v>
      </c>
      <c r="BE46" s="370"/>
      <c r="BF46" s="370"/>
      <c r="BG46" s="155">
        <f t="shared" si="25"/>
        <v>0</v>
      </c>
      <c r="BH46" s="370"/>
      <c r="BI46" s="370"/>
      <c r="BJ46" s="155">
        <f t="shared" si="26"/>
        <v>0</v>
      </c>
      <c r="BK46" s="370"/>
      <c r="BL46" s="370"/>
      <c r="BM46" s="155">
        <f t="shared" si="27"/>
        <v>0</v>
      </c>
      <c r="BN46" s="370"/>
      <c r="BO46" s="370"/>
      <c r="BP46" s="155">
        <f t="shared" si="28"/>
        <v>0</v>
      </c>
      <c r="BQ46" s="370"/>
      <c r="BR46" s="370"/>
      <c r="BS46" s="155"/>
      <c r="BT46" s="155">
        <f t="shared" si="29"/>
        <v>0</v>
      </c>
      <c r="BU46" s="370"/>
      <c r="BV46" s="370"/>
      <c r="BW46" s="155"/>
      <c r="BX46" s="155">
        <f t="shared" si="30"/>
        <v>0</v>
      </c>
      <c r="BY46" s="370"/>
      <c r="BZ46" s="370"/>
      <c r="CA46" s="155">
        <f t="shared" si="31"/>
        <v>0</v>
      </c>
      <c r="CB46" s="370"/>
      <c r="CC46" s="370"/>
      <c r="CD46" s="155"/>
      <c r="CE46" s="155">
        <f t="shared" si="32"/>
        <v>0</v>
      </c>
      <c r="CF46" s="370"/>
      <c r="CG46" s="370"/>
      <c r="CH46" s="155"/>
      <c r="CI46" s="370"/>
      <c r="CJ46" s="370"/>
      <c r="CK46" s="155">
        <f t="shared" si="46"/>
        <v>0</v>
      </c>
      <c r="CL46" s="370"/>
      <c r="CM46" s="370"/>
      <c r="CN46" s="155"/>
      <c r="CO46" s="370"/>
      <c r="CP46" s="370"/>
      <c r="CQ46" s="155">
        <f t="shared" si="33"/>
        <v>0</v>
      </c>
      <c r="CR46" s="370"/>
      <c r="CS46" s="370"/>
      <c r="CT46" s="155"/>
      <c r="CU46" s="155">
        <f t="shared" si="34"/>
        <v>0</v>
      </c>
      <c r="CV46" s="370"/>
      <c r="CW46" s="370"/>
      <c r="CX46" s="155">
        <f t="shared" si="35"/>
        <v>0</v>
      </c>
      <c r="CY46" s="370"/>
      <c r="CZ46" s="370"/>
      <c r="DA46" s="155">
        <f t="shared" si="36"/>
        <v>0</v>
      </c>
      <c r="DB46" s="370"/>
      <c r="DC46" s="370"/>
      <c r="DD46" s="155"/>
      <c r="DE46" s="155">
        <f t="shared" si="37"/>
        <v>0</v>
      </c>
      <c r="DF46" s="370"/>
      <c r="DG46" s="370"/>
      <c r="DH46" s="370"/>
      <c r="DI46" s="155"/>
      <c r="DJ46" s="155"/>
      <c r="DK46" s="155"/>
      <c r="DL46" s="155"/>
      <c r="DM46" s="155"/>
      <c r="DN46" s="155"/>
      <c r="DO46" s="155"/>
      <c r="DP46" s="155"/>
      <c r="DQ46" s="370"/>
      <c r="DR46" s="370"/>
      <c r="DS46" s="155"/>
      <c r="DT46" s="155"/>
      <c r="DU46" s="373"/>
      <c r="DV46" s="190" t="e">
        <f t="shared" si="42"/>
        <v>#VALUE!</v>
      </c>
      <c r="DW46" s="337" t="e">
        <f t="shared" si="12"/>
        <v>#VALUE!</v>
      </c>
      <c r="DX46" s="338">
        <f>+E46-'Výdaje kapitol celkem'!G46</f>
        <v>-3865970</v>
      </c>
      <c r="DY46" s="369">
        <f t="shared" si="13"/>
        <v>0</v>
      </c>
      <c r="EA46" s="322"/>
    </row>
    <row r="47" spans="1:131" ht="13.5" customHeight="1" outlineLevel="1" x14ac:dyDescent="0.25">
      <c r="A47" s="222">
        <v>5363</v>
      </c>
      <c r="B47" s="205" t="s">
        <v>775</v>
      </c>
      <c r="C47" s="369">
        <v>0</v>
      </c>
      <c r="D47" s="369">
        <v>0</v>
      </c>
      <c r="E47" s="369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0"/>
      <c r="O47" s="371"/>
      <c r="P47" s="155"/>
      <c r="Q47" s="380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0"/>
      <c r="AB47" s="370"/>
      <c r="AC47" s="155"/>
      <c r="AD47" s="370"/>
      <c r="AE47" s="370"/>
      <c r="AF47" s="155"/>
      <c r="AG47" s="370"/>
      <c r="AH47" s="370"/>
      <c r="AI47" s="155"/>
      <c r="AJ47" s="155"/>
      <c r="AK47" s="155"/>
      <c r="AL47" s="155"/>
      <c r="AM47" s="370"/>
      <c r="AN47" s="370"/>
      <c r="AO47" s="155"/>
      <c r="AP47" s="370"/>
      <c r="AQ47" s="370"/>
      <c r="AR47" s="155">
        <f t="shared" si="47"/>
        <v>0</v>
      </c>
      <c r="AS47" s="370"/>
      <c r="AT47" s="370"/>
      <c r="AU47" s="155"/>
      <c r="AV47" s="370"/>
      <c r="AW47" s="370"/>
      <c r="AX47" s="155"/>
      <c r="AY47" s="370"/>
      <c r="AZ47" s="370"/>
      <c r="BA47" s="155"/>
      <c r="BB47" s="370"/>
      <c r="BC47" s="370"/>
      <c r="BD47" s="155"/>
      <c r="BE47" s="370"/>
      <c r="BF47" s="370"/>
      <c r="BG47" s="155"/>
      <c r="BH47" s="370"/>
      <c r="BI47" s="370"/>
      <c r="BJ47" s="155"/>
      <c r="BK47" s="370"/>
      <c r="BL47" s="370"/>
      <c r="BM47" s="155"/>
      <c r="BN47" s="370"/>
      <c r="BO47" s="370"/>
      <c r="BP47" s="155"/>
      <c r="BQ47" s="370"/>
      <c r="BR47" s="370"/>
      <c r="BS47" s="155"/>
      <c r="BT47" s="155"/>
      <c r="BU47" s="370"/>
      <c r="BV47" s="370"/>
      <c r="BW47" s="155"/>
      <c r="BX47" s="155"/>
      <c r="BY47" s="370"/>
      <c r="BZ47" s="370"/>
      <c r="CA47" s="155"/>
      <c r="CB47" s="370"/>
      <c r="CC47" s="370"/>
      <c r="CD47" s="155"/>
      <c r="CE47" s="155">
        <f t="shared" si="32"/>
        <v>0</v>
      </c>
      <c r="CF47" s="370">
        <v>0</v>
      </c>
      <c r="CG47" s="370"/>
      <c r="CH47" s="155"/>
      <c r="CI47" s="370"/>
      <c r="CJ47" s="370"/>
      <c r="CK47" s="155">
        <f t="shared" si="46"/>
        <v>0</v>
      </c>
      <c r="CL47" s="370"/>
      <c r="CM47" s="370"/>
      <c r="CN47" s="155"/>
      <c r="CO47" s="370"/>
      <c r="CP47" s="370"/>
      <c r="CQ47" s="155"/>
      <c r="CR47" s="370"/>
      <c r="CS47" s="370"/>
      <c r="CT47" s="155"/>
      <c r="CU47" s="155"/>
      <c r="CV47" s="370"/>
      <c r="CW47" s="370"/>
      <c r="CX47" s="155"/>
      <c r="CY47" s="370"/>
      <c r="CZ47" s="370"/>
      <c r="DA47" s="155"/>
      <c r="DB47" s="370"/>
      <c r="DC47" s="370"/>
      <c r="DD47" s="155"/>
      <c r="DE47" s="155"/>
      <c r="DF47" s="370"/>
      <c r="DG47" s="370"/>
      <c r="DH47" s="370"/>
      <c r="DI47" s="155"/>
      <c r="DJ47" s="155"/>
      <c r="DK47" s="155"/>
      <c r="DL47" s="155"/>
      <c r="DM47" s="155"/>
      <c r="DN47" s="155"/>
      <c r="DO47" s="155"/>
      <c r="DP47" s="155"/>
      <c r="DQ47" s="370"/>
      <c r="DR47" s="370"/>
      <c r="DS47" s="155"/>
      <c r="DT47" s="155"/>
      <c r="DU47" s="373"/>
      <c r="DV47" s="190">
        <f t="shared" si="42"/>
        <v>0</v>
      </c>
      <c r="DW47" s="337"/>
      <c r="DX47" s="338">
        <f>+E47-'Výdaje kapitol celkem'!G47</f>
        <v>0</v>
      </c>
      <c r="DY47" s="369"/>
      <c r="EA47" s="322"/>
    </row>
    <row r="48" spans="1:131" ht="13.5" customHeight="1" outlineLevel="1" x14ac:dyDescent="0.25">
      <c r="A48" s="222">
        <v>5492</v>
      </c>
      <c r="B48" s="205" t="s">
        <v>100</v>
      </c>
      <c r="C48" s="369">
        <v>20000</v>
      </c>
      <c r="D48" s="369">
        <v>20000</v>
      </c>
      <c r="E48" s="369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70"/>
      <c r="O48" s="371"/>
      <c r="P48" s="155"/>
      <c r="Q48" s="380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70"/>
      <c r="AB48" s="370"/>
      <c r="AC48" s="155">
        <f t="shared" si="16"/>
        <v>0</v>
      </c>
      <c r="AD48" s="370"/>
      <c r="AE48" s="370"/>
      <c r="AF48" s="155">
        <f t="shared" si="17"/>
        <v>0</v>
      </c>
      <c r="AG48" s="370"/>
      <c r="AH48" s="370"/>
      <c r="AI48" s="155"/>
      <c r="AJ48" s="155"/>
      <c r="AK48" s="155"/>
      <c r="AL48" s="155">
        <f t="shared" si="18"/>
        <v>0</v>
      </c>
      <c r="AM48" s="370"/>
      <c r="AN48" s="370"/>
      <c r="AO48" s="155">
        <f t="shared" si="19"/>
        <v>0</v>
      </c>
      <c r="AP48" s="370"/>
      <c r="AQ48" s="370"/>
      <c r="AR48" s="155">
        <f t="shared" si="47"/>
        <v>0</v>
      </c>
      <c r="AS48" s="370"/>
      <c r="AT48" s="370"/>
      <c r="AU48" s="155">
        <f t="shared" ref="AU48:AU50" si="49">+AV48+AW48</f>
        <v>0</v>
      </c>
      <c r="AV48" s="370"/>
      <c r="AW48" s="370"/>
      <c r="AX48" s="155">
        <f t="shared" si="22"/>
        <v>0</v>
      </c>
      <c r="AY48" s="370"/>
      <c r="AZ48" s="370"/>
      <c r="BA48" s="155">
        <f t="shared" ref="BA48:BA50" si="50">+BB48+BC48</f>
        <v>0</v>
      </c>
      <c r="BB48" s="370"/>
      <c r="BC48" s="370"/>
      <c r="BD48" s="155">
        <f t="shared" si="24"/>
        <v>0</v>
      </c>
      <c r="BE48" s="370"/>
      <c r="BF48" s="370"/>
      <c r="BG48" s="155">
        <f t="shared" si="25"/>
        <v>0</v>
      </c>
      <c r="BH48" s="370"/>
      <c r="BI48" s="370"/>
      <c r="BJ48" s="155">
        <f t="shared" si="26"/>
        <v>0</v>
      </c>
      <c r="BK48" s="370"/>
      <c r="BL48" s="370"/>
      <c r="BM48" s="155">
        <f t="shared" si="27"/>
        <v>0</v>
      </c>
      <c r="BN48" s="370"/>
      <c r="BO48" s="370"/>
      <c r="BP48" s="155">
        <f t="shared" si="28"/>
        <v>0</v>
      </c>
      <c r="BQ48" s="370"/>
      <c r="BR48" s="370"/>
      <c r="BS48" s="155"/>
      <c r="BT48" s="155">
        <f t="shared" si="29"/>
        <v>0</v>
      </c>
      <c r="BU48" s="370"/>
      <c r="BV48" s="370"/>
      <c r="BW48" s="155"/>
      <c r="BX48" s="155">
        <f t="shared" si="30"/>
        <v>0</v>
      </c>
      <c r="BY48" s="370"/>
      <c r="BZ48" s="370"/>
      <c r="CA48" s="155">
        <f t="shared" si="31"/>
        <v>0</v>
      </c>
      <c r="CB48" s="370"/>
      <c r="CC48" s="370"/>
      <c r="CD48" s="155"/>
      <c r="CE48" s="155">
        <f t="shared" si="32"/>
        <v>0</v>
      </c>
      <c r="CF48" s="370"/>
      <c r="CG48" s="370"/>
      <c r="CH48" s="155"/>
      <c r="CI48" s="370"/>
      <c r="CJ48" s="370"/>
      <c r="CK48" s="155">
        <f t="shared" si="46"/>
        <v>0</v>
      </c>
      <c r="CL48" s="370"/>
      <c r="CM48" s="370"/>
      <c r="CN48" s="155"/>
      <c r="CO48" s="370"/>
      <c r="CP48" s="370"/>
      <c r="CQ48" s="155">
        <f t="shared" si="33"/>
        <v>0</v>
      </c>
      <c r="CR48" s="370"/>
      <c r="CS48" s="370"/>
      <c r="CT48" s="155"/>
      <c r="CU48" s="155">
        <f t="shared" si="34"/>
        <v>0</v>
      </c>
      <c r="CV48" s="370"/>
      <c r="CW48" s="370"/>
      <c r="CX48" s="155">
        <f t="shared" si="35"/>
        <v>0</v>
      </c>
      <c r="CY48" s="370"/>
      <c r="CZ48" s="370"/>
      <c r="DA48" s="155">
        <f t="shared" si="36"/>
        <v>0</v>
      </c>
      <c r="DB48" s="370"/>
      <c r="DC48" s="370"/>
      <c r="DD48" s="155"/>
      <c r="DE48" s="155">
        <f t="shared" si="37"/>
        <v>0</v>
      </c>
      <c r="DF48" s="370"/>
      <c r="DG48" s="370"/>
      <c r="DH48" s="370"/>
      <c r="DI48" s="155"/>
      <c r="DJ48" s="155"/>
      <c r="DK48" s="155"/>
      <c r="DL48" s="155"/>
      <c r="DM48" s="155"/>
      <c r="DN48" s="155"/>
      <c r="DO48" s="155"/>
      <c r="DP48" s="155"/>
      <c r="DQ48" s="370"/>
      <c r="DR48" s="370"/>
      <c r="DS48" s="155"/>
      <c r="DT48" s="155"/>
      <c r="DU48" s="373"/>
      <c r="DV48" s="190">
        <f t="shared" si="42"/>
        <v>930000</v>
      </c>
      <c r="DW48" s="337">
        <f t="shared" si="12"/>
        <v>0</v>
      </c>
      <c r="DX48" s="338">
        <f>+E48-'Výdaje kapitol celkem'!G48</f>
        <v>460000</v>
      </c>
      <c r="DY48" s="369">
        <f t="shared" si="13"/>
        <v>0</v>
      </c>
      <c r="EA48" s="322"/>
    </row>
    <row r="49" spans="1:131" ht="13.5" customHeight="1" outlineLevel="1" x14ac:dyDescent="0.25">
      <c r="A49" s="222">
        <v>5499</v>
      </c>
      <c r="B49" s="205" t="s">
        <v>746</v>
      </c>
      <c r="C49" s="369">
        <v>1300000</v>
      </c>
      <c r="D49" s="369">
        <v>1300000</v>
      </c>
      <c r="E49" s="369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70"/>
      <c r="O49" s="371"/>
      <c r="P49" s="155"/>
      <c r="Q49" s="380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0"/>
      <c r="AB49" s="370"/>
      <c r="AC49" s="155">
        <f t="shared" si="16"/>
        <v>0</v>
      </c>
      <c r="AD49" s="370"/>
      <c r="AE49" s="370"/>
      <c r="AF49" s="155">
        <f t="shared" si="17"/>
        <v>0</v>
      </c>
      <c r="AG49" s="370"/>
      <c r="AH49" s="370"/>
      <c r="AI49" s="155"/>
      <c r="AJ49" s="155"/>
      <c r="AK49" s="155"/>
      <c r="AL49" s="155">
        <f t="shared" si="18"/>
        <v>0</v>
      </c>
      <c r="AM49" s="370"/>
      <c r="AN49" s="370"/>
      <c r="AO49" s="155">
        <f t="shared" si="19"/>
        <v>0</v>
      </c>
      <c r="AP49" s="370"/>
      <c r="AQ49" s="370"/>
      <c r="AR49" s="155">
        <f t="shared" ref="AR49" si="51">+AS49+AT49</f>
        <v>0</v>
      </c>
      <c r="AS49" s="370"/>
      <c r="AT49" s="370"/>
      <c r="AU49" s="155">
        <f t="shared" si="49"/>
        <v>0</v>
      </c>
      <c r="AV49" s="370"/>
      <c r="AW49" s="370"/>
      <c r="AX49" s="155">
        <f t="shared" si="22"/>
        <v>0</v>
      </c>
      <c r="AY49" s="370"/>
      <c r="AZ49" s="370"/>
      <c r="BA49" s="155">
        <f t="shared" si="50"/>
        <v>0</v>
      </c>
      <c r="BB49" s="370"/>
      <c r="BC49" s="370"/>
      <c r="BD49" s="155">
        <f t="shared" si="24"/>
        <v>0</v>
      </c>
      <c r="BE49" s="370"/>
      <c r="BF49" s="370"/>
      <c r="BG49" s="155">
        <f t="shared" si="25"/>
        <v>0</v>
      </c>
      <c r="BH49" s="370"/>
      <c r="BI49" s="370"/>
      <c r="BJ49" s="155">
        <f t="shared" si="26"/>
        <v>0</v>
      </c>
      <c r="BK49" s="370"/>
      <c r="BL49" s="370"/>
      <c r="BM49" s="155">
        <f t="shared" si="27"/>
        <v>0</v>
      </c>
      <c r="BN49" s="370"/>
      <c r="BO49" s="370"/>
      <c r="BP49" s="155">
        <f t="shared" si="28"/>
        <v>0</v>
      </c>
      <c r="BQ49" s="370"/>
      <c r="BR49" s="370"/>
      <c r="BS49" s="155"/>
      <c r="BT49" s="155">
        <f t="shared" si="29"/>
        <v>0</v>
      </c>
      <c r="BU49" s="370"/>
      <c r="BV49" s="370"/>
      <c r="BW49" s="155"/>
      <c r="BX49" s="155">
        <f t="shared" si="30"/>
        <v>0</v>
      </c>
      <c r="BY49" s="370"/>
      <c r="BZ49" s="370"/>
      <c r="CA49" s="155">
        <f t="shared" si="31"/>
        <v>0</v>
      </c>
      <c r="CB49" s="370"/>
      <c r="CC49" s="370"/>
      <c r="CD49" s="155"/>
      <c r="CE49" s="155">
        <f t="shared" si="32"/>
        <v>0</v>
      </c>
      <c r="CF49" s="370"/>
      <c r="CG49" s="370"/>
      <c r="CH49" s="155"/>
      <c r="CI49" s="370"/>
      <c r="CJ49" s="370"/>
      <c r="CK49" s="155">
        <f t="shared" si="46"/>
        <v>0</v>
      </c>
      <c r="CL49" s="370"/>
      <c r="CM49" s="370"/>
      <c r="CN49" s="155"/>
      <c r="CO49" s="370"/>
      <c r="CP49" s="370"/>
      <c r="CQ49" s="155">
        <f t="shared" si="33"/>
        <v>0</v>
      </c>
      <c r="CR49" s="370"/>
      <c r="CS49" s="370"/>
      <c r="CT49" s="155"/>
      <c r="CU49" s="155">
        <f t="shared" si="34"/>
        <v>0</v>
      </c>
      <c r="CV49" s="370"/>
      <c r="CW49" s="370"/>
      <c r="CX49" s="155">
        <f t="shared" si="35"/>
        <v>0</v>
      </c>
      <c r="CY49" s="370"/>
      <c r="CZ49" s="370"/>
      <c r="DA49" s="155">
        <f t="shared" si="36"/>
        <v>0</v>
      </c>
      <c r="DB49" s="370"/>
      <c r="DC49" s="370"/>
      <c r="DD49" s="155"/>
      <c r="DE49" s="155">
        <f t="shared" si="37"/>
        <v>0</v>
      </c>
      <c r="DF49" s="370"/>
      <c r="DG49" s="370"/>
      <c r="DH49" s="370"/>
      <c r="DI49" s="155"/>
      <c r="DJ49" s="155"/>
      <c r="DK49" s="155"/>
      <c r="DL49" s="155"/>
      <c r="DM49" s="155"/>
      <c r="DN49" s="155"/>
      <c r="DO49" s="155"/>
      <c r="DP49" s="155"/>
      <c r="DQ49" s="370"/>
      <c r="DR49" s="370"/>
      <c r="DS49" s="155"/>
      <c r="DT49" s="155"/>
      <c r="DU49" s="373"/>
      <c r="DV49" s="190">
        <f t="shared" si="42"/>
        <v>1620000</v>
      </c>
      <c r="DW49" s="337">
        <f t="shared" si="12"/>
        <v>0</v>
      </c>
      <c r="DX49" s="338">
        <f>+E49-'Výdaje kapitol celkem'!G49</f>
        <v>-360000</v>
      </c>
      <c r="DY49" s="369">
        <f t="shared" si="13"/>
        <v>0</v>
      </c>
      <c r="EA49" s="322"/>
    </row>
    <row r="50" spans="1:131" ht="13.5" customHeight="1" outlineLevel="1" x14ac:dyDescent="0.25">
      <c r="A50" s="222">
        <v>5222</v>
      </c>
      <c r="B50" s="205" t="s">
        <v>101</v>
      </c>
      <c r="C50" s="369">
        <v>1100000</v>
      </c>
      <c r="D50" s="369">
        <v>1100000</v>
      </c>
      <c r="E50" s="369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0"/>
      <c r="O50" s="371"/>
      <c r="P50" s="155"/>
      <c r="Q50" s="380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0"/>
      <c r="AB50" s="370"/>
      <c r="AC50" s="155">
        <f t="shared" si="16"/>
        <v>0</v>
      </c>
      <c r="AD50" s="370"/>
      <c r="AE50" s="370"/>
      <c r="AF50" s="155">
        <f t="shared" si="17"/>
        <v>0</v>
      </c>
      <c r="AG50" s="370"/>
      <c r="AH50" s="370"/>
      <c r="AI50" s="155"/>
      <c r="AJ50" s="155"/>
      <c r="AK50" s="155"/>
      <c r="AL50" s="155">
        <f t="shared" si="18"/>
        <v>0</v>
      </c>
      <c r="AM50" s="370"/>
      <c r="AN50" s="370"/>
      <c r="AO50" s="155">
        <v>0</v>
      </c>
      <c r="AP50" s="370">
        <v>0</v>
      </c>
      <c r="AQ50" s="370"/>
      <c r="AR50" s="155">
        <v>0</v>
      </c>
      <c r="AS50" s="370">
        <v>0</v>
      </c>
      <c r="AT50" s="370"/>
      <c r="AU50" s="155">
        <f t="shared" si="49"/>
        <v>1195000</v>
      </c>
      <c r="AV50" s="370">
        <v>1195000</v>
      </c>
      <c r="AW50" s="370"/>
      <c r="AX50" s="155">
        <f t="shared" si="22"/>
        <v>0</v>
      </c>
      <c r="AY50" s="370"/>
      <c r="AZ50" s="370"/>
      <c r="BA50" s="155">
        <f t="shared" si="50"/>
        <v>0</v>
      </c>
      <c r="BB50" s="370"/>
      <c r="BC50" s="370"/>
      <c r="BD50" s="155">
        <f t="shared" si="24"/>
        <v>0</v>
      </c>
      <c r="BE50" s="370"/>
      <c r="BF50" s="370"/>
      <c r="BG50" s="155">
        <f t="shared" si="25"/>
        <v>0</v>
      </c>
      <c r="BH50" s="370"/>
      <c r="BI50" s="370"/>
      <c r="BJ50" s="155">
        <f t="shared" si="26"/>
        <v>0</v>
      </c>
      <c r="BK50" s="370"/>
      <c r="BL50" s="370"/>
      <c r="BM50" s="155">
        <f t="shared" si="27"/>
        <v>0</v>
      </c>
      <c r="BN50" s="370"/>
      <c r="BO50" s="370"/>
      <c r="BP50" s="155">
        <f t="shared" si="28"/>
        <v>0</v>
      </c>
      <c r="BQ50" s="370"/>
      <c r="BR50" s="370"/>
      <c r="BS50" s="155"/>
      <c r="BT50" s="155">
        <f t="shared" si="29"/>
        <v>0</v>
      </c>
      <c r="BU50" s="370"/>
      <c r="BV50" s="370"/>
      <c r="BW50" s="155"/>
      <c r="BX50" s="155">
        <f t="shared" si="30"/>
        <v>0</v>
      </c>
      <c r="BY50" s="370"/>
      <c r="BZ50" s="370"/>
      <c r="CA50" s="155">
        <f t="shared" si="31"/>
        <v>0</v>
      </c>
      <c r="CB50" s="370"/>
      <c r="CC50" s="370"/>
      <c r="CD50" s="155"/>
      <c r="CE50" s="155">
        <f t="shared" si="32"/>
        <v>0</v>
      </c>
      <c r="CF50" s="370"/>
      <c r="CG50" s="370"/>
      <c r="CH50" s="155"/>
      <c r="CI50" s="370"/>
      <c r="CJ50" s="370"/>
      <c r="CK50" s="155">
        <f t="shared" si="46"/>
        <v>0</v>
      </c>
      <c r="CL50" s="370"/>
      <c r="CM50" s="370"/>
      <c r="CN50" s="155"/>
      <c r="CO50" s="370"/>
      <c r="CP50" s="370"/>
      <c r="CQ50" s="155">
        <f t="shared" si="33"/>
        <v>0</v>
      </c>
      <c r="CR50" s="370"/>
      <c r="CS50" s="370"/>
      <c r="CT50" s="155"/>
      <c r="CU50" s="155">
        <f t="shared" si="34"/>
        <v>0</v>
      </c>
      <c r="CV50" s="370"/>
      <c r="CW50" s="370"/>
      <c r="CX50" s="155">
        <f t="shared" si="35"/>
        <v>0</v>
      </c>
      <c r="CY50" s="370"/>
      <c r="CZ50" s="370"/>
      <c r="DA50" s="155">
        <f t="shared" si="36"/>
        <v>0</v>
      </c>
      <c r="DB50" s="370"/>
      <c r="DC50" s="370"/>
      <c r="DD50" s="155"/>
      <c r="DE50" s="155">
        <f t="shared" si="37"/>
        <v>0</v>
      </c>
      <c r="DF50" s="370"/>
      <c r="DG50" s="370"/>
      <c r="DH50" s="370"/>
      <c r="DI50" s="155"/>
      <c r="DJ50" s="155"/>
      <c r="DK50" s="155"/>
      <c r="DL50" s="155"/>
      <c r="DM50" s="155"/>
      <c r="DN50" s="155"/>
      <c r="DO50" s="155"/>
      <c r="DP50" s="155"/>
      <c r="DQ50" s="370"/>
      <c r="DR50" s="370"/>
      <c r="DS50" s="155"/>
      <c r="DT50" s="155"/>
      <c r="DU50" s="373"/>
      <c r="DV50" s="190">
        <f t="shared" si="42"/>
        <v>1195000</v>
      </c>
      <c r="DW50" s="337">
        <f t="shared" si="12"/>
        <v>0</v>
      </c>
      <c r="DX50" s="338">
        <f>+E50-'Výdaje kapitol celkem'!G50</f>
        <v>-5000</v>
      </c>
      <c r="DY50" s="369">
        <f t="shared" si="13"/>
        <v>0</v>
      </c>
      <c r="EA50" s="322"/>
    </row>
    <row r="51" spans="1:131" ht="12.75" customHeight="1" outlineLevel="1" x14ac:dyDescent="0.25">
      <c r="A51" s="388">
        <v>5903</v>
      </c>
      <c r="B51" s="389" t="s">
        <v>761</v>
      </c>
      <c r="C51" s="390">
        <v>60187.891499999998</v>
      </c>
      <c r="D51" s="390">
        <v>60187.891499999998</v>
      </c>
      <c r="E51" s="369">
        <f t="shared" si="39"/>
        <v>69012.591499999995</v>
      </c>
      <c r="F51" s="391"/>
      <c r="G51" s="392"/>
      <c r="H51" s="392">
        <v>69012.591499999995</v>
      </c>
      <c r="I51" s="392"/>
      <c r="J51" s="392"/>
      <c r="K51" s="392"/>
      <c r="L51" s="392"/>
      <c r="M51" s="392">
        <f t="shared" si="14"/>
        <v>0</v>
      </c>
      <c r="N51" s="393"/>
      <c r="O51" s="394"/>
      <c r="P51" s="392"/>
      <c r="Q51" s="395">
        <f>+O51+AN51+CC51+BZ51+BV51+DH51+AB51+AH51+AQ51+AZ51+BF51+BI51+BL51+BO51+BR51+CG51+CS51+CW51+CZ51+DC51+AE51+DR51</f>
        <v>0</v>
      </c>
      <c r="R51" s="392"/>
      <c r="S51" s="392"/>
      <c r="T51" s="392"/>
      <c r="U51" s="392"/>
      <c r="V51" s="392"/>
      <c r="W51" s="392"/>
      <c r="X51" s="392"/>
      <c r="Y51" s="392"/>
      <c r="Z51" s="392"/>
      <c r="AA51" s="393"/>
      <c r="AB51" s="393"/>
      <c r="AC51" s="392"/>
      <c r="AD51" s="393"/>
      <c r="AE51" s="393"/>
      <c r="AF51" s="392"/>
      <c r="AG51" s="393"/>
      <c r="AH51" s="393"/>
      <c r="AI51" s="392"/>
      <c r="AJ51" s="392"/>
      <c r="AK51" s="392"/>
      <c r="AL51" s="392"/>
      <c r="AM51" s="393"/>
      <c r="AN51" s="393"/>
      <c r="AO51" s="392"/>
      <c r="AP51" s="393"/>
      <c r="AQ51" s="393"/>
      <c r="AR51" s="392"/>
      <c r="AS51" s="393"/>
      <c r="AT51" s="393"/>
      <c r="AU51" s="392"/>
      <c r="AV51" s="393"/>
      <c r="AW51" s="393"/>
      <c r="AX51" s="392"/>
      <c r="AY51" s="393"/>
      <c r="AZ51" s="393"/>
      <c r="BA51" s="392"/>
      <c r="BB51" s="393"/>
      <c r="BC51" s="393"/>
      <c r="BD51" s="392"/>
      <c r="BE51" s="393"/>
      <c r="BF51" s="393"/>
      <c r="BG51" s="392"/>
      <c r="BH51" s="393"/>
      <c r="BI51" s="393"/>
      <c r="BJ51" s="392"/>
      <c r="BK51" s="393"/>
      <c r="BL51" s="393"/>
      <c r="BM51" s="392"/>
      <c r="BN51" s="393"/>
      <c r="BO51" s="393"/>
      <c r="BP51" s="392"/>
      <c r="BQ51" s="393"/>
      <c r="BR51" s="393"/>
      <c r="BS51" s="392"/>
      <c r="BT51" s="392"/>
      <c r="BU51" s="393"/>
      <c r="BV51" s="393"/>
      <c r="BW51" s="392"/>
      <c r="BX51" s="392"/>
      <c r="BY51" s="393"/>
      <c r="BZ51" s="393"/>
      <c r="CA51" s="392"/>
      <c r="CB51" s="393"/>
      <c r="CC51" s="393"/>
      <c r="CD51" s="392"/>
      <c r="CE51" s="392"/>
      <c r="CF51" s="393"/>
      <c r="CG51" s="393"/>
      <c r="CH51" s="392"/>
      <c r="CI51" s="393"/>
      <c r="CJ51" s="393"/>
      <c r="CK51" s="155">
        <f t="shared" si="46"/>
        <v>0</v>
      </c>
      <c r="CL51" s="393"/>
      <c r="CM51" s="393"/>
      <c r="CN51" s="392"/>
      <c r="CO51" s="393"/>
      <c r="CP51" s="393"/>
      <c r="CQ51" s="392"/>
      <c r="CR51" s="393"/>
      <c r="CS51" s="393"/>
      <c r="CT51" s="392"/>
      <c r="CU51" s="392"/>
      <c r="CV51" s="393"/>
      <c r="CW51" s="393"/>
      <c r="CX51" s="392"/>
      <c r="CY51" s="393"/>
      <c r="CZ51" s="393"/>
      <c r="DA51" s="392"/>
      <c r="DB51" s="393"/>
      <c r="DC51" s="393"/>
      <c r="DD51" s="392"/>
      <c r="DE51" s="392"/>
      <c r="DF51" s="393"/>
      <c r="DG51" s="393"/>
      <c r="DH51" s="393"/>
      <c r="DI51" s="392"/>
      <c r="DJ51" s="392"/>
      <c r="DK51" s="392"/>
      <c r="DL51" s="392"/>
      <c r="DM51" s="392"/>
      <c r="DN51" s="392"/>
      <c r="DO51" s="392"/>
      <c r="DP51" s="392"/>
      <c r="DQ51" s="393"/>
      <c r="DR51" s="393"/>
      <c r="DS51" s="392"/>
      <c r="DT51" s="392"/>
      <c r="DU51" s="396"/>
      <c r="DV51" s="190">
        <f t="shared" si="42"/>
        <v>69012.591499999995</v>
      </c>
      <c r="DW51" s="337"/>
      <c r="DX51" s="338">
        <f>+E51-'Výdaje kapitol celkem'!G51</f>
        <v>-8946.1750000000029</v>
      </c>
      <c r="DY51" s="390"/>
      <c r="EA51" s="322"/>
    </row>
    <row r="52" spans="1:131" ht="14.25" thickBot="1" x14ac:dyDescent="0.3">
      <c r="A52" s="213" t="s">
        <v>102</v>
      </c>
      <c r="B52" s="214"/>
      <c r="C52" s="374">
        <v>91165212.558166653</v>
      </c>
      <c r="D52" s="374">
        <v>93593787.558166653</v>
      </c>
      <c r="E52" s="374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5">
        <f t="shared" si="53"/>
        <v>10075000</v>
      </c>
      <c r="O52" s="376">
        <f t="shared" si="53"/>
        <v>70000</v>
      </c>
      <c r="P52" s="217">
        <f t="shared" si="53"/>
        <v>0</v>
      </c>
      <c r="Q52" s="377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5">
        <f t="shared" si="54"/>
        <v>3174240</v>
      </c>
      <c r="AB52" s="375">
        <f t="shared" si="54"/>
        <v>0</v>
      </c>
      <c r="AC52" s="217">
        <f t="shared" si="54"/>
        <v>4490000</v>
      </c>
      <c r="AD52" s="375">
        <f t="shared" si="54"/>
        <v>4490000</v>
      </c>
      <c r="AE52" s="375">
        <f t="shared" si="54"/>
        <v>0</v>
      </c>
      <c r="AF52" s="217">
        <f t="shared" si="54"/>
        <v>6330800</v>
      </c>
      <c r="AG52" s="375">
        <f t="shared" si="54"/>
        <v>6330800</v>
      </c>
      <c r="AH52" s="375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5">
        <f t="shared" si="54"/>
        <v>190000</v>
      </c>
      <c r="AN52" s="375">
        <f t="shared" si="54"/>
        <v>20000</v>
      </c>
      <c r="AO52" s="217">
        <f t="shared" si="54"/>
        <v>740000</v>
      </c>
      <c r="AP52" s="375">
        <f t="shared" si="54"/>
        <v>740000</v>
      </c>
      <c r="AQ52" s="375">
        <f t="shared" si="54"/>
        <v>0</v>
      </c>
      <c r="AR52" s="217">
        <f t="shared" ref="AR52:AW52" si="56">SUM(AR17:AR51)</f>
        <v>660000</v>
      </c>
      <c r="AS52" s="375">
        <f t="shared" si="56"/>
        <v>430000</v>
      </c>
      <c r="AT52" s="375">
        <f t="shared" si="56"/>
        <v>230000</v>
      </c>
      <c r="AU52" s="217">
        <f t="shared" si="56"/>
        <v>1757156</v>
      </c>
      <c r="AV52" s="375">
        <f t="shared" si="56"/>
        <v>1757156</v>
      </c>
      <c r="AW52" s="375">
        <f t="shared" si="56"/>
        <v>0</v>
      </c>
      <c r="AX52" s="217">
        <f t="shared" si="54"/>
        <v>12040400</v>
      </c>
      <c r="AY52" s="375">
        <f t="shared" si="54"/>
        <v>12040400</v>
      </c>
      <c r="AZ52" s="375">
        <f t="shared" si="54"/>
        <v>0</v>
      </c>
      <c r="BA52" s="217">
        <f t="shared" ref="BA52:BC52" si="57">SUM(BA17:BA51)</f>
        <v>1600000</v>
      </c>
      <c r="BB52" s="375">
        <f t="shared" si="57"/>
        <v>1600000</v>
      </c>
      <c r="BC52" s="375">
        <f t="shared" si="57"/>
        <v>0</v>
      </c>
      <c r="BD52" s="217">
        <f t="shared" si="54"/>
        <v>840000</v>
      </c>
      <c r="BE52" s="375">
        <f t="shared" si="54"/>
        <v>840000</v>
      </c>
      <c r="BF52" s="375">
        <f t="shared" si="54"/>
        <v>0</v>
      </c>
      <c r="BG52" s="217">
        <f t="shared" si="54"/>
        <v>1000000</v>
      </c>
      <c r="BH52" s="375">
        <f t="shared" si="54"/>
        <v>1000000</v>
      </c>
      <c r="BI52" s="375">
        <f t="shared" si="54"/>
        <v>0</v>
      </c>
      <c r="BJ52" s="217">
        <f t="shared" si="54"/>
        <v>320000</v>
      </c>
      <c r="BK52" s="375">
        <f t="shared" si="54"/>
        <v>290000</v>
      </c>
      <c r="BL52" s="375">
        <f t="shared" si="54"/>
        <v>30000</v>
      </c>
      <c r="BM52" s="217">
        <f t="shared" si="54"/>
        <v>5159000</v>
      </c>
      <c r="BN52" s="375">
        <f t="shared" si="54"/>
        <v>5129000</v>
      </c>
      <c r="BO52" s="375">
        <f t="shared" si="54"/>
        <v>30000</v>
      </c>
      <c r="BP52" s="217">
        <f t="shared" si="54"/>
        <v>0</v>
      </c>
      <c r="BQ52" s="375">
        <f t="shared" si="54"/>
        <v>0</v>
      </c>
      <c r="BR52" s="375">
        <f t="shared" si="54"/>
        <v>0</v>
      </c>
      <c r="BS52" s="217">
        <f t="shared" si="54"/>
        <v>270000</v>
      </c>
      <c r="BT52" s="217">
        <f t="shared" si="54"/>
        <v>510000</v>
      </c>
      <c r="BU52" s="375">
        <f t="shared" si="54"/>
        <v>480000</v>
      </c>
      <c r="BV52" s="375">
        <f t="shared" si="54"/>
        <v>30000</v>
      </c>
      <c r="BW52" s="217">
        <f t="shared" si="54"/>
        <v>500000</v>
      </c>
      <c r="BX52" s="217">
        <f t="shared" si="54"/>
        <v>4392100</v>
      </c>
      <c r="BY52" s="375">
        <f t="shared" si="54"/>
        <v>4042100</v>
      </c>
      <c r="BZ52" s="375">
        <f t="shared" si="54"/>
        <v>350000</v>
      </c>
      <c r="CA52" s="217">
        <f t="shared" si="54"/>
        <v>9200709</v>
      </c>
      <c r="CB52" s="375">
        <f t="shared" si="54"/>
        <v>6950709</v>
      </c>
      <c r="CC52" s="375">
        <f t="shared" si="54"/>
        <v>2250000</v>
      </c>
      <c r="CD52" s="217">
        <f t="shared" si="54"/>
        <v>3028575</v>
      </c>
      <c r="CE52" s="217">
        <f t="shared" si="54"/>
        <v>1470000</v>
      </c>
      <c r="CF52" s="375">
        <f t="shared" si="54"/>
        <v>1470000</v>
      </c>
      <c r="CG52" s="375">
        <f t="shared" si="54"/>
        <v>0</v>
      </c>
      <c r="CH52" s="217">
        <f t="shared" si="54"/>
        <v>2500000</v>
      </c>
      <c r="CI52" s="375">
        <f t="shared" si="54"/>
        <v>2500000</v>
      </c>
      <c r="CJ52" s="375">
        <f t="shared" si="54"/>
        <v>0</v>
      </c>
      <c r="CK52" s="217">
        <f t="shared" si="54"/>
        <v>870000</v>
      </c>
      <c r="CL52" s="375">
        <f t="shared" si="54"/>
        <v>870000</v>
      </c>
      <c r="CM52" s="375">
        <f t="shared" si="54"/>
        <v>0</v>
      </c>
      <c r="CN52" s="217">
        <f t="shared" ref="CN52:DU52" si="58">SUM(CN17:CN51)</f>
        <v>2500000</v>
      </c>
      <c r="CO52" s="375">
        <f t="shared" si="58"/>
        <v>2500000</v>
      </c>
      <c r="CP52" s="375">
        <f t="shared" si="58"/>
        <v>0</v>
      </c>
      <c r="CQ52" s="217">
        <f t="shared" si="58"/>
        <v>530000</v>
      </c>
      <c r="CR52" s="375">
        <f t="shared" si="58"/>
        <v>530000</v>
      </c>
      <c r="CS52" s="375">
        <f t="shared" si="58"/>
        <v>0</v>
      </c>
      <c r="CT52" s="217">
        <f t="shared" si="58"/>
        <v>100000</v>
      </c>
      <c r="CU52" s="217">
        <f t="shared" si="58"/>
        <v>5500000</v>
      </c>
      <c r="CV52" s="375">
        <f t="shared" si="58"/>
        <v>0</v>
      </c>
      <c r="CW52" s="375">
        <f t="shared" si="58"/>
        <v>5500000</v>
      </c>
      <c r="CX52" s="217">
        <f t="shared" si="58"/>
        <v>800000</v>
      </c>
      <c r="CY52" s="375">
        <f t="shared" si="58"/>
        <v>0</v>
      </c>
      <c r="CZ52" s="375">
        <f t="shared" si="58"/>
        <v>800000</v>
      </c>
      <c r="DA52" s="217">
        <f t="shared" si="58"/>
        <v>70000</v>
      </c>
      <c r="DB52" s="375">
        <f t="shared" si="58"/>
        <v>0</v>
      </c>
      <c r="DC52" s="375">
        <f t="shared" si="58"/>
        <v>70000</v>
      </c>
      <c r="DD52" s="217">
        <f t="shared" si="58"/>
        <v>66500</v>
      </c>
      <c r="DE52" s="217">
        <f t="shared" si="58"/>
        <v>3000000</v>
      </c>
      <c r="DF52" s="375">
        <f t="shared" si="58"/>
        <v>1450000</v>
      </c>
      <c r="DG52" s="375">
        <f t="shared" si="58"/>
        <v>0</v>
      </c>
      <c r="DH52" s="375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5">
        <f t="shared" si="58"/>
        <v>50000</v>
      </c>
      <c r="DR52" s="375">
        <f t="shared" si="58"/>
        <v>700000</v>
      </c>
      <c r="DS52" s="217">
        <f t="shared" si="58"/>
        <v>0</v>
      </c>
      <c r="DT52" s="217">
        <f t="shared" si="58"/>
        <v>0</v>
      </c>
      <c r="DU52" s="378">
        <f t="shared" si="58"/>
        <v>0</v>
      </c>
      <c r="DV52" s="190"/>
      <c r="DW52" s="337"/>
      <c r="DX52" s="338"/>
      <c r="DY52" s="374">
        <f>SUM(DY17:DY50)</f>
        <v>10700000</v>
      </c>
      <c r="EA52" s="322"/>
    </row>
    <row r="53" spans="1:131" outlineLevel="1" x14ac:dyDescent="0.25">
      <c r="A53" s="222">
        <v>5141</v>
      </c>
      <c r="B53" s="205" t="s">
        <v>7</v>
      </c>
      <c r="C53" s="361">
        <v>1823522.6525999999</v>
      </c>
      <c r="D53" s="361">
        <v>1823522.6525999999</v>
      </c>
      <c r="E53" s="361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0">
        <v>2952545.0202600001</v>
      </c>
      <c r="G53" s="401"/>
      <c r="H53" s="401"/>
      <c r="I53" s="401"/>
      <c r="J53" s="401"/>
      <c r="K53" s="401"/>
      <c r="L53" s="401"/>
      <c r="M53" s="401">
        <f t="shared" ref="M53:M54" si="60">+N53+O53</f>
        <v>0</v>
      </c>
      <c r="N53" s="402"/>
      <c r="O53" s="403"/>
      <c r="P53" s="401"/>
      <c r="Q53" s="404">
        <f t="shared" ref="Q53:Q54" si="61">+O53+AN53+CC53+BZ53+BV53+DH53+AB53+AH53+AQ53+AZ53+BF53+BI53+BL53+BO53+BR53+CG53+CS53+CW53+CZ53+DC53+AE53+DR53</f>
        <v>0</v>
      </c>
      <c r="R53" s="401"/>
      <c r="S53" s="401"/>
      <c r="T53" s="401"/>
      <c r="U53" s="401"/>
      <c r="V53" s="401"/>
      <c r="W53" s="401"/>
      <c r="X53" s="401"/>
      <c r="Y53" s="401"/>
      <c r="Z53" s="401">
        <f t="shared" ref="Z53:Z54" si="62">+AA53+AB53</f>
        <v>0</v>
      </c>
      <c r="AA53" s="402"/>
      <c r="AB53" s="402"/>
      <c r="AC53" s="401">
        <f t="shared" ref="AC53:AC54" si="63">+AD53+AE53</f>
        <v>0</v>
      </c>
      <c r="AD53" s="402"/>
      <c r="AE53" s="402"/>
      <c r="AF53" s="401">
        <f t="shared" ref="AF53:AF54" si="64">+AG53+AH53</f>
        <v>0</v>
      </c>
      <c r="AG53" s="402"/>
      <c r="AH53" s="402"/>
      <c r="AI53" s="401"/>
      <c r="AJ53" s="401"/>
      <c r="AK53" s="401"/>
      <c r="AL53" s="401">
        <f t="shared" ref="AL53:AL54" si="65">+AM53+AN53</f>
        <v>0</v>
      </c>
      <c r="AM53" s="402"/>
      <c r="AN53" s="402"/>
      <c r="AO53" s="401">
        <f t="shared" ref="AO53:AO54" si="66">+AP53+AQ53</f>
        <v>0</v>
      </c>
      <c r="AP53" s="402"/>
      <c r="AQ53" s="402"/>
      <c r="AR53" s="401">
        <f t="shared" ref="AR53:AR54" si="67">+AS53+AT53</f>
        <v>0</v>
      </c>
      <c r="AS53" s="402"/>
      <c r="AT53" s="402"/>
      <c r="AU53" s="401">
        <f t="shared" ref="AU53:AU54" si="68">+AV53+AW53</f>
        <v>0</v>
      </c>
      <c r="AV53" s="402"/>
      <c r="AW53" s="402"/>
      <c r="AX53" s="401">
        <f t="shared" ref="AX53:AX54" si="69">+AY53+AZ53</f>
        <v>0</v>
      </c>
      <c r="AY53" s="402"/>
      <c r="AZ53" s="402"/>
      <c r="BA53" s="401">
        <f t="shared" ref="BA53:BA54" si="70">+BB53+BC53</f>
        <v>0</v>
      </c>
      <c r="BB53" s="402"/>
      <c r="BC53" s="402"/>
      <c r="BD53" s="401">
        <f t="shared" ref="BD53:BD54" si="71">+BE53+BF53</f>
        <v>0</v>
      </c>
      <c r="BE53" s="402"/>
      <c r="BF53" s="402"/>
      <c r="BG53" s="401">
        <f t="shared" ref="BG53:BG54" si="72">+BH53+BI53</f>
        <v>0</v>
      </c>
      <c r="BH53" s="402"/>
      <c r="BI53" s="402"/>
      <c r="BJ53" s="401">
        <f t="shared" ref="BJ53:BJ54" si="73">+BK53+BL53</f>
        <v>0</v>
      </c>
      <c r="BK53" s="402"/>
      <c r="BL53" s="402"/>
      <c r="BM53" s="401">
        <f t="shared" ref="BM53:BM54" si="74">+BN53+BO53</f>
        <v>0</v>
      </c>
      <c r="BN53" s="402"/>
      <c r="BO53" s="402"/>
      <c r="BP53" s="401">
        <f t="shared" ref="BP53:BP54" si="75">+BQ53+BR53</f>
        <v>0</v>
      </c>
      <c r="BQ53" s="402"/>
      <c r="BR53" s="402"/>
      <c r="BS53" s="401"/>
      <c r="BT53" s="401">
        <f t="shared" ref="BT53:BT54" si="76">+BU53+BV53</f>
        <v>0</v>
      </c>
      <c r="BU53" s="402"/>
      <c r="BV53" s="402"/>
      <c r="BW53" s="401"/>
      <c r="BX53" s="401">
        <f t="shared" ref="BX53:BX54" si="77">+BY53+BZ53</f>
        <v>0</v>
      </c>
      <c r="BY53" s="402"/>
      <c r="BZ53" s="402"/>
      <c r="CA53" s="401">
        <f t="shared" ref="CA53:CA54" si="78">+CB53+CC53</f>
        <v>0</v>
      </c>
      <c r="CB53" s="402"/>
      <c r="CC53" s="402"/>
      <c r="CD53" s="401"/>
      <c r="CE53" s="401">
        <f t="shared" ref="CE53:CE54" si="79">+CF53+CG53</f>
        <v>0</v>
      </c>
      <c r="CF53" s="402"/>
      <c r="CG53" s="402"/>
      <c r="CH53" s="401"/>
      <c r="CI53" s="402"/>
      <c r="CJ53" s="402"/>
      <c r="CK53" s="401"/>
      <c r="CL53" s="402"/>
      <c r="CM53" s="402"/>
      <c r="CN53" s="401"/>
      <c r="CO53" s="402"/>
      <c r="CP53" s="402"/>
      <c r="CQ53" s="401">
        <f t="shared" ref="CQ53:CQ54" si="80">+CR53+CS53</f>
        <v>0</v>
      </c>
      <c r="CR53" s="402"/>
      <c r="CS53" s="402"/>
      <c r="CT53" s="401"/>
      <c r="CU53" s="401">
        <f t="shared" ref="CU53:CU54" si="81">+CV53+CW53</f>
        <v>0</v>
      </c>
      <c r="CV53" s="402"/>
      <c r="CW53" s="402"/>
      <c r="CX53" s="401">
        <f t="shared" ref="CX53:CX54" si="82">+CY53+CZ53</f>
        <v>0</v>
      </c>
      <c r="CY53" s="402"/>
      <c r="CZ53" s="402"/>
      <c r="DA53" s="401">
        <f t="shared" ref="DA53:DA54" si="83">+DB53+DC53</f>
        <v>0</v>
      </c>
      <c r="DB53" s="402"/>
      <c r="DC53" s="402"/>
      <c r="DD53" s="401"/>
      <c r="DE53" s="401">
        <f t="shared" ref="DE53:DE54" si="84">+DF53+DG53+DH53</f>
        <v>0</v>
      </c>
      <c r="DF53" s="402"/>
      <c r="DG53" s="402"/>
      <c r="DH53" s="402"/>
      <c r="DI53" s="401"/>
      <c r="DJ53" s="401"/>
      <c r="DK53" s="401"/>
      <c r="DL53" s="401"/>
      <c r="DM53" s="401"/>
      <c r="DN53" s="401"/>
      <c r="DO53" s="401"/>
      <c r="DP53" s="401"/>
      <c r="DQ53" s="402"/>
      <c r="DR53" s="402"/>
      <c r="DS53" s="401"/>
      <c r="DT53" s="401"/>
      <c r="DU53" s="405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7">
        <f t="shared" si="12"/>
        <v>0</v>
      </c>
      <c r="DX53" s="338">
        <f>+E53-'Výdaje kapitol celkem'!G53</f>
        <v>644592.49551999988</v>
      </c>
      <c r="DY53" s="399"/>
      <c r="EA53" s="322"/>
    </row>
    <row r="54" spans="1:131" outlineLevel="1" x14ac:dyDescent="0.25">
      <c r="A54" s="397">
        <v>5144</v>
      </c>
      <c r="B54" s="406" t="s">
        <v>675</v>
      </c>
      <c r="C54" s="399">
        <v>0</v>
      </c>
      <c r="D54" s="399">
        <v>0</v>
      </c>
      <c r="E54" s="399">
        <f t="shared" si="59"/>
        <v>0</v>
      </c>
      <c r="F54" s="252"/>
      <c r="G54" s="407"/>
      <c r="H54" s="407"/>
      <c r="I54" s="407"/>
      <c r="J54" s="407"/>
      <c r="K54" s="407"/>
      <c r="L54" s="407"/>
      <c r="M54" s="407">
        <f t="shared" si="60"/>
        <v>0</v>
      </c>
      <c r="N54" s="408"/>
      <c r="O54" s="409"/>
      <c r="P54" s="407"/>
      <c r="Q54" s="410">
        <f t="shared" si="61"/>
        <v>0</v>
      </c>
      <c r="R54" s="407"/>
      <c r="S54" s="407"/>
      <c r="T54" s="407"/>
      <c r="U54" s="407"/>
      <c r="V54" s="407"/>
      <c r="W54" s="407"/>
      <c r="X54" s="407"/>
      <c r="Y54" s="407"/>
      <c r="Z54" s="407">
        <f t="shared" si="62"/>
        <v>0</v>
      </c>
      <c r="AA54" s="408"/>
      <c r="AB54" s="408"/>
      <c r="AC54" s="407">
        <f t="shared" si="63"/>
        <v>0</v>
      </c>
      <c r="AD54" s="408"/>
      <c r="AE54" s="408"/>
      <c r="AF54" s="407">
        <f t="shared" si="64"/>
        <v>0</v>
      </c>
      <c r="AG54" s="408"/>
      <c r="AH54" s="408"/>
      <c r="AI54" s="407"/>
      <c r="AJ54" s="407"/>
      <c r="AK54" s="407"/>
      <c r="AL54" s="407">
        <f t="shared" si="65"/>
        <v>0</v>
      </c>
      <c r="AM54" s="408"/>
      <c r="AN54" s="408"/>
      <c r="AO54" s="407">
        <f t="shared" si="66"/>
        <v>0</v>
      </c>
      <c r="AP54" s="408"/>
      <c r="AQ54" s="408"/>
      <c r="AR54" s="407">
        <f t="shared" si="67"/>
        <v>0</v>
      </c>
      <c r="AS54" s="408"/>
      <c r="AT54" s="408"/>
      <c r="AU54" s="407">
        <f t="shared" si="68"/>
        <v>0</v>
      </c>
      <c r="AV54" s="408"/>
      <c r="AW54" s="408"/>
      <c r="AX54" s="407">
        <f t="shared" si="69"/>
        <v>0</v>
      </c>
      <c r="AY54" s="408"/>
      <c r="AZ54" s="408"/>
      <c r="BA54" s="407">
        <f t="shared" si="70"/>
        <v>0</v>
      </c>
      <c r="BB54" s="408"/>
      <c r="BC54" s="408"/>
      <c r="BD54" s="407">
        <f t="shared" si="71"/>
        <v>0</v>
      </c>
      <c r="BE54" s="408"/>
      <c r="BF54" s="408"/>
      <c r="BG54" s="407">
        <f t="shared" si="72"/>
        <v>0</v>
      </c>
      <c r="BH54" s="408"/>
      <c r="BI54" s="408"/>
      <c r="BJ54" s="407">
        <f t="shared" si="73"/>
        <v>0</v>
      </c>
      <c r="BK54" s="408"/>
      <c r="BL54" s="408"/>
      <c r="BM54" s="407">
        <f t="shared" si="74"/>
        <v>0</v>
      </c>
      <c r="BN54" s="408"/>
      <c r="BO54" s="408"/>
      <c r="BP54" s="407">
        <f t="shared" si="75"/>
        <v>0</v>
      </c>
      <c r="BQ54" s="408"/>
      <c r="BR54" s="408"/>
      <c r="BS54" s="407"/>
      <c r="BT54" s="407">
        <f t="shared" si="76"/>
        <v>0</v>
      </c>
      <c r="BU54" s="408"/>
      <c r="BV54" s="408"/>
      <c r="BW54" s="407"/>
      <c r="BX54" s="407">
        <f t="shared" si="77"/>
        <v>0</v>
      </c>
      <c r="BY54" s="408"/>
      <c r="BZ54" s="408"/>
      <c r="CA54" s="407">
        <f t="shared" si="78"/>
        <v>0</v>
      </c>
      <c r="CB54" s="408"/>
      <c r="CC54" s="408"/>
      <c r="CD54" s="407"/>
      <c r="CE54" s="407">
        <f t="shared" si="79"/>
        <v>0</v>
      </c>
      <c r="CF54" s="408"/>
      <c r="CG54" s="408"/>
      <c r="CH54" s="407"/>
      <c r="CI54" s="408"/>
      <c r="CJ54" s="408"/>
      <c r="CK54" s="407"/>
      <c r="CL54" s="408"/>
      <c r="CM54" s="408"/>
      <c r="CN54" s="407"/>
      <c r="CO54" s="408"/>
      <c r="CP54" s="408"/>
      <c r="CQ54" s="407">
        <f t="shared" si="80"/>
        <v>0</v>
      </c>
      <c r="CR54" s="408"/>
      <c r="CS54" s="408"/>
      <c r="CT54" s="407"/>
      <c r="CU54" s="407">
        <f t="shared" si="81"/>
        <v>0</v>
      </c>
      <c r="CV54" s="408"/>
      <c r="CW54" s="408"/>
      <c r="CX54" s="407">
        <f t="shared" si="82"/>
        <v>0</v>
      </c>
      <c r="CY54" s="408"/>
      <c r="CZ54" s="408"/>
      <c r="DA54" s="407">
        <f t="shared" si="83"/>
        <v>0</v>
      </c>
      <c r="DB54" s="408"/>
      <c r="DC54" s="408"/>
      <c r="DD54" s="407"/>
      <c r="DE54" s="407">
        <f t="shared" si="84"/>
        <v>0</v>
      </c>
      <c r="DF54" s="408"/>
      <c r="DG54" s="408"/>
      <c r="DH54" s="408"/>
      <c r="DI54" s="407"/>
      <c r="DJ54" s="407"/>
      <c r="DK54" s="407"/>
      <c r="DL54" s="407"/>
      <c r="DM54" s="407"/>
      <c r="DN54" s="407"/>
      <c r="DO54" s="407"/>
      <c r="DP54" s="407"/>
      <c r="DQ54" s="408"/>
      <c r="DR54" s="408"/>
      <c r="DS54" s="407"/>
      <c r="DT54" s="407"/>
      <c r="DU54" s="411"/>
      <c r="DV54" s="190">
        <f t="shared" si="85"/>
        <v>0</v>
      </c>
      <c r="DW54" s="337"/>
      <c r="DX54" s="338">
        <f>+E54-'Výdaje kapitol celkem'!G54</f>
        <v>0</v>
      </c>
      <c r="DY54" s="399"/>
      <c r="EA54" s="322"/>
    </row>
    <row r="55" spans="1:131" ht="14.25" thickBot="1" x14ac:dyDescent="0.3">
      <c r="A55" s="213" t="s">
        <v>103</v>
      </c>
      <c r="B55" s="214" t="s">
        <v>104</v>
      </c>
      <c r="C55" s="374">
        <v>134231286.41076666</v>
      </c>
      <c r="D55" s="374">
        <v>136659861.41076666</v>
      </c>
      <c r="E55" s="374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5">
        <f t="shared" si="86"/>
        <v>35498760.600000001</v>
      </c>
      <c r="O55" s="376">
        <f t="shared" si="86"/>
        <v>70000</v>
      </c>
      <c r="P55" s="217">
        <f t="shared" si="86"/>
        <v>2539193.7999999998</v>
      </c>
      <c r="Q55" s="377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5">
        <f t="shared" si="86"/>
        <v>3174240</v>
      </c>
      <c r="AB55" s="375">
        <f t="shared" si="86"/>
        <v>0</v>
      </c>
      <c r="AC55" s="217">
        <f t="shared" si="86"/>
        <v>4490000</v>
      </c>
      <c r="AD55" s="375">
        <f t="shared" si="86"/>
        <v>4490000</v>
      </c>
      <c r="AE55" s="375">
        <f t="shared" si="86"/>
        <v>0</v>
      </c>
      <c r="AF55" s="217">
        <f t="shared" si="86"/>
        <v>6330800</v>
      </c>
      <c r="AG55" s="375">
        <f t="shared" si="86"/>
        <v>6330800</v>
      </c>
      <c r="AH55" s="375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5">
        <f t="shared" si="86"/>
        <v>190000</v>
      </c>
      <c r="AN55" s="375">
        <f t="shared" si="86"/>
        <v>20000</v>
      </c>
      <c r="AO55" s="217">
        <f t="shared" si="86"/>
        <v>740000</v>
      </c>
      <c r="AP55" s="375">
        <f t="shared" si="86"/>
        <v>740000</v>
      </c>
      <c r="AQ55" s="375">
        <f t="shared" si="86"/>
        <v>0</v>
      </c>
      <c r="AR55" s="217">
        <f t="shared" si="86"/>
        <v>660000</v>
      </c>
      <c r="AS55" s="375">
        <f t="shared" si="86"/>
        <v>430000</v>
      </c>
      <c r="AT55" s="375">
        <f t="shared" si="86"/>
        <v>230000</v>
      </c>
      <c r="AU55" s="217">
        <f t="shared" si="86"/>
        <v>1757156</v>
      </c>
      <c r="AV55" s="375">
        <f t="shared" si="86"/>
        <v>1757156</v>
      </c>
      <c r="AW55" s="375">
        <f t="shared" si="86"/>
        <v>0</v>
      </c>
      <c r="AX55" s="217">
        <f t="shared" si="86"/>
        <v>12040400</v>
      </c>
      <c r="AY55" s="375">
        <f t="shared" si="86"/>
        <v>12040400</v>
      </c>
      <c r="AZ55" s="375">
        <f t="shared" si="86"/>
        <v>0</v>
      </c>
      <c r="BA55" s="217">
        <f t="shared" si="86"/>
        <v>1600000</v>
      </c>
      <c r="BB55" s="375">
        <f t="shared" si="86"/>
        <v>1600000</v>
      </c>
      <c r="BC55" s="375">
        <f t="shared" si="86"/>
        <v>0</v>
      </c>
      <c r="BD55" s="217">
        <f t="shared" si="86"/>
        <v>840000</v>
      </c>
      <c r="BE55" s="375">
        <f t="shared" si="86"/>
        <v>840000</v>
      </c>
      <c r="BF55" s="375">
        <f t="shared" si="86"/>
        <v>0</v>
      </c>
      <c r="BG55" s="217">
        <f t="shared" si="86"/>
        <v>1000000</v>
      </c>
      <c r="BH55" s="375">
        <f t="shared" si="86"/>
        <v>1000000</v>
      </c>
      <c r="BI55" s="375">
        <f t="shared" si="86"/>
        <v>0</v>
      </c>
      <c r="BJ55" s="217">
        <f t="shared" si="86"/>
        <v>320000</v>
      </c>
      <c r="BK55" s="375">
        <f t="shared" si="86"/>
        <v>290000</v>
      </c>
      <c r="BL55" s="375">
        <f t="shared" si="86"/>
        <v>30000</v>
      </c>
      <c r="BM55" s="217">
        <f t="shared" si="86"/>
        <v>5159000</v>
      </c>
      <c r="BN55" s="375">
        <f t="shared" si="86"/>
        <v>5129000</v>
      </c>
      <c r="BO55" s="375">
        <f t="shared" si="86"/>
        <v>30000</v>
      </c>
      <c r="BP55" s="217">
        <f t="shared" si="86"/>
        <v>0</v>
      </c>
      <c r="BQ55" s="375">
        <f t="shared" si="86"/>
        <v>0</v>
      </c>
      <c r="BR55" s="375">
        <f t="shared" si="86"/>
        <v>0</v>
      </c>
      <c r="BS55" s="217">
        <f t="shared" si="86"/>
        <v>270000</v>
      </c>
      <c r="BT55" s="217">
        <f t="shared" si="86"/>
        <v>510000</v>
      </c>
      <c r="BU55" s="375">
        <f t="shared" si="86"/>
        <v>480000</v>
      </c>
      <c r="BV55" s="375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5">
        <f t="shared" si="87"/>
        <v>4042100</v>
      </c>
      <c r="BZ55" s="375">
        <f t="shared" si="87"/>
        <v>350000</v>
      </c>
      <c r="CA55" s="217">
        <f t="shared" si="87"/>
        <v>9200709</v>
      </c>
      <c r="CB55" s="375">
        <f t="shared" si="87"/>
        <v>6950709</v>
      </c>
      <c r="CC55" s="375">
        <f t="shared" si="87"/>
        <v>2250000</v>
      </c>
      <c r="CD55" s="217">
        <f t="shared" si="87"/>
        <v>3028575</v>
      </c>
      <c r="CE55" s="217">
        <f t="shared" si="87"/>
        <v>1470000</v>
      </c>
      <c r="CF55" s="375">
        <f t="shared" si="87"/>
        <v>1470000</v>
      </c>
      <c r="CG55" s="375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5">
        <f t="shared" ref="CR55:DU55" si="89">+CR52+CR53+CR16+CR54</f>
        <v>530000</v>
      </c>
      <c r="CS55" s="375">
        <f t="shared" si="89"/>
        <v>0</v>
      </c>
      <c r="CT55" s="217">
        <f t="shared" si="89"/>
        <v>100000</v>
      </c>
      <c r="CU55" s="217">
        <f t="shared" si="89"/>
        <v>5500000</v>
      </c>
      <c r="CV55" s="375">
        <f t="shared" si="89"/>
        <v>0</v>
      </c>
      <c r="CW55" s="375">
        <f t="shared" si="89"/>
        <v>5500000</v>
      </c>
      <c r="CX55" s="217">
        <f t="shared" si="89"/>
        <v>800000</v>
      </c>
      <c r="CY55" s="375">
        <f t="shared" si="89"/>
        <v>0</v>
      </c>
      <c r="CZ55" s="375">
        <f t="shared" si="89"/>
        <v>800000</v>
      </c>
      <c r="DA55" s="217">
        <f t="shared" si="89"/>
        <v>70000</v>
      </c>
      <c r="DB55" s="375">
        <f t="shared" si="89"/>
        <v>0</v>
      </c>
      <c r="DC55" s="375">
        <f t="shared" si="89"/>
        <v>70000</v>
      </c>
      <c r="DD55" s="217">
        <f t="shared" si="89"/>
        <v>66500</v>
      </c>
      <c r="DE55" s="217">
        <f t="shared" si="89"/>
        <v>3000000</v>
      </c>
      <c r="DF55" s="375">
        <f t="shared" si="89"/>
        <v>1450000</v>
      </c>
      <c r="DG55" s="375">
        <f t="shared" si="89"/>
        <v>0</v>
      </c>
      <c r="DH55" s="375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5">
        <f t="shared" si="89"/>
        <v>50000</v>
      </c>
      <c r="DR55" s="375">
        <f t="shared" si="89"/>
        <v>700000</v>
      </c>
      <c r="DS55" s="217">
        <f t="shared" si="89"/>
        <v>0</v>
      </c>
      <c r="DT55" s="217">
        <f t="shared" si="89"/>
        <v>0</v>
      </c>
      <c r="DU55" s="378">
        <f t="shared" si="89"/>
        <v>0</v>
      </c>
      <c r="DV55" s="190"/>
      <c r="DW55" s="337"/>
      <c r="DX55" s="338"/>
      <c r="DY55" s="374">
        <f>+DY52+DY53+DY16</f>
        <v>10700000</v>
      </c>
      <c r="EA55" s="322"/>
    </row>
    <row r="56" spans="1:131" outlineLevel="1" x14ac:dyDescent="0.25">
      <c r="A56" s="222"/>
      <c r="B56" s="205"/>
      <c r="C56" s="412"/>
      <c r="D56" s="412"/>
      <c r="E56" s="412"/>
      <c r="F56" s="413"/>
      <c r="G56" s="407"/>
      <c r="H56" s="407"/>
      <c r="I56" s="407"/>
      <c r="J56" s="407"/>
      <c r="K56" s="407"/>
      <c r="L56" s="407"/>
      <c r="M56" s="407"/>
      <c r="N56" s="408"/>
      <c r="O56" s="409"/>
      <c r="P56" s="407"/>
      <c r="Q56" s="410">
        <f t="shared" ref="Q56:Q64" si="90">+O56+AN56+CC56+BZ56+BV56+DH56+AB56+AH56+AQ56+AZ56+BF56+BI56+BL56+BO56+BR56+CG56+CS56+CW56+CZ56+DC56+AE56+DR56</f>
        <v>0</v>
      </c>
      <c r="R56" s="407"/>
      <c r="S56" s="407"/>
      <c r="T56" s="407"/>
      <c r="U56" s="407"/>
      <c r="V56" s="407"/>
      <c r="W56" s="407"/>
      <c r="X56" s="407"/>
      <c r="Y56" s="407"/>
      <c r="Z56" s="407"/>
      <c r="AA56" s="408"/>
      <c r="AB56" s="408"/>
      <c r="AC56" s="407"/>
      <c r="AD56" s="408"/>
      <c r="AE56" s="408"/>
      <c r="AF56" s="407"/>
      <c r="AG56" s="408"/>
      <c r="AH56" s="408"/>
      <c r="AI56" s="407"/>
      <c r="AJ56" s="407"/>
      <c r="AK56" s="407"/>
      <c r="AL56" s="407"/>
      <c r="AM56" s="408"/>
      <c r="AN56" s="408"/>
      <c r="AO56" s="407"/>
      <c r="AP56" s="408"/>
      <c r="AQ56" s="408"/>
      <c r="AR56" s="407"/>
      <c r="AS56" s="408"/>
      <c r="AT56" s="408"/>
      <c r="AU56" s="407"/>
      <c r="AV56" s="408"/>
      <c r="AW56" s="408"/>
      <c r="AX56" s="407"/>
      <c r="AY56" s="408"/>
      <c r="AZ56" s="408"/>
      <c r="BA56" s="407"/>
      <c r="BB56" s="408"/>
      <c r="BC56" s="408"/>
      <c r="BD56" s="407"/>
      <c r="BE56" s="408"/>
      <c r="BF56" s="408"/>
      <c r="BG56" s="407"/>
      <c r="BH56" s="408"/>
      <c r="BI56" s="408"/>
      <c r="BJ56" s="407"/>
      <c r="BK56" s="408"/>
      <c r="BL56" s="408"/>
      <c r="BM56" s="407"/>
      <c r="BN56" s="408"/>
      <c r="BO56" s="408"/>
      <c r="BP56" s="407"/>
      <c r="BQ56" s="408"/>
      <c r="BR56" s="408"/>
      <c r="BS56" s="407"/>
      <c r="BT56" s="407"/>
      <c r="BU56" s="408"/>
      <c r="BV56" s="408"/>
      <c r="BW56" s="407"/>
      <c r="BX56" s="407"/>
      <c r="BY56" s="408"/>
      <c r="BZ56" s="408"/>
      <c r="CA56" s="407"/>
      <c r="CB56" s="408"/>
      <c r="CC56" s="408"/>
      <c r="CD56" s="407"/>
      <c r="CE56" s="407"/>
      <c r="CF56" s="408"/>
      <c r="CG56" s="408"/>
      <c r="CH56" s="407"/>
      <c r="CI56" s="408"/>
      <c r="CJ56" s="408"/>
      <c r="CK56" s="407"/>
      <c r="CL56" s="408"/>
      <c r="CM56" s="408"/>
      <c r="CN56" s="407"/>
      <c r="CO56" s="408"/>
      <c r="CP56" s="408"/>
      <c r="CQ56" s="407"/>
      <c r="CR56" s="408"/>
      <c r="CS56" s="408"/>
      <c r="CT56" s="407"/>
      <c r="CU56" s="407"/>
      <c r="CV56" s="408"/>
      <c r="CW56" s="408"/>
      <c r="CX56" s="407"/>
      <c r="CY56" s="408"/>
      <c r="CZ56" s="408"/>
      <c r="DA56" s="407"/>
      <c r="DB56" s="408"/>
      <c r="DC56" s="408"/>
      <c r="DD56" s="407"/>
      <c r="DE56" s="407"/>
      <c r="DF56" s="408"/>
      <c r="DG56" s="408"/>
      <c r="DH56" s="408"/>
      <c r="DI56" s="407"/>
      <c r="DJ56" s="407"/>
      <c r="DK56" s="407"/>
      <c r="DL56" s="407"/>
      <c r="DM56" s="407"/>
      <c r="DN56" s="407"/>
      <c r="DO56" s="407"/>
      <c r="DP56" s="407"/>
      <c r="DQ56" s="408"/>
      <c r="DR56" s="408"/>
      <c r="DS56" s="407"/>
      <c r="DT56" s="407"/>
      <c r="DU56" s="411"/>
      <c r="DV56" s="190">
        <f t="shared" si="38"/>
        <v>0</v>
      </c>
      <c r="DW56" s="337"/>
      <c r="DX56" s="338">
        <f>+E56-'Výdaje kapitol celkem'!G56</f>
        <v>0</v>
      </c>
      <c r="DY56" s="399"/>
      <c r="EA56" s="322"/>
    </row>
    <row r="57" spans="1:131" outlineLevel="1" x14ac:dyDescent="0.25">
      <c r="A57" s="414">
        <v>6111</v>
      </c>
      <c r="B57" s="398" t="s">
        <v>90</v>
      </c>
      <c r="C57" s="369">
        <v>0</v>
      </c>
      <c r="D57" s="369">
        <v>0</v>
      </c>
      <c r="E57" s="369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0"/>
      <c r="O57" s="371"/>
      <c r="P57" s="155"/>
      <c r="Q57" s="380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0"/>
      <c r="AB57" s="370"/>
      <c r="AC57" s="155">
        <f t="shared" ref="AC57:AC68" si="94">+AD57+AE57</f>
        <v>0</v>
      </c>
      <c r="AD57" s="370"/>
      <c r="AE57" s="370"/>
      <c r="AF57" s="155">
        <f t="shared" ref="AF57:AF68" si="95">+AG57+AH57</f>
        <v>0</v>
      </c>
      <c r="AG57" s="370"/>
      <c r="AH57" s="370"/>
      <c r="AI57" s="155"/>
      <c r="AJ57" s="155"/>
      <c r="AK57" s="155"/>
      <c r="AL57" s="155">
        <f t="shared" ref="AL57:AL68" si="96">+AM57+AN57</f>
        <v>0</v>
      </c>
      <c r="AM57" s="370"/>
      <c r="AN57" s="370"/>
      <c r="AO57" s="155">
        <f t="shared" ref="AO57:AO68" si="97">+AP57+AQ57</f>
        <v>0</v>
      </c>
      <c r="AP57" s="370"/>
      <c r="AQ57" s="370"/>
      <c r="AR57" s="155">
        <f t="shared" ref="AR57:AR64" si="98">+AS57+AT57</f>
        <v>0</v>
      </c>
      <c r="AS57" s="370"/>
      <c r="AT57" s="370"/>
      <c r="AU57" s="155">
        <f t="shared" ref="AU57:AU64" si="99">+AV57+AW57</f>
        <v>0</v>
      </c>
      <c r="AV57" s="370"/>
      <c r="AW57" s="370"/>
      <c r="AX57" s="155">
        <f t="shared" ref="AX57:AX68" si="100">+AY57+AZ57</f>
        <v>0</v>
      </c>
      <c r="AY57" s="370"/>
      <c r="AZ57" s="370"/>
      <c r="BA57" s="155">
        <f t="shared" ref="BA57:BA64" si="101">+BB57+BC57</f>
        <v>0</v>
      </c>
      <c r="BB57" s="370"/>
      <c r="BC57" s="370"/>
      <c r="BD57" s="155">
        <f t="shared" ref="BD57:BD68" si="102">+BE57+BF57</f>
        <v>0</v>
      </c>
      <c r="BE57" s="370"/>
      <c r="BF57" s="370"/>
      <c r="BG57" s="155">
        <f t="shared" ref="BG57:BG68" si="103">+BH57+BI57</f>
        <v>0</v>
      </c>
      <c r="BH57" s="370"/>
      <c r="BI57" s="370"/>
      <c r="BJ57" s="155">
        <f t="shared" ref="BJ57:BJ68" si="104">+BK57+BL57</f>
        <v>0</v>
      </c>
      <c r="BK57" s="370"/>
      <c r="BL57" s="370"/>
      <c r="BM57" s="155">
        <f t="shared" ref="BM57:BM68" si="105">+BN57+BO57</f>
        <v>0</v>
      </c>
      <c r="BN57" s="370"/>
      <c r="BO57" s="370"/>
      <c r="BP57" s="155">
        <f t="shared" ref="BP57:BP68" si="106">+BQ57+BR57</f>
        <v>0</v>
      </c>
      <c r="BQ57" s="370"/>
      <c r="BR57" s="370"/>
      <c r="BS57" s="155"/>
      <c r="BT57" s="155">
        <f t="shared" ref="BT57:BT68" si="107">+BU57+BV57</f>
        <v>0</v>
      </c>
      <c r="BU57" s="370"/>
      <c r="BV57" s="370"/>
      <c r="BW57" s="155"/>
      <c r="BX57" s="155">
        <f t="shared" ref="BX57:BX68" si="108">+BY57+BZ57</f>
        <v>0</v>
      </c>
      <c r="BY57" s="370"/>
      <c r="BZ57" s="370"/>
      <c r="CA57" s="155">
        <f t="shared" ref="CA57:CA68" si="109">+CB57+CC57</f>
        <v>0</v>
      </c>
      <c r="CB57" s="370"/>
      <c r="CC57" s="370"/>
      <c r="CD57" s="155"/>
      <c r="CE57" s="155">
        <f t="shared" ref="CE57:CE68" si="110">+CF57+CG57</f>
        <v>0</v>
      </c>
      <c r="CF57" s="370"/>
      <c r="CG57" s="370"/>
      <c r="CH57" s="155"/>
      <c r="CI57" s="370"/>
      <c r="CJ57" s="370"/>
      <c r="CK57" s="155">
        <f>+CL57+CM57</f>
        <v>0</v>
      </c>
      <c r="CL57" s="370"/>
      <c r="CM57" s="370"/>
      <c r="CN57" s="155"/>
      <c r="CO57" s="370"/>
      <c r="CP57" s="370"/>
      <c r="CQ57" s="155">
        <f t="shared" ref="CQ57:CQ68" si="111">+CR57+CS57</f>
        <v>0</v>
      </c>
      <c r="CR57" s="370"/>
      <c r="CS57" s="370"/>
      <c r="CT57" s="155"/>
      <c r="CU57" s="155">
        <f t="shared" ref="CU57:CU68" si="112">+CV57+CW57</f>
        <v>0</v>
      </c>
      <c r="CV57" s="370"/>
      <c r="CW57" s="370"/>
      <c r="CX57" s="155">
        <f t="shared" ref="CX57:CX68" si="113">+CY57+CZ57</f>
        <v>0</v>
      </c>
      <c r="CY57" s="370"/>
      <c r="CZ57" s="370"/>
      <c r="DA57" s="155">
        <f t="shared" ref="DA57:DA68" si="114">+DB57+DC57</f>
        <v>0</v>
      </c>
      <c r="DB57" s="370"/>
      <c r="DC57" s="370"/>
      <c r="DD57" s="155"/>
      <c r="DE57" s="155">
        <f t="shared" ref="DE57:DE68" si="115">+DF57+DG57+DH57</f>
        <v>0</v>
      </c>
      <c r="DF57" s="370"/>
      <c r="DG57" s="370"/>
      <c r="DH57" s="370"/>
      <c r="DI57" s="155"/>
      <c r="DJ57" s="155"/>
      <c r="DK57" s="155"/>
      <c r="DL57" s="155"/>
      <c r="DM57" s="155"/>
      <c r="DN57" s="155"/>
      <c r="DO57" s="155"/>
      <c r="DP57" s="155"/>
      <c r="DQ57" s="370"/>
      <c r="DR57" s="370"/>
      <c r="DS57" s="155"/>
      <c r="DT57" s="155"/>
      <c r="DU57" s="373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7">
        <f t="shared" si="12"/>
        <v>0</v>
      </c>
      <c r="DX57" s="338">
        <f>+E57-'Výdaje kapitol celkem'!G57</f>
        <v>0</v>
      </c>
      <c r="DY57" s="369">
        <f t="shared" ref="DY57:DY68" si="117">+O57+AB57+AE57++AH57+AN57+AQ57+AZ57+BF57+BI57+BL57+BO57+BR57+BV57+BZ57+CC57+CG57+CS57+CW57+CZ57+DC57+DH57</f>
        <v>0</v>
      </c>
      <c r="EA57" s="322"/>
    </row>
    <row r="58" spans="1:131" outlineLevel="1" x14ac:dyDescent="0.25">
      <c r="A58" s="222">
        <v>6121</v>
      </c>
      <c r="B58" s="205" t="s">
        <v>105</v>
      </c>
      <c r="C58" s="369">
        <v>41745000</v>
      </c>
      <c r="D58" s="369">
        <v>45745000</v>
      </c>
      <c r="E58" s="369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0"/>
      <c r="O58" s="371"/>
      <c r="P58" s="155"/>
      <c r="Q58" s="381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70">
        <v>2400000</v>
      </c>
      <c r="AB58" s="370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70">
        <v>0</v>
      </c>
      <c r="AN58" s="370"/>
      <c r="AO58" s="336">
        <f t="shared" si="97"/>
        <v>220000</v>
      </c>
      <c r="AP58" s="370">
        <v>220000</v>
      </c>
      <c r="AQ58" s="370"/>
      <c r="AR58" s="336">
        <f t="shared" si="98"/>
        <v>0</v>
      </c>
      <c r="AS58" s="370">
        <v>0</v>
      </c>
      <c r="AT58" s="370"/>
      <c r="AU58" s="336">
        <f t="shared" si="99"/>
        <v>0</v>
      </c>
      <c r="AV58" s="370"/>
      <c r="AW58" s="370"/>
      <c r="AX58" s="155">
        <f t="shared" si="100"/>
        <v>31536654.48</v>
      </c>
      <c r="AY58" s="370">
        <v>31536654.48</v>
      </c>
      <c r="AZ58" s="370"/>
      <c r="BA58" s="155">
        <f t="shared" si="101"/>
        <v>0</v>
      </c>
      <c r="BB58" s="370"/>
      <c r="BC58" s="370"/>
      <c r="BD58" s="155">
        <f t="shared" si="102"/>
        <v>0</v>
      </c>
      <c r="BE58" s="370">
        <v>0</v>
      </c>
      <c r="BF58" s="370"/>
      <c r="BG58" s="155">
        <f t="shared" si="103"/>
        <v>0</v>
      </c>
      <c r="BH58" s="370"/>
      <c r="BI58" s="370"/>
      <c r="BJ58" s="155">
        <f t="shared" si="104"/>
        <v>0</v>
      </c>
      <c r="BK58" s="370">
        <v>0</v>
      </c>
      <c r="BL58" s="370"/>
      <c r="BM58" s="155">
        <f t="shared" si="105"/>
        <v>0</v>
      </c>
      <c r="BN58" s="370"/>
      <c r="BO58" s="370"/>
      <c r="BP58" s="155">
        <f t="shared" si="106"/>
        <v>1800000</v>
      </c>
      <c r="BQ58" s="370">
        <v>1800000</v>
      </c>
      <c r="BR58" s="370"/>
      <c r="BS58" s="155"/>
      <c r="BT58" s="336">
        <f t="shared" si="107"/>
        <v>250000</v>
      </c>
      <c r="BU58" s="370">
        <v>250000</v>
      </c>
      <c r="BV58" s="370"/>
      <c r="BW58" s="155"/>
      <c r="BX58" s="155">
        <f t="shared" si="108"/>
        <v>592000</v>
      </c>
      <c r="BY58" s="382">
        <v>592000</v>
      </c>
      <c r="BZ58" s="370"/>
      <c r="CA58" s="336">
        <f t="shared" si="109"/>
        <v>700000</v>
      </c>
      <c r="CB58" s="370">
        <v>700000</v>
      </c>
      <c r="CC58" s="370"/>
      <c r="CD58" s="155"/>
      <c r="CE58" s="155">
        <f t="shared" si="110"/>
        <v>3000000</v>
      </c>
      <c r="CF58" s="370">
        <v>3000000</v>
      </c>
      <c r="CG58" s="370"/>
      <c r="CH58" s="155"/>
      <c r="CI58" s="370"/>
      <c r="CJ58" s="370"/>
      <c r="CK58" s="155">
        <f>+CL58+CM58</f>
        <v>50000</v>
      </c>
      <c r="CL58" s="370">
        <v>50000</v>
      </c>
      <c r="CM58" s="370"/>
      <c r="CN58" s="155"/>
      <c r="CO58" s="370"/>
      <c r="CP58" s="370"/>
      <c r="CQ58" s="155">
        <f t="shared" si="111"/>
        <v>250000</v>
      </c>
      <c r="CR58" s="370">
        <v>250000</v>
      </c>
      <c r="CS58" s="370"/>
      <c r="CT58" s="155"/>
      <c r="CU58" s="155">
        <f t="shared" si="112"/>
        <v>0</v>
      </c>
      <c r="CV58" s="370"/>
      <c r="CW58" s="370"/>
      <c r="CX58" s="155">
        <f t="shared" si="113"/>
        <v>0</v>
      </c>
      <c r="CY58" s="370"/>
      <c r="CZ58" s="370"/>
      <c r="DA58" s="155">
        <f t="shared" si="114"/>
        <v>0</v>
      </c>
      <c r="DB58" s="370"/>
      <c r="DC58" s="370"/>
      <c r="DD58" s="155">
        <v>0</v>
      </c>
      <c r="DE58" s="155">
        <f t="shared" si="115"/>
        <v>0</v>
      </c>
      <c r="DF58" s="370"/>
      <c r="DG58" s="370"/>
      <c r="DH58" s="370"/>
      <c r="DI58" s="155"/>
      <c r="DJ58" s="155"/>
      <c r="DK58" s="155"/>
      <c r="DL58" s="155"/>
      <c r="DM58" s="155"/>
      <c r="DN58" s="155"/>
      <c r="DO58" s="155"/>
      <c r="DP58" s="370"/>
      <c r="DQ58" s="370"/>
      <c r="DR58" s="370"/>
      <c r="DS58" s="155"/>
      <c r="DT58" s="155"/>
      <c r="DU58" s="373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7">
        <f>DV58-E58</f>
        <v>0</v>
      </c>
      <c r="DX58" s="338">
        <f>+E58-'Výdaje kapitol celkem'!G58</f>
        <v>21245714.480000004</v>
      </c>
      <c r="DY58" s="369">
        <f>+O58+AB58+AE58++AH58+AN58+AQ58+AZ58+BF58+BI58+BL58+BO58+BR58+BV58+BZ58+CC58+CG58+CS58+CW58+CZ58+DC58+DH58</f>
        <v>0</v>
      </c>
      <c r="EA58" s="322"/>
    </row>
    <row r="59" spans="1:131" outlineLevel="1" x14ac:dyDescent="0.25">
      <c r="A59" s="222">
        <v>6121</v>
      </c>
      <c r="B59" s="205" t="s">
        <v>106</v>
      </c>
      <c r="C59" s="369">
        <v>6590000</v>
      </c>
      <c r="D59" s="369">
        <v>6590000</v>
      </c>
      <c r="E59" s="369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70"/>
      <c r="O59" s="371"/>
      <c r="P59" s="155"/>
      <c r="Q59" s="380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70">
        <v>0</v>
      </c>
      <c r="AB59" s="370"/>
      <c r="AC59" s="160">
        <f t="shared" si="94"/>
        <v>0</v>
      </c>
      <c r="AD59" s="177"/>
      <c r="AE59" s="177"/>
      <c r="AF59" s="155">
        <f t="shared" si="95"/>
        <v>0</v>
      </c>
      <c r="AG59" s="370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70"/>
      <c r="AN59" s="370"/>
      <c r="AO59" s="155">
        <f t="shared" si="97"/>
        <v>60000</v>
      </c>
      <c r="AP59" s="370">
        <v>60000</v>
      </c>
      <c r="AQ59" s="370"/>
      <c r="AR59" s="155">
        <f t="shared" si="98"/>
        <v>0</v>
      </c>
      <c r="AS59" s="370">
        <v>0</v>
      </c>
      <c r="AT59" s="370"/>
      <c r="AU59" s="155">
        <f t="shared" si="99"/>
        <v>0</v>
      </c>
      <c r="AV59" s="370"/>
      <c r="AW59" s="370"/>
      <c r="AX59" s="155">
        <f t="shared" si="100"/>
        <v>2000000</v>
      </c>
      <c r="AY59" s="370">
        <v>2000000</v>
      </c>
      <c r="AZ59" s="370"/>
      <c r="BA59" s="155">
        <f t="shared" si="101"/>
        <v>0</v>
      </c>
      <c r="BB59" s="370"/>
      <c r="BC59" s="370"/>
      <c r="BD59" s="155">
        <f t="shared" si="102"/>
        <v>0</v>
      </c>
      <c r="BE59" s="370">
        <v>0</v>
      </c>
      <c r="BF59" s="370"/>
      <c r="BG59" s="155">
        <f t="shared" si="103"/>
        <v>0</v>
      </c>
      <c r="BH59" s="370"/>
      <c r="BI59" s="370"/>
      <c r="BJ59" s="155">
        <f t="shared" si="104"/>
        <v>0</v>
      </c>
      <c r="BK59" s="370">
        <v>0</v>
      </c>
      <c r="BL59" s="370"/>
      <c r="BM59" s="155">
        <f t="shared" si="105"/>
        <v>0</v>
      </c>
      <c r="BN59" s="370"/>
      <c r="BO59" s="370"/>
      <c r="BP59" s="155">
        <f t="shared" si="106"/>
        <v>0</v>
      </c>
      <c r="BQ59" s="370">
        <v>0</v>
      </c>
      <c r="BR59" s="370"/>
      <c r="BS59" s="155"/>
      <c r="BT59" s="155">
        <f t="shared" si="107"/>
        <v>2000000</v>
      </c>
      <c r="BU59" s="370">
        <v>2000000</v>
      </c>
      <c r="BV59" s="370"/>
      <c r="BW59" s="155">
        <v>550000</v>
      </c>
      <c r="BX59" s="155">
        <f t="shared" si="108"/>
        <v>0</v>
      </c>
      <c r="BY59" s="370"/>
      <c r="BZ59" s="370"/>
      <c r="CA59" s="155">
        <f t="shared" si="109"/>
        <v>2100000</v>
      </c>
      <c r="CB59" s="370">
        <v>2100000</v>
      </c>
      <c r="CC59" s="370"/>
      <c r="CD59" s="155"/>
      <c r="CE59" s="155">
        <f t="shared" si="110"/>
        <v>2100000</v>
      </c>
      <c r="CF59" s="370">
        <v>2100000</v>
      </c>
      <c r="CG59" s="370"/>
      <c r="CH59" s="155"/>
      <c r="CI59" s="370"/>
      <c r="CJ59" s="370"/>
      <c r="CK59" s="155">
        <f t="shared" ref="CK59:CK67" si="119">+CL59+CM59</f>
        <v>7600000</v>
      </c>
      <c r="CL59" s="370">
        <v>7600000</v>
      </c>
      <c r="CM59" s="370"/>
      <c r="CN59" s="155"/>
      <c r="CO59" s="370"/>
      <c r="CP59" s="370"/>
      <c r="CQ59" s="155">
        <f t="shared" si="111"/>
        <v>0</v>
      </c>
      <c r="CR59" s="370">
        <v>0</v>
      </c>
      <c r="CS59" s="370"/>
      <c r="CT59" s="155"/>
      <c r="CU59" s="155">
        <f t="shared" si="112"/>
        <v>0</v>
      </c>
      <c r="CV59" s="370"/>
      <c r="CW59" s="370"/>
      <c r="CX59" s="155">
        <f t="shared" si="113"/>
        <v>0</v>
      </c>
      <c r="CY59" s="370"/>
      <c r="CZ59" s="370"/>
      <c r="DA59" s="155">
        <f t="shared" si="114"/>
        <v>0</v>
      </c>
      <c r="DB59" s="370"/>
      <c r="DC59" s="370"/>
      <c r="DD59" s="155"/>
      <c r="DE59" s="155">
        <f t="shared" si="115"/>
        <v>150000</v>
      </c>
      <c r="DF59" s="370">
        <v>150000</v>
      </c>
      <c r="DG59" s="370"/>
      <c r="DH59" s="370"/>
      <c r="DI59" s="155">
        <v>0</v>
      </c>
      <c r="DJ59" s="155"/>
      <c r="DK59" s="155"/>
      <c r="DL59" s="155"/>
      <c r="DM59" s="155"/>
      <c r="DN59" s="155"/>
      <c r="DO59" s="155"/>
      <c r="DP59" s="155"/>
      <c r="DQ59" s="370"/>
      <c r="DR59" s="370"/>
      <c r="DS59" s="155"/>
      <c r="DT59" s="155"/>
      <c r="DU59" s="373"/>
      <c r="DV59" s="190">
        <f t="shared" si="118"/>
        <v>17210000</v>
      </c>
      <c r="DW59" s="337">
        <f t="shared" si="12"/>
        <v>0</v>
      </c>
      <c r="DX59" s="338">
        <f>+E59-'Výdaje kapitol celkem'!G59</f>
        <v>8674657</v>
      </c>
      <c r="DY59" s="369">
        <f t="shared" si="117"/>
        <v>0</v>
      </c>
      <c r="EA59" s="322"/>
    </row>
    <row r="60" spans="1:131" outlineLevel="1" x14ac:dyDescent="0.25">
      <c r="A60" s="222">
        <v>6122</v>
      </c>
      <c r="B60" s="205" t="s">
        <v>107</v>
      </c>
      <c r="C60" s="369">
        <v>0</v>
      </c>
      <c r="D60" s="369">
        <v>0</v>
      </c>
      <c r="E60" s="369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0"/>
      <c r="O60" s="371"/>
      <c r="P60" s="155"/>
      <c r="Q60" s="380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0"/>
      <c r="AB60" s="370"/>
      <c r="AC60" s="155">
        <f t="shared" si="94"/>
        <v>0</v>
      </c>
      <c r="AD60" s="370"/>
      <c r="AE60" s="370"/>
      <c r="AF60" s="155">
        <f t="shared" si="95"/>
        <v>0</v>
      </c>
      <c r="AG60" s="370"/>
      <c r="AH60" s="370"/>
      <c r="AI60" s="155">
        <v>200000</v>
      </c>
      <c r="AJ60" s="155"/>
      <c r="AK60" s="155"/>
      <c r="AL60" s="155">
        <f t="shared" si="96"/>
        <v>0</v>
      </c>
      <c r="AM60" s="370"/>
      <c r="AN60" s="370"/>
      <c r="AO60" s="155">
        <f t="shared" si="97"/>
        <v>0</v>
      </c>
      <c r="AP60" s="370"/>
      <c r="AQ60" s="370"/>
      <c r="AR60" s="155">
        <f t="shared" si="98"/>
        <v>0</v>
      </c>
      <c r="AS60" s="370"/>
      <c r="AT60" s="370"/>
      <c r="AU60" s="155">
        <f t="shared" si="99"/>
        <v>0</v>
      </c>
      <c r="AV60" s="370"/>
      <c r="AW60" s="370"/>
      <c r="AX60" s="155">
        <f t="shared" si="100"/>
        <v>0</v>
      </c>
      <c r="AY60" s="370"/>
      <c r="AZ60" s="370"/>
      <c r="BA60" s="155">
        <f t="shared" si="101"/>
        <v>0</v>
      </c>
      <c r="BB60" s="370"/>
      <c r="BC60" s="370"/>
      <c r="BD60" s="155">
        <f t="shared" si="102"/>
        <v>0</v>
      </c>
      <c r="BE60" s="370">
        <v>0</v>
      </c>
      <c r="BF60" s="370"/>
      <c r="BG60" s="155">
        <f t="shared" si="103"/>
        <v>0</v>
      </c>
      <c r="BH60" s="370"/>
      <c r="BI60" s="370"/>
      <c r="BJ60" s="155">
        <f t="shared" si="104"/>
        <v>0</v>
      </c>
      <c r="BK60" s="370"/>
      <c r="BL60" s="370"/>
      <c r="BM60" s="155">
        <f t="shared" si="105"/>
        <v>0</v>
      </c>
      <c r="BN60" s="370"/>
      <c r="BO60" s="370"/>
      <c r="BP60" s="155">
        <f t="shared" si="106"/>
        <v>0</v>
      </c>
      <c r="BQ60" s="370"/>
      <c r="BR60" s="370"/>
      <c r="BS60" s="155"/>
      <c r="BT60" s="155">
        <f t="shared" si="107"/>
        <v>0</v>
      </c>
      <c r="BU60" s="370"/>
      <c r="BV60" s="370"/>
      <c r="BW60" s="155"/>
      <c r="BX60" s="155">
        <f t="shared" si="108"/>
        <v>0</v>
      </c>
      <c r="BY60" s="370"/>
      <c r="BZ60" s="370"/>
      <c r="CA60" s="155">
        <f t="shared" si="109"/>
        <v>0</v>
      </c>
      <c r="CB60" s="370"/>
      <c r="CC60" s="370"/>
      <c r="CD60" s="155"/>
      <c r="CE60" s="155">
        <f t="shared" si="110"/>
        <v>0</v>
      </c>
      <c r="CF60" s="370"/>
      <c r="CG60" s="370"/>
      <c r="CH60" s="155"/>
      <c r="CI60" s="370"/>
      <c r="CJ60" s="370"/>
      <c r="CK60" s="155">
        <f t="shared" si="119"/>
        <v>0</v>
      </c>
      <c r="CL60" s="370"/>
      <c r="CM60" s="370"/>
      <c r="CN60" s="155"/>
      <c r="CO60" s="370"/>
      <c r="CP60" s="370"/>
      <c r="CQ60" s="155">
        <f t="shared" si="111"/>
        <v>0</v>
      </c>
      <c r="CR60" s="370"/>
      <c r="CS60" s="370"/>
      <c r="CT60" s="155"/>
      <c r="CU60" s="155">
        <f t="shared" si="112"/>
        <v>0</v>
      </c>
      <c r="CV60" s="370"/>
      <c r="CW60" s="370"/>
      <c r="CX60" s="155">
        <f t="shared" si="113"/>
        <v>0</v>
      </c>
      <c r="CY60" s="370"/>
      <c r="CZ60" s="370"/>
      <c r="DA60" s="155">
        <f t="shared" si="114"/>
        <v>0</v>
      </c>
      <c r="DB60" s="370"/>
      <c r="DC60" s="370"/>
      <c r="DD60" s="155"/>
      <c r="DE60" s="155">
        <f t="shared" si="115"/>
        <v>0</v>
      </c>
      <c r="DF60" s="370"/>
      <c r="DG60" s="370"/>
      <c r="DH60" s="370"/>
      <c r="DI60" s="155"/>
      <c r="DJ60" s="155"/>
      <c r="DK60" s="155"/>
      <c r="DL60" s="155"/>
      <c r="DM60" s="155"/>
      <c r="DN60" s="155"/>
      <c r="DO60" s="155"/>
      <c r="DP60" s="155"/>
      <c r="DQ60" s="370"/>
      <c r="DR60" s="370"/>
      <c r="DS60" s="155"/>
      <c r="DT60" s="155"/>
      <c r="DU60" s="373"/>
      <c r="DV60" s="190">
        <f t="shared" si="118"/>
        <v>200000</v>
      </c>
      <c r="DW60" s="337">
        <f t="shared" si="12"/>
        <v>0</v>
      </c>
      <c r="DX60" s="338">
        <f>+E60-'Výdaje kapitol celkem'!G60</f>
        <v>200000</v>
      </c>
      <c r="DY60" s="369">
        <f t="shared" si="117"/>
        <v>0</v>
      </c>
      <c r="EA60" s="322"/>
    </row>
    <row r="61" spans="1:131" outlineLevel="1" x14ac:dyDescent="0.25">
      <c r="A61" s="222">
        <v>6123</v>
      </c>
      <c r="B61" s="205" t="s">
        <v>108</v>
      </c>
      <c r="C61" s="369">
        <v>0</v>
      </c>
      <c r="D61" s="369">
        <v>0</v>
      </c>
      <c r="E61" s="369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5"/>
      <c r="P61" s="155"/>
      <c r="Q61" s="380">
        <f t="shared" si="90"/>
        <v>0</v>
      </c>
      <c r="R61" s="155"/>
      <c r="S61" s="155"/>
      <c r="T61" s="155" t="s">
        <v>598</v>
      </c>
      <c r="U61" s="155"/>
      <c r="V61" s="155"/>
      <c r="W61" s="155"/>
      <c r="X61" s="155"/>
      <c r="Y61" s="155"/>
      <c r="Z61" s="155">
        <f t="shared" si="93"/>
        <v>0</v>
      </c>
      <c r="AA61" s="370"/>
      <c r="AB61" s="370"/>
      <c r="AC61" s="155">
        <f t="shared" si="94"/>
        <v>0</v>
      </c>
      <c r="AD61" s="370"/>
      <c r="AE61" s="370"/>
      <c r="AF61" s="155">
        <f t="shared" si="95"/>
        <v>0</v>
      </c>
      <c r="AG61" s="370"/>
      <c r="AH61" s="370"/>
      <c r="AI61" s="155">
        <v>0</v>
      </c>
      <c r="AJ61" s="155"/>
      <c r="AK61" s="155"/>
      <c r="AL61" s="155">
        <f t="shared" si="96"/>
        <v>0</v>
      </c>
      <c r="AM61" s="370"/>
      <c r="AN61" s="370"/>
      <c r="AO61" s="155">
        <f t="shared" si="97"/>
        <v>0</v>
      </c>
      <c r="AP61" s="370"/>
      <c r="AQ61" s="370"/>
      <c r="AR61" s="155">
        <f t="shared" si="98"/>
        <v>0</v>
      </c>
      <c r="AS61" s="370"/>
      <c r="AT61" s="370"/>
      <c r="AU61" s="155">
        <f t="shared" si="99"/>
        <v>0</v>
      </c>
      <c r="AV61" s="370"/>
      <c r="AW61" s="370"/>
      <c r="AX61" s="155">
        <f t="shared" si="100"/>
        <v>0</v>
      </c>
      <c r="AY61" s="370"/>
      <c r="AZ61" s="370"/>
      <c r="BA61" s="155">
        <f t="shared" si="101"/>
        <v>0</v>
      </c>
      <c r="BB61" s="370"/>
      <c r="BC61" s="370"/>
      <c r="BD61" s="155">
        <f t="shared" si="102"/>
        <v>0</v>
      </c>
      <c r="BE61" s="370"/>
      <c r="BF61" s="370"/>
      <c r="BG61" s="155">
        <f t="shared" si="103"/>
        <v>0</v>
      </c>
      <c r="BH61" s="370"/>
      <c r="BI61" s="370"/>
      <c r="BJ61" s="155">
        <f t="shared" si="104"/>
        <v>0</v>
      </c>
      <c r="BK61" s="370"/>
      <c r="BL61" s="370"/>
      <c r="BM61" s="155">
        <f t="shared" si="105"/>
        <v>0</v>
      </c>
      <c r="BN61" s="370"/>
      <c r="BO61" s="370"/>
      <c r="BP61" s="155">
        <f t="shared" si="106"/>
        <v>0</v>
      </c>
      <c r="BQ61" s="370"/>
      <c r="BR61" s="370"/>
      <c r="BS61" s="155"/>
      <c r="BT61" s="155">
        <f t="shared" si="107"/>
        <v>0</v>
      </c>
      <c r="BU61" s="370"/>
      <c r="BV61" s="370"/>
      <c r="BW61" s="155"/>
      <c r="BX61" s="155">
        <f t="shared" si="108"/>
        <v>0</v>
      </c>
      <c r="BY61" s="370"/>
      <c r="BZ61" s="370"/>
      <c r="CA61" s="155">
        <f t="shared" si="109"/>
        <v>0</v>
      </c>
      <c r="CB61" s="370"/>
      <c r="CC61" s="370"/>
      <c r="CD61" s="155"/>
      <c r="CE61" s="155">
        <f t="shared" si="110"/>
        <v>0</v>
      </c>
      <c r="CF61" s="370"/>
      <c r="CG61" s="370"/>
      <c r="CH61" s="155"/>
      <c r="CI61" s="370"/>
      <c r="CJ61" s="370"/>
      <c r="CK61" s="155">
        <f t="shared" si="119"/>
        <v>0</v>
      </c>
      <c r="CL61" s="370"/>
      <c r="CM61" s="370"/>
      <c r="CN61" s="155"/>
      <c r="CO61" s="370"/>
      <c r="CP61" s="370"/>
      <c r="CQ61" s="155">
        <f t="shared" si="111"/>
        <v>0</v>
      </c>
      <c r="CR61" s="370"/>
      <c r="CS61" s="370"/>
      <c r="CT61" s="155"/>
      <c r="CU61" s="155">
        <f t="shared" si="112"/>
        <v>0</v>
      </c>
      <c r="CV61" s="370"/>
      <c r="CW61" s="370"/>
      <c r="CX61" s="155">
        <f t="shared" si="113"/>
        <v>0</v>
      </c>
      <c r="CY61" s="370"/>
      <c r="CZ61" s="370"/>
      <c r="DA61" s="155">
        <f t="shared" si="114"/>
        <v>0</v>
      </c>
      <c r="DB61" s="370"/>
      <c r="DC61" s="370"/>
      <c r="DD61" s="155"/>
      <c r="DE61" s="155">
        <f t="shared" si="115"/>
        <v>0</v>
      </c>
      <c r="DF61" s="370"/>
      <c r="DG61" s="370"/>
      <c r="DH61" s="370"/>
      <c r="DI61" s="155"/>
      <c r="DJ61" s="155"/>
      <c r="DK61" s="155"/>
      <c r="DL61" s="155"/>
      <c r="DM61" s="155"/>
      <c r="DN61" s="155"/>
      <c r="DO61" s="155"/>
      <c r="DP61" s="155"/>
      <c r="DQ61" s="370"/>
      <c r="DR61" s="370"/>
      <c r="DS61" s="155"/>
      <c r="DT61" s="155"/>
      <c r="DU61" s="373"/>
      <c r="DV61" s="190" t="e">
        <f t="shared" si="118"/>
        <v>#VALUE!</v>
      </c>
      <c r="DW61" s="337" t="e">
        <f t="shared" si="12"/>
        <v>#VALUE!</v>
      </c>
      <c r="DX61" s="338">
        <f>+E61-'Výdaje kapitol celkem'!G61</f>
        <v>-1600000</v>
      </c>
      <c r="DY61" s="369">
        <f t="shared" si="117"/>
        <v>0</v>
      </c>
      <c r="EA61" s="322"/>
    </row>
    <row r="62" spans="1:131" outlineLevel="1" x14ac:dyDescent="0.25">
      <c r="A62" s="222">
        <v>6125</v>
      </c>
      <c r="B62" s="205" t="s">
        <v>109</v>
      </c>
      <c r="C62" s="369">
        <v>240000</v>
      </c>
      <c r="D62" s="369">
        <v>240000</v>
      </c>
      <c r="E62" s="369">
        <f t="shared" si="91"/>
        <v>240000</v>
      </c>
      <c r="F62" s="234"/>
      <c r="G62" s="155"/>
      <c r="H62" s="155"/>
      <c r="I62" s="155"/>
      <c r="J62" s="155"/>
      <c r="K62" s="370"/>
      <c r="L62" s="155"/>
      <c r="M62" s="155">
        <f t="shared" si="92"/>
        <v>240000</v>
      </c>
      <c r="N62" s="370">
        <v>240000</v>
      </c>
      <c r="O62" s="371"/>
      <c r="P62" s="155"/>
      <c r="Q62" s="380">
        <f t="shared" si="90"/>
        <v>0</v>
      </c>
      <c r="R62" s="155"/>
      <c r="S62" s="155"/>
      <c r="T62" s="155" t="s">
        <v>598</v>
      </c>
      <c r="U62" s="155"/>
      <c r="V62" s="155"/>
      <c r="W62" s="155"/>
      <c r="X62" s="155"/>
      <c r="Y62" s="155"/>
      <c r="Z62" s="155">
        <f t="shared" si="93"/>
        <v>0</v>
      </c>
      <c r="AA62" s="370"/>
      <c r="AB62" s="370"/>
      <c r="AC62" s="155">
        <f t="shared" si="94"/>
        <v>0</v>
      </c>
      <c r="AD62" s="370"/>
      <c r="AE62" s="370"/>
      <c r="AF62" s="155">
        <f t="shared" si="95"/>
        <v>0</v>
      </c>
      <c r="AG62" s="370"/>
      <c r="AH62" s="370"/>
      <c r="AI62" s="155"/>
      <c r="AJ62" s="155"/>
      <c r="AK62" s="155"/>
      <c r="AL62" s="155">
        <f t="shared" si="96"/>
        <v>0</v>
      </c>
      <c r="AM62" s="370"/>
      <c r="AN62" s="370"/>
      <c r="AO62" s="155">
        <f t="shared" si="97"/>
        <v>0</v>
      </c>
      <c r="AP62" s="370"/>
      <c r="AQ62" s="370"/>
      <c r="AR62" s="155">
        <f t="shared" si="98"/>
        <v>0</v>
      </c>
      <c r="AS62" s="370"/>
      <c r="AT62" s="370"/>
      <c r="AU62" s="155">
        <f t="shared" si="99"/>
        <v>0</v>
      </c>
      <c r="AV62" s="370"/>
      <c r="AW62" s="370"/>
      <c r="AX62" s="155">
        <f t="shared" si="100"/>
        <v>0</v>
      </c>
      <c r="AY62" s="370"/>
      <c r="AZ62" s="370"/>
      <c r="BA62" s="155">
        <f t="shared" si="101"/>
        <v>0</v>
      </c>
      <c r="BB62" s="370"/>
      <c r="BC62" s="370"/>
      <c r="BD62" s="155">
        <f t="shared" si="102"/>
        <v>0</v>
      </c>
      <c r="BE62" s="370"/>
      <c r="BF62" s="370"/>
      <c r="BG62" s="155">
        <f t="shared" si="103"/>
        <v>0</v>
      </c>
      <c r="BH62" s="370"/>
      <c r="BI62" s="370"/>
      <c r="BJ62" s="155">
        <f t="shared" si="104"/>
        <v>0</v>
      </c>
      <c r="BK62" s="370"/>
      <c r="BL62" s="370"/>
      <c r="BM62" s="155">
        <f t="shared" si="105"/>
        <v>0</v>
      </c>
      <c r="BN62" s="370"/>
      <c r="BO62" s="370"/>
      <c r="BP62" s="155">
        <f t="shared" si="106"/>
        <v>0</v>
      </c>
      <c r="BQ62" s="370"/>
      <c r="BR62" s="370"/>
      <c r="BS62" s="155"/>
      <c r="BT62" s="155">
        <f t="shared" si="107"/>
        <v>0</v>
      </c>
      <c r="BU62" s="370"/>
      <c r="BV62" s="370"/>
      <c r="BW62" s="155"/>
      <c r="BX62" s="155">
        <f t="shared" si="108"/>
        <v>0</v>
      </c>
      <c r="BY62" s="370"/>
      <c r="BZ62" s="370"/>
      <c r="CA62" s="155">
        <f t="shared" si="109"/>
        <v>0</v>
      </c>
      <c r="CB62" s="370"/>
      <c r="CC62" s="370"/>
      <c r="CD62" s="155"/>
      <c r="CE62" s="155">
        <f t="shared" si="110"/>
        <v>0</v>
      </c>
      <c r="CF62" s="370"/>
      <c r="CG62" s="370"/>
      <c r="CH62" s="155"/>
      <c r="CI62" s="370"/>
      <c r="CJ62" s="370"/>
      <c r="CK62" s="155">
        <f t="shared" si="119"/>
        <v>0</v>
      </c>
      <c r="CL62" s="370"/>
      <c r="CM62" s="370"/>
      <c r="CN62" s="155"/>
      <c r="CO62" s="370"/>
      <c r="CP62" s="370"/>
      <c r="CQ62" s="155">
        <f t="shared" si="111"/>
        <v>0</v>
      </c>
      <c r="CR62" s="370"/>
      <c r="CS62" s="370"/>
      <c r="CT62" s="155"/>
      <c r="CU62" s="155">
        <f t="shared" si="112"/>
        <v>0</v>
      </c>
      <c r="CV62" s="370"/>
      <c r="CW62" s="370"/>
      <c r="CX62" s="155">
        <f t="shared" si="113"/>
        <v>0</v>
      </c>
      <c r="CY62" s="370"/>
      <c r="CZ62" s="370"/>
      <c r="DA62" s="155">
        <f t="shared" si="114"/>
        <v>0</v>
      </c>
      <c r="DB62" s="370"/>
      <c r="DC62" s="370"/>
      <c r="DD62" s="155"/>
      <c r="DE62" s="155">
        <f t="shared" si="115"/>
        <v>0</v>
      </c>
      <c r="DF62" s="370"/>
      <c r="DG62" s="370"/>
      <c r="DH62" s="370"/>
      <c r="DI62" s="155"/>
      <c r="DJ62" s="155"/>
      <c r="DK62" s="155"/>
      <c r="DL62" s="155"/>
      <c r="DM62" s="155"/>
      <c r="DN62" s="155"/>
      <c r="DO62" s="155"/>
      <c r="DP62" s="155"/>
      <c r="DQ62" s="370"/>
      <c r="DR62" s="370"/>
      <c r="DS62" s="155"/>
      <c r="DT62" s="155"/>
      <c r="DU62" s="373"/>
      <c r="DV62" s="190" t="e">
        <f t="shared" si="118"/>
        <v>#VALUE!</v>
      </c>
      <c r="DW62" s="337" t="e">
        <f t="shared" si="12"/>
        <v>#VALUE!</v>
      </c>
      <c r="DX62" s="338">
        <f>+E62-'Výdaje kapitol celkem'!G62</f>
        <v>240000</v>
      </c>
      <c r="DY62" s="369">
        <f t="shared" si="117"/>
        <v>0</v>
      </c>
      <c r="EA62" s="322"/>
    </row>
    <row r="63" spans="1:131" outlineLevel="1" x14ac:dyDescent="0.25">
      <c r="A63" s="222">
        <v>6129</v>
      </c>
      <c r="B63" s="205" t="s">
        <v>110</v>
      </c>
      <c r="C63" s="369">
        <v>0</v>
      </c>
      <c r="D63" s="369">
        <v>0</v>
      </c>
      <c r="E63" s="369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0"/>
      <c r="O63" s="371"/>
      <c r="P63" s="155"/>
      <c r="Q63" s="380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0"/>
      <c r="AB63" s="370"/>
      <c r="AC63" s="155">
        <f t="shared" si="94"/>
        <v>0</v>
      </c>
      <c r="AD63" s="370"/>
      <c r="AE63" s="370"/>
      <c r="AF63" s="155">
        <f t="shared" si="95"/>
        <v>0</v>
      </c>
      <c r="AG63" s="370"/>
      <c r="AH63" s="370"/>
      <c r="AI63" s="155"/>
      <c r="AJ63" s="155"/>
      <c r="AK63" s="155"/>
      <c r="AL63" s="155">
        <f t="shared" si="96"/>
        <v>0</v>
      </c>
      <c r="AM63" s="370"/>
      <c r="AN63" s="370"/>
      <c r="AO63" s="155">
        <f t="shared" si="97"/>
        <v>0</v>
      </c>
      <c r="AP63" s="370"/>
      <c r="AQ63" s="370"/>
      <c r="AR63" s="155">
        <f t="shared" si="98"/>
        <v>0</v>
      </c>
      <c r="AS63" s="370"/>
      <c r="AT63" s="370"/>
      <c r="AU63" s="155">
        <f t="shared" si="99"/>
        <v>0</v>
      </c>
      <c r="AV63" s="370"/>
      <c r="AW63" s="370"/>
      <c r="AX63" s="155">
        <f t="shared" si="100"/>
        <v>0</v>
      </c>
      <c r="AY63" s="370"/>
      <c r="AZ63" s="370"/>
      <c r="BA63" s="155">
        <f t="shared" si="101"/>
        <v>0</v>
      </c>
      <c r="BB63" s="370"/>
      <c r="BC63" s="370"/>
      <c r="BD63" s="155">
        <f t="shared" si="102"/>
        <v>0</v>
      </c>
      <c r="BE63" s="370"/>
      <c r="BF63" s="370"/>
      <c r="BG63" s="155">
        <f t="shared" si="103"/>
        <v>0</v>
      </c>
      <c r="BH63" s="370"/>
      <c r="BI63" s="370"/>
      <c r="BJ63" s="155">
        <f t="shared" si="104"/>
        <v>0</v>
      </c>
      <c r="BK63" s="370"/>
      <c r="BL63" s="370"/>
      <c r="BM63" s="155">
        <f t="shared" si="105"/>
        <v>0</v>
      </c>
      <c r="BN63" s="370"/>
      <c r="BO63" s="370"/>
      <c r="BP63" s="155">
        <f t="shared" si="106"/>
        <v>0</v>
      </c>
      <c r="BQ63" s="370"/>
      <c r="BR63" s="370"/>
      <c r="BS63" s="155"/>
      <c r="BT63" s="155">
        <f t="shared" si="107"/>
        <v>0</v>
      </c>
      <c r="BU63" s="370"/>
      <c r="BV63" s="370"/>
      <c r="BW63" s="155"/>
      <c r="BX63" s="155">
        <f t="shared" si="108"/>
        <v>0</v>
      </c>
      <c r="BY63" s="370"/>
      <c r="BZ63" s="370"/>
      <c r="CA63" s="155">
        <f t="shared" si="109"/>
        <v>0</v>
      </c>
      <c r="CB63" s="370"/>
      <c r="CC63" s="370"/>
      <c r="CD63" s="155"/>
      <c r="CE63" s="155">
        <f t="shared" si="110"/>
        <v>0</v>
      </c>
      <c r="CF63" s="370"/>
      <c r="CG63" s="370"/>
      <c r="CH63" s="155"/>
      <c r="CI63" s="370"/>
      <c r="CJ63" s="370"/>
      <c r="CK63" s="155">
        <f t="shared" si="119"/>
        <v>0</v>
      </c>
      <c r="CL63" s="370"/>
      <c r="CM63" s="370"/>
      <c r="CN63" s="155"/>
      <c r="CO63" s="370"/>
      <c r="CP63" s="370"/>
      <c r="CQ63" s="155">
        <f t="shared" si="111"/>
        <v>0</v>
      </c>
      <c r="CR63" s="370"/>
      <c r="CS63" s="370"/>
      <c r="CT63" s="155"/>
      <c r="CU63" s="155">
        <f t="shared" si="112"/>
        <v>0</v>
      </c>
      <c r="CV63" s="370"/>
      <c r="CW63" s="370"/>
      <c r="CX63" s="155">
        <f t="shared" si="113"/>
        <v>0</v>
      </c>
      <c r="CY63" s="370"/>
      <c r="CZ63" s="370"/>
      <c r="DA63" s="155">
        <f t="shared" si="114"/>
        <v>0</v>
      </c>
      <c r="DB63" s="370"/>
      <c r="DC63" s="370"/>
      <c r="DD63" s="155"/>
      <c r="DE63" s="155">
        <f t="shared" si="115"/>
        <v>0</v>
      </c>
      <c r="DF63" s="370"/>
      <c r="DG63" s="370"/>
      <c r="DH63" s="370"/>
      <c r="DI63" s="155"/>
      <c r="DJ63" s="155"/>
      <c r="DK63" s="155"/>
      <c r="DL63" s="155"/>
      <c r="DM63" s="155"/>
      <c r="DN63" s="155"/>
      <c r="DO63" s="155"/>
      <c r="DP63" s="155"/>
      <c r="DQ63" s="370"/>
      <c r="DR63" s="370"/>
      <c r="DS63" s="155"/>
      <c r="DT63" s="155"/>
      <c r="DU63" s="373"/>
      <c r="DV63" s="190">
        <f t="shared" si="118"/>
        <v>0</v>
      </c>
      <c r="DW63" s="337">
        <f t="shared" si="12"/>
        <v>0</v>
      </c>
      <c r="DX63" s="338">
        <f>+E63-'Výdaje kapitol celkem'!G63</f>
        <v>0</v>
      </c>
      <c r="DY63" s="369">
        <f t="shared" si="117"/>
        <v>0</v>
      </c>
      <c r="EA63" s="322"/>
    </row>
    <row r="64" spans="1:131" ht="18" customHeight="1" outlineLevel="1" x14ac:dyDescent="0.25">
      <c r="A64" s="222">
        <v>6130</v>
      </c>
      <c r="B64" s="205" t="s">
        <v>111</v>
      </c>
      <c r="C64" s="369">
        <v>200000</v>
      </c>
      <c r="D64" s="369">
        <v>200000</v>
      </c>
      <c r="E64" s="369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70"/>
      <c r="O64" s="371"/>
      <c r="P64" s="155"/>
      <c r="Q64" s="380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0"/>
      <c r="AB64" s="370"/>
      <c r="AC64" s="155">
        <f t="shared" si="94"/>
        <v>0</v>
      </c>
      <c r="AD64" s="370"/>
      <c r="AE64" s="370"/>
      <c r="AF64" s="155">
        <f t="shared" si="95"/>
        <v>0</v>
      </c>
      <c r="AG64" s="370"/>
      <c r="AH64" s="370"/>
      <c r="AI64" s="155"/>
      <c r="AJ64" s="155"/>
      <c r="AK64" s="155"/>
      <c r="AL64" s="155">
        <f t="shared" si="96"/>
        <v>0</v>
      </c>
      <c r="AM64" s="370"/>
      <c r="AN64" s="370"/>
      <c r="AO64" s="155">
        <f t="shared" si="97"/>
        <v>0</v>
      </c>
      <c r="AP64" s="370"/>
      <c r="AQ64" s="370"/>
      <c r="AR64" s="155">
        <f t="shared" si="98"/>
        <v>0</v>
      </c>
      <c r="AS64" s="370"/>
      <c r="AT64" s="370"/>
      <c r="AU64" s="155">
        <f t="shared" si="99"/>
        <v>0</v>
      </c>
      <c r="AV64" s="370"/>
      <c r="AW64" s="370"/>
      <c r="AX64" s="155">
        <f t="shared" si="100"/>
        <v>0</v>
      </c>
      <c r="AY64" s="370"/>
      <c r="AZ64" s="370"/>
      <c r="BA64" s="155">
        <f t="shared" si="101"/>
        <v>0</v>
      </c>
      <c r="BB64" s="370"/>
      <c r="BC64" s="370"/>
      <c r="BD64" s="155">
        <f t="shared" si="102"/>
        <v>0</v>
      </c>
      <c r="BE64" s="370"/>
      <c r="BF64" s="370"/>
      <c r="BG64" s="155">
        <f t="shared" si="103"/>
        <v>0</v>
      </c>
      <c r="BH64" s="370"/>
      <c r="BI64" s="370"/>
      <c r="BJ64" s="155">
        <f t="shared" si="104"/>
        <v>0</v>
      </c>
      <c r="BK64" s="370"/>
      <c r="BL64" s="370"/>
      <c r="BM64" s="155">
        <f t="shared" si="105"/>
        <v>0</v>
      </c>
      <c r="BN64" s="370"/>
      <c r="BO64" s="370"/>
      <c r="BP64" s="155">
        <f t="shared" si="106"/>
        <v>0</v>
      </c>
      <c r="BQ64" s="370"/>
      <c r="BR64" s="370"/>
      <c r="BS64" s="155"/>
      <c r="BT64" s="155">
        <f t="shared" si="107"/>
        <v>0</v>
      </c>
      <c r="BU64" s="370"/>
      <c r="BV64" s="370"/>
      <c r="BW64" s="155"/>
      <c r="BX64" s="155">
        <f t="shared" si="108"/>
        <v>0</v>
      </c>
      <c r="BY64" s="370"/>
      <c r="BZ64" s="370"/>
      <c r="CA64" s="155">
        <f t="shared" si="109"/>
        <v>100000</v>
      </c>
      <c r="CB64" s="370">
        <v>100000</v>
      </c>
      <c r="CC64" s="370"/>
      <c r="CD64" s="155"/>
      <c r="CE64" s="155">
        <f t="shared" si="110"/>
        <v>0</v>
      </c>
      <c r="CF64" s="370"/>
      <c r="CG64" s="370"/>
      <c r="CH64" s="155"/>
      <c r="CI64" s="370"/>
      <c r="CJ64" s="370"/>
      <c r="CK64" s="155">
        <f t="shared" si="119"/>
        <v>0</v>
      </c>
      <c r="CL64" s="370"/>
      <c r="CM64" s="370"/>
      <c r="CN64" s="155"/>
      <c r="CO64" s="370"/>
      <c r="CP64" s="370"/>
      <c r="CQ64" s="155">
        <f t="shared" si="111"/>
        <v>0</v>
      </c>
      <c r="CR64" s="370"/>
      <c r="CS64" s="370"/>
      <c r="CT64" s="155"/>
      <c r="CU64" s="155">
        <f t="shared" si="112"/>
        <v>0</v>
      </c>
      <c r="CV64" s="370"/>
      <c r="CW64" s="370"/>
      <c r="CX64" s="155">
        <f t="shared" si="113"/>
        <v>0</v>
      </c>
      <c r="CY64" s="370"/>
      <c r="CZ64" s="370"/>
      <c r="DA64" s="155">
        <f t="shared" si="114"/>
        <v>0</v>
      </c>
      <c r="DB64" s="370"/>
      <c r="DC64" s="370"/>
      <c r="DD64" s="155"/>
      <c r="DE64" s="155">
        <f t="shared" si="115"/>
        <v>0</v>
      </c>
      <c r="DF64" s="370"/>
      <c r="DG64" s="370"/>
      <c r="DH64" s="370"/>
      <c r="DI64" s="155"/>
      <c r="DJ64" s="155"/>
      <c r="DK64" s="155"/>
      <c r="DL64" s="155"/>
      <c r="DM64" s="155"/>
      <c r="DN64" s="155"/>
      <c r="DO64" s="155"/>
      <c r="DP64" s="155"/>
      <c r="DQ64" s="370"/>
      <c r="DR64" s="370"/>
      <c r="DS64" s="155"/>
      <c r="DT64" s="155"/>
      <c r="DU64" s="373"/>
      <c r="DV64" s="190">
        <f t="shared" si="118"/>
        <v>2215000</v>
      </c>
      <c r="DW64" s="337">
        <f t="shared" si="12"/>
        <v>0</v>
      </c>
      <c r="DX64" s="338">
        <f>+E64-'Výdaje kapitol celkem'!G64</f>
        <v>-6209381</v>
      </c>
      <c r="DY64" s="369">
        <f t="shared" si="117"/>
        <v>0</v>
      </c>
      <c r="EA64" s="322"/>
    </row>
    <row r="65" spans="1:131" ht="18" customHeight="1" outlineLevel="1" x14ac:dyDescent="0.25">
      <c r="A65" s="222">
        <v>6349</v>
      </c>
      <c r="B65" s="205" t="s">
        <v>1147</v>
      </c>
      <c r="C65" s="369">
        <v>0</v>
      </c>
      <c r="D65" s="369">
        <v>0</v>
      </c>
      <c r="E65" s="369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70"/>
      <c r="O65" s="371"/>
      <c r="P65" s="155"/>
      <c r="Q65" s="380"/>
      <c r="R65" s="155"/>
      <c r="S65" s="155"/>
      <c r="T65" s="155"/>
      <c r="U65" s="155"/>
      <c r="V65" s="155"/>
      <c r="W65" s="155"/>
      <c r="X65" s="155"/>
      <c r="Y65" s="155"/>
      <c r="Z65" s="155"/>
      <c r="AA65" s="370"/>
      <c r="AB65" s="370"/>
      <c r="AC65" s="155"/>
      <c r="AD65" s="370"/>
      <c r="AE65" s="370"/>
      <c r="AF65" s="155"/>
      <c r="AG65" s="370"/>
      <c r="AH65" s="370"/>
      <c r="AI65" s="155"/>
      <c r="AJ65" s="155"/>
      <c r="AK65" s="155"/>
      <c r="AL65" s="155"/>
      <c r="AM65" s="370"/>
      <c r="AN65" s="370"/>
      <c r="AO65" s="155"/>
      <c r="AP65" s="370"/>
      <c r="AQ65" s="370"/>
      <c r="AR65" s="155"/>
      <c r="AS65" s="370"/>
      <c r="AT65" s="370"/>
      <c r="AU65" s="155"/>
      <c r="AV65" s="370"/>
      <c r="AW65" s="370"/>
      <c r="AX65" s="155"/>
      <c r="AY65" s="370"/>
      <c r="AZ65" s="370"/>
      <c r="BA65" s="155"/>
      <c r="BB65" s="370"/>
      <c r="BC65" s="370"/>
      <c r="BD65" s="155"/>
      <c r="BE65" s="370"/>
      <c r="BF65" s="370"/>
      <c r="BG65" s="155"/>
      <c r="BH65" s="370"/>
      <c r="BI65" s="370"/>
      <c r="BJ65" s="155"/>
      <c r="BK65" s="370"/>
      <c r="BL65" s="370"/>
      <c r="BM65" s="155"/>
      <c r="BN65" s="370"/>
      <c r="BO65" s="370"/>
      <c r="BP65" s="155"/>
      <c r="BQ65" s="370"/>
      <c r="BR65" s="370"/>
      <c r="BS65" s="155"/>
      <c r="BT65" s="155"/>
      <c r="BU65" s="370"/>
      <c r="BV65" s="370"/>
      <c r="BW65" s="155"/>
      <c r="BX65" s="155"/>
      <c r="BY65" s="370"/>
      <c r="BZ65" s="370"/>
      <c r="CA65" s="155"/>
      <c r="CB65" s="370"/>
      <c r="CC65" s="370"/>
      <c r="CD65" s="155"/>
      <c r="CE65" s="155"/>
      <c r="CF65" s="370"/>
      <c r="CG65" s="370"/>
      <c r="CH65" s="155"/>
      <c r="CI65" s="370"/>
      <c r="CJ65" s="370"/>
      <c r="CK65" s="155">
        <f t="shared" si="119"/>
        <v>0</v>
      </c>
      <c r="CL65" s="370"/>
      <c r="CM65" s="370"/>
      <c r="CN65" s="155"/>
      <c r="CO65" s="370"/>
      <c r="CP65" s="370"/>
      <c r="CQ65" s="155"/>
      <c r="CR65" s="370"/>
      <c r="CS65" s="370"/>
      <c r="CT65" s="155"/>
      <c r="CU65" s="155"/>
      <c r="CV65" s="370"/>
      <c r="CW65" s="370"/>
      <c r="CX65" s="155"/>
      <c r="CY65" s="370"/>
      <c r="CZ65" s="370"/>
      <c r="DA65" s="155"/>
      <c r="DB65" s="370"/>
      <c r="DC65" s="370"/>
      <c r="DD65" s="155"/>
      <c r="DE65" s="155"/>
      <c r="DF65" s="370"/>
      <c r="DG65" s="370"/>
      <c r="DH65" s="370"/>
      <c r="DI65" s="155"/>
      <c r="DJ65" s="155"/>
      <c r="DK65" s="155"/>
      <c r="DL65" s="155"/>
      <c r="DM65" s="155"/>
      <c r="DN65" s="155"/>
      <c r="DO65" s="155"/>
      <c r="DP65" s="155"/>
      <c r="DQ65" s="370"/>
      <c r="DR65" s="370"/>
      <c r="DS65" s="155"/>
      <c r="DT65" s="155"/>
      <c r="DU65" s="373"/>
      <c r="DV65" s="190">
        <f t="shared" si="118"/>
        <v>0</v>
      </c>
      <c r="DW65" s="337"/>
      <c r="DX65" s="338">
        <f>+E65-'Výdaje kapitol celkem'!G65</f>
        <v>-33417507</v>
      </c>
      <c r="DY65" s="369"/>
      <c r="EA65" s="322"/>
    </row>
    <row r="66" spans="1:131" s="327" customFormat="1" ht="14.25" outlineLevel="1" thickBot="1" x14ac:dyDescent="0.3">
      <c r="A66" s="383">
        <v>6351</v>
      </c>
      <c r="B66" s="384" t="s">
        <v>294</v>
      </c>
      <c r="C66" s="385">
        <v>2492000</v>
      </c>
      <c r="D66" s="385">
        <v>2492000</v>
      </c>
      <c r="E66" s="385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6"/>
      <c r="G66" s="370"/>
      <c r="H66" s="370"/>
      <c r="I66" s="370"/>
      <c r="J66" s="370">
        <v>0</v>
      </c>
      <c r="K66" s="370"/>
      <c r="L66" s="370"/>
      <c r="M66" s="370">
        <f t="shared" si="92"/>
        <v>0</v>
      </c>
      <c r="N66" s="370"/>
      <c r="O66" s="371"/>
      <c r="P66" s="370"/>
      <c r="Q66" s="1048">
        <v>2090000</v>
      </c>
      <c r="R66" s="370"/>
      <c r="S66" s="370"/>
      <c r="T66" s="370"/>
      <c r="U66" s="370"/>
      <c r="V66" s="370"/>
      <c r="W66" s="370"/>
      <c r="X66" s="370"/>
      <c r="Y66" s="370"/>
      <c r="Z66" s="370">
        <f t="shared" si="93"/>
        <v>0</v>
      </c>
      <c r="AA66" s="370"/>
      <c r="AB66" s="370"/>
      <c r="AC66" s="370">
        <f t="shared" si="94"/>
        <v>0</v>
      </c>
      <c r="AD66" s="370"/>
      <c r="AE66" s="370"/>
      <c r="AF66" s="370">
        <f t="shared" si="95"/>
        <v>0</v>
      </c>
      <c r="AG66" s="370"/>
      <c r="AH66" s="370"/>
      <c r="AI66" s="370"/>
      <c r="AJ66" s="370"/>
      <c r="AK66" s="370"/>
      <c r="AL66" s="370">
        <f t="shared" si="96"/>
        <v>0</v>
      </c>
      <c r="AM66" s="370"/>
      <c r="AN66" s="370"/>
      <c r="AO66" s="370">
        <f t="shared" si="97"/>
        <v>0</v>
      </c>
      <c r="AP66" s="370"/>
      <c r="AQ66" s="370"/>
      <c r="AR66" s="370">
        <f t="shared" ref="AR66:AR68" si="120">+AS66+AT66</f>
        <v>0</v>
      </c>
      <c r="AS66" s="370"/>
      <c r="AT66" s="370"/>
      <c r="AU66" s="370">
        <f t="shared" ref="AU66:AU68" si="121">+AV66+AW66</f>
        <v>0</v>
      </c>
      <c r="AV66" s="370"/>
      <c r="AW66" s="370"/>
      <c r="AX66" s="370">
        <f t="shared" si="100"/>
        <v>0</v>
      </c>
      <c r="AY66" s="370"/>
      <c r="AZ66" s="370"/>
      <c r="BA66" s="370">
        <f t="shared" ref="BA66:BA68" si="122">+BB66+BC66</f>
        <v>0</v>
      </c>
      <c r="BB66" s="370"/>
      <c r="BC66" s="370"/>
      <c r="BD66" s="370">
        <f t="shared" si="102"/>
        <v>0</v>
      </c>
      <c r="BE66" s="370"/>
      <c r="BF66" s="370"/>
      <c r="BG66" s="370">
        <f t="shared" si="103"/>
        <v>0</v>
      </c>
      <c r="BH66" s="370"/>
      <c r="BI66" s="370"/>
      <c r="BJ66" s="370">
        <f t="shared" si="104"/>
        <v>0</v>
      </c>
      <c r="BK66" s="370"/>
      <c r="BL66" s="370"/>
      <c r="BM66" s="370">
        <f t="shared" si="105"/>
        <v>0</v>
      </c>
      <c r="BN66" s="370"/>
      <c r="BO66" s="370"/>
      <c r="BP66" s="370">
        <f t="shared" si="106"/>
        <v>0</v>
      </c>
      <c r="BQ66" s="370"/>
      <c r="BR66" s="370"/>
      <c r="BS66" s="370"/>
      <c r="BT66" s="370">
        <f t="shared" si="107"/>
        <v>0</v>
      </c>
      <c r="BU66" s="370"/>
      <c r="BV66" s="370"/>
      <c r="BW66" s="370"/>
      <c r="BX66" s="370">
        <f t="shared" si="108"/>
        <v>0</v>
      </c>
      <c r="BY66" s="370"/>
      <c r="BZ66" s="370"/>
      <c r="CA66" s="370">
        <f t="shared" si="109"/>
        <v>0</v>
      </c>
      <c r="CB66" s="370"/>
      <c r="CC66" s="370"/>
      <c r="CD66" s="370"/>
      <c r="CE66" s="370">
        <f t="shared" si="110"/>
        <v>0</v>
      </c>
      <c r="CF66" s="370"/>
      <c r="CG66" s="370"/>
      <c r="CH66" s="370"/>
      <c r="CI66" s="370"/>
      <c r="CJ66" s="370"/>
      <c r="CK66" s="155">
        <f t="shared" si="119"/>
        <v>0</v>
      </c>
      <c r="CL66" s="370"/>
      <c r="CM66" s="370"/>
      <c r="CN66" s="370"/>
      <c r="CO66" s="370"/>
      <c r="CP66" s="370"/>
      <c r="CQ66" s="370">
        <f t="shared" si="111"/>
        <v>0</v>
      </c>
      <c r="CR66" s="370"/>
      <c r="CS66" s="370"/>
      <c r="CT66" s="370"/>
      <c r="CU66" s="370">
        <f t="shared" si="112"/>
        <v>0</v>
      </c>
      <c r="CV66" s="370"/>
      <c r="CW66" s="370"/>
      <c r="CX66" s="370">
        <f t="shared" si="113"/>
        <v>0</v>
      </c>
      <c r="CY66" s="370"/>
      <c r="CZ66" s="370"/>
      <c r="DA66" s="370">
        <f t="shared" si="114"/>
        <v>0</v>
      </c>
      <c r="DB66" s="370"/>
      <c r="DC66" s="370"/>
      <c r="DD66" s="370"/>
      <c r="DE66" s="370">
        <f t="shared" si="115"/>
        <v>0</v>
      </c>
      <c r="DF66" s="370"/>
      <c r="DG66" s="370"/>
      <c r="DH66" s="370"/>
      <c r="DI66" s="370"/>
      <c r="DJ66" s="370"/>
      <c r="DK66" s="370"/>
      <c r="DL66" s="370"/>
      <c r="DM66" s="370"/>
      <c r="DN66" s="370"/>
      <c r="DO66" s="370"/>
      <c r="DP66" s="370"/>
      <c r="DQ66" s="370"/>
      <c r="DR66" s="370"/>
      <c r="DS66" s="370"/>
      <c r="DT66" s="370"/>
      <c r="DU66" s="387"/>
      <c r="DV66" s="283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049">
        <f t="shared" si="12"/>
        <v>0</v>
      </c>
      <c r="DX66" s="338">
        <f>+E66-'Výdaje kapitol celkem'!G66</f>
        <v>-8451920</v>
      </c>
      <c r="DY66" s="385">
        <f t="shared" si="117"/>
        <v>0</v>
      </c>
      <c r="EA66" s="323"/>
    </row>
    <row r="67" spans="1:131" s="438" customFormat="1" ht="14.25" outlineLevel="1" thickBot="1" x14ac:dyDescent="0.3">
      <c r="A67" s="844">
        <v>8115</v>
      </c>
      <c r="B67" s="845" t="s">
        <v>1533</v>
      </c>
      <c r="C67" s="846">
        <v>95536.589233338833</v>
      </c>
      <c r="D67" s="846">
        <v>663112.22923332453</v>
      </c>
      <c r="E67" s="847">
        <f t="shared" ref="E67" si="123">SUM(F67:M67)+SUM(R67:Z67)+AC67+AF67+SUM(AI67:AL67)+AO67+AX67+BD67+BG67+BJ67+BM67+BP67+BS67+BT67+BW67+BX67+CA67+SUM(CD67:CE67)+CN67+CQ67+CT67+CU67+CX67+DA67+DD67+DE67+SUM(DI67:DP67)+CH67+CK67+SUM(DS67:DU67)+P67+AR67+AU67</f>
        <v>75482859.908239976</v>
      </c>
      <c r="F67" s="848"/>
      <c r="G67" s="849"/>
      <c r="H67" s="850"/>
      <c r="I67" s="370"/>
      <c r="J67" s="580">
        <f>J75</f>
        <v>75482859.908239976</v>
      </c>
      <c r="K67" s="851"/>
      <c r="L67" s="851"/>
      <c r="M67" s="850">
        <f t="shared" si="92"/>
        <v>0</v>
      </c>
      <c r="N67" s="850"/>
      <c r="O67" s="849"/>
      <c r="P67" s="850"/>
      <c r="Q67" s="852">
        <f>+O67+AN67+CC67+BZ67+BV67+DH67+AB67+AH67+AQ67+AZ67+BF67+BI67+BL67+BO67+BR67+CG67+CS67+CW67+CZ67+DC67+AE67+DR67</f>
        <v>0</v>
      </c>
      <c r="R67" s="850"/>
      <c r="S67" s="850"/>
      <c r="T67" s="850"/>
      <c r="U67" s="850"/>
      <c r="V67" s="850"/>
      <c r="W67" s="850"/>
      <c r="X67" s="850"/>
      <c r="Y67" s="850"/>
      <c r="Z67" s="850">
        <f t="shared" si="93"/>
        <v>0</v>
      </c>
      <c r="AA67" s="850"/>
      <c r="AB67" s="850"/>
      <c r="AC67" s="850">
        <f t="shared" si="94"/>
        <v>0</v>
      </c>
      <c r="AD67" s="850"/>
      <c r="AE67" s="850"/>
      <c r="AF67" s="850">
        <f t="shared" si="95"/>
        <v>0</v>
      </c>
      <c r="AG67" s="850"/>
      <c r="AH67" s="850"/>
      <c r="AI67" s="850"/>
      <c r="AJ67" s="850"/>
      <c r="AK67" s="850"/>
      <c r="AL67" s="850">
        <f t="shared" si="96"/>
        <v>0</v>
      </c>
      <c r="AM67" s="850"/>
      <c r="AN67" s="850"/>
      <c r="AO67" s="850">
        <f t="shared" si="97"/>
        <v>0</v>
      </c>
      <c r="AP67" s="850"/>
      <c r="AQ67" s="850"/>
      <c r="AR67" s="850">
        <f t="shared" si="120"/>
        <v>0</v>
      </c>
      <c r="AS67" s="850"/>
      <c r="AT67" s="850"/>
      <c r="AU67" s="850">
        <f t="shared" si="121"/>
        <v>0</v>
      </c>
      <c r="AV67" s="850"/>
      <c r="AW67" s="850"/>
      <c r="AX67" s="850">
        <f t="shared" si="100"/>
        <v>0</v>
      </c>
      <c r="AY67" s="850"/>
      <c r="AZ67" s="850"/>
      <c r="BA67" s="850">
        <f t="shared" si="122"/>
        <v>0</v>
      </c>
      <c r="BB67" s="850"/>
      <c r="BC67" s="850"/>
      <c r="BD67" s="850">
        <f t="shared" si="102"/>
        <v>0</v>
      </c>
      <c r="BE67" s="850"/>
      <c r="BF67" s="850"/>
      <c r="BG67" s="850">
        <f t="shared" si="103"/>
        <v>0</v>
      </c>
      <c r="BH67" s="850"/>
      <c r="BI67" s="850"/>
      <c r="BJ67" s="850">
        <f t="shared" si="104"/>
        <v>0</v>
      </c>
      <c r="BK67" s="850"/>
      <c r="BL67" s="850"/>
      <c r="BM67" s="850">
        <f t="shared" si="105"/>
        <v>0</v>
      </c>
      <c r="BN67" s="850"/>
      <c r="BO67" s="850"/>
      <c r="BP67" s="850">
        <f t="shared" si="106"/>
        <v>0</v>
      </c>
      <c r="BQ67" s="850"/>
      <c r="BR67" s="850"/>
      <c r="BS67" s="850"/>
      <c r="BT67" s="850">
        <f t="shared" si="107"/>
        <v>0</v>
      </c>
      <c r="BU67" s="850"/>
      <c r="BV67" s="850"/>
      <c r="BW67" s="850"/>
      <c r="BX67" s="850">
        <f t="shared" si="108"/>
        <v>0</v>
      </c>
      <c r="BY67" s="850"/>
      <c r="BZ67" s="850"/>
      <c r="CA67" s="850">
        <f t="shared" si="109"/>
        <v>0</v>
      </c>
      <c r="CB67" s="850"/>
      <c r="CC67" s="850"/>
      <c r="CD67" s="850"/>
      <c r="CE67" s="850">
        <f t="shared" si="110"/>
        <v>0</v>
      </c>
      <c r="CF67" s="850"/>
      <c r="CG67" s="850"/>
      <c r="CH67" s="850"/>
      <c r="CI67" s="850"/>
      <c r="CJ67" s="850"/>
      <c r="CK67" s="155">
        <f t="shared" si="119"/>
        <v>0</v>
      </c>
      <c r="CL67" s="850"/>
      <c r="CM67" s="850"/>
      <c r="CN67" s="850"/>
      <c r="CO67" s="850"/>
      <c r="CP67" s="850"/>
      <c r="CQ67" s="850">
        <f t="shared" si="111"/>
        <v>0</v>
      </c>
      <c r="CR67" s="850"/>
      <c r="CS67" s="850"/>
      <c r="CT67" s="850"/>
      <c r="CU67" s="850">
        <f t="shared" si="112"/>
        <v>0</v>
      </c>
      <c r="CV67" s="850"/>
      <c r="CW67" s="850"/>
      <c r="CX67" s="850">
        <f t="shared" si="113"/>
        <v>0</v>
      </c>
      <c r="CY67" s="850"/>
      <c r="CZ67" s="850"/>
      <c r="DA67" s="850">
        <f t="shared" si="114"/>
        <v>0</v>
      </c>
      <c r="DB67" s="850"/>
      <c r="DC67" s="850"/>
      <c r="DD67" s="850"/>
      <c r="DE67" s="850">
        <f t="shared" si="115"/>
        <v>0</v>
      </c>
      <c r="DF67" s="850"/>
      <c r="DG67" s="850"/>
      <c r="DH67" s="850"/>
      <c r="DI67" s="850"/>
      <c r="DJ67" s="850"/>
      <c r="DK67" s="850"/>
      <c r="DL67" s="850"/>
      <c r="DM67" s="850"/>
      <c r="DN67" s="850"/>
      <c r="DO67" s="850"/>
      <c r="DP67" s="850"/>
      <c r="DQ67" s="850"/>
      <c r="DR67" s="850"/>
      <c r="DS67" s="850"/>
      <c r="DT67" s="850"/>
      <c r="DU67" s="853"/>
      <c r="DV67" s="288">
        <f t="shared" si="118"/>
        <v>75482859.908239976</v>
      </c>
      <c r="DW67" s="880">
        <f t="shared" si="12"/>
        <v>0</v>
      </c>
      <c r="DX67" s="338">
        <f>+E67-'Výdaje kapitol celkem'!G67</f>
        <v>68353330.349479988</v>
      </c>
      <c r="DY67" s="846">
        <f t="shared" si="117"/>
        <v>0</v>
      </c>
      <c r="EA67" s="433"/>
    </row>
    <row r="68" spans="1:131" outlineLevel="1" x14ac:dyDescent="0.25">
      <c r="A68" s="222">
        <v>6349</v>
      </c>
      <c r="B68" s="205" t="s">
        <v>294</v>
      </c>
      <c r="C68" s="369">
        <v>0</v>
      </c>
      <c r="D68" s="369">
        <v>0</v>
      </c>
      <c r="E68" s="369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0"/>
      <c r="I68" s="364"/>
      <c r="J68" s="363"/>
      <c r="K68" s="155"/>
      <c r="L68" s="155"/>
      <c r="M68" s="155">
        <f t="shared" si="92"/>
        <v>0</v>
      </c>
      <c r="N68" s="370"/>
      <c r="O68" s="371"/>
      <c r="P68" s="155"/>
      <c r="Q68" s="380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0"/>
      <c r="AB68" s="370"/>
      <c r="AC68" s="155">
        <f t="shared" si="94"/>
        <v>0</v>
      </c>
      <c r="AD68" s="370"/>
      <c r="AE68" s="370"/>
      <c r="AF68" s="155">
        <f t="shared" si="95"/>
        <v>0</v>
      </c>
      <c r="AG68" s="370"/>
      <c r="AH68" s="370"/>
      <c r="AI68" s="155"/>
      <c r="AJ68" s="155"/>
      <c r="AK68" s="155"/>
      <c r="AL68" s="155">
        <f t="shared" si="96"/>
        <v>0</v>
      </c>
      <c r="AM68" s="370"/>
      <c r="AN68" s="370"/>
      <c r="AO68" s="155">
        <f t="shared" si="97"/>
        <v>0</v>
      </c>
      <c r="AP68" s="370"/>
      <c r="AQ68" s="370"/>
      <c r="AR68" s="155">
        <f t="shared" si="120"/>
        <v>0</v>
      </c>
      <c r="AS68" s="370"/>
      <c r="AT68" s="370"/>
      <c r="AU68" s="155">
        <f t="shared" si="121"/>
        <v>0</v>
      </c>
      <c r="AV68" s="370"/>
      <c r="AW68" s="370"/>
      <c r="AX68" s="155">
        <f t="shared" si="100"/>
        <v>0</v>
      </c>
      <c r="AY68" s="370"/>
      <c r="AZ68" s="370"/>
      <c r="BA68" s="155">
        <f t="shared" si="122"/>
        <v>0</v>
      </c>
      <c r="BB68" s="370"/>
      <c r="BC68" s="370"/>
      <c r="BD68" s="155">
        <f t="shared" si="102"/>
        <v>0</v>
      </c>
      <c r="BE68" s="370"/>
      <c r="BF68" s="370"/>
      <c r="BG68" s="155">
        <f t="shared" si="103"/>
        <v>0</v>
      </c>
      <c r="BH68" s="370"/>
      <c r="BI68" s="370"/>
      <c r="BJ68" s="155">
        <f t="shared" si="104"/>
        <v>0</v>
      </c>
      <c r="BK68" s="370"/>
      <c r="BL68" s="370"/>
      <c r="BM68" s="155">
        <f t="shared" si="105"/>
        <v>0</v>
      </c>
      <c r="BN68" s="370"/>
      <c r="BO68" s="370"/>
      <c r="BP68" s="155">
        <f t="shared" si="106"/>
        <v>0</v>
      </c>
      <c r="BQ68" s="370"/>
      <c r="BR68" s="370"/>
      <c r="BS68" s="155"/>
      <c r="BT68" s="155">
        <f t="shared" si="107"/>
        <v>0</v>
      </c>
      <c r="BU68" s="370"/>
      <c r="BV68" s="370"/>
      <c r="BW68" s="155"/>
      <c r="BX68" s="155">
        <f t="shared" si="108"/>
        <v>0</v>
      </c>
      <c r="BY68" s="370"/>
      <c r="BZ68" s="370"/>
      <c r="CA68" s="155">
        <f t="shared" si="109"/>
        <v>0</v>
      </c>
      <c r="CB68" s="370"/>
      <c r="CC68" s="370"/>
      <c r="CD68" s="155"/>
      <c r="CE68" s="155">
        <f t="shared" si="110"/>
        <v>0</v>
      </c>
      <c r="CF68" s="370"/>
      <c r="CG68" s="370"/>
      <c r="CH68" s="155"/>
      <c r="CI68" s="370"/>
      <c r="CJ68" s="370"/>
      <c r="CK68" s="155"/>
      <c r="CL68" s="370"/>
      <c r="CM68" s="370"/>
      <c r="CN68" s="155"/>
      <c r="CO68" s="370"/>
      <c r="CP68" s="370"/>
      <c r="CQ68" s="155">
        <f t="shared" si="111"/>
        <v>0</v>
      </c>
      <c r="CR68" s="370"/>
      <c r="CS68" s="370"/>
      <c r="CT68" s="155"/>
      <c r="CU68" s="155">
        <f t="shared" si="112"/>
        <v>0</v>
      </c>
      <c r="CV68" s="370"/>
      <c r="CW68" s="370"/>
      <c r="CX68" s="155">
        <f t="shared" si="113"/>
        <v>0</v>
      </c>
      <c r="CY68" s="370"/>
      <c r="CZ68" s="370"/>
      <c r="DA68" s="155">
        <f t="shared" si="114"/>
        <v>0</v>
      </c>
      <c r="DB68" s="370"/>
      <c r="DC68" s="370"/>
      <c r="DD68" s="155"/>
      <c r="DE68" s="155">
        <f t="shared" si="115"/>
        <v>0</v>
      </c>
      <c r="DF68" s="370"/>
      <c r="DG68" s="370"/>
      <c r="DH68" s="370"/>
      <c r="DI68" s="155"/>
      <c r="DJ68" s="155"/>
      <c r="DK68" s="155"/>
      <c r="DL68" s="155"/>
      <c r="DM68" s="155"/>
      <c r="DN68" s="155"/>
      <c r="DO68" s="155"/>
      <c r="DP68" s="155"/>
      <c r="DQ68" s="370"/>
      <c r="DR68" s="370"/>
      <c r="DS68" s="155"/>
      <c r="DT68" s="155"/>
      <c r="DU68" s="373"/>
      <c r="DV68" s="190">
        <f t="shared" si="118"/>
        <v>0</v>
      </c>
      <c r="DW68" s="337">
        <f t="shared" si="12"/>
        <v>0</v>
      </c>
      <c r="DX68" s="338">
        <f>+E68-'Výdaje kapitol celkem'!G68</f>
        <v>0</v>
      </c>
      <c r="DY68" s="369">
        <f t="shared" si="117"/>
        <v>0</v>
      </c>
      <c r="EA68" s="322"/>
    </row>
    <row r="69" spans="1:131" ht="14.25" thickBot="1" x14ac:dyDescent="0.3">
      <c r="A69" s="213" t="s">
        <v>113</v>
      </c>
      <c r="B69" s="214" t="s">
        <v>114</v>
      </c>
      <c r="C69" s="374">
        <v>51362536.589233339</v>
      </c>
      <c r="D69" s="374">
        <v>55930112.229233325</v>
      </c>
      <c r="E69" s="374">
        <f>SUM(E57:E68)</f>
        <v>152996514.38823998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77597859.908239976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5">
        <f t="shared" si="124"/>
        <v>240000</v>
      </c>
      <c r="O69" s="376">
        <f t="shared" si="124"/>
        <v>0</v>
      </c>
      <c r="P69" s="217">
        <f t="shared" si="124"/>
        <v>0</v>
      </c>
      <c r="Q69" s="377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5">
        <f t="shared" si="125"/>
        <v>2400000</v>
      </c>
      <c r="AB69" s="375">
        <f t="shared" si="125"/>
        <v>0</v>
      </c>
      <c r="AC69" s="217">
        <f t="shared" si="125"/>
        <v>0</v>
      </c>
      <c r="AD69" s="375">
        <f t="shared" si="125"/>
        <v>0</v>
      </c>
      <c r="AE69" s="375">
        <f t="shared" si="125"/>
        <v>0</v>
      </c>
      <c r="AF69" s="217">
        <f t="shared" si="125"/>
        <v>60000</v>
      </c>
      <c r="AG69" s="375">
        <f t="shared" si="125"/>
        <v>60000</v>
      </c>
      <c r="AH69" s="375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5">
        <f t="shared" si="125"/>
        <v>0</v>
      </c>
      <c r="AN69" s="375">
        <f t="shared" si="125"/>
        <v>0</v>
      </c>
      <c r="AO69" s="217">
        <f t="shared" si="125"/>
        <v>280000</v>
      </c>
      <c r="AP69" s="375">
        <f t="shared" si="125"/>
        <v>280000</v>
      </c>
      <c r="AQ69" s="375">
        <f t="shared" si="125"/>
        <v>0</v>
      </c>
      <c r="AR69" s="217">
        <f t="shared" si="125"/>
        <v>0</v>
      </c>
      <c r="AS69" s="375">
        <f t="shared" si="125"/>
        <v>0</v>
      </c>
      <c r="AT69" s="375">
        <f t="shared" si="125"/>
        <v>0</v>
      </c>
      <c r="AU69" s="217">
        <f t="shared" si="125"/>
        <v>0</v>
      </c>
      <c r="AV69" s="375">
        <f t="shared" si="125"/>
        <v>0</v>
      </c>
      <c r="AW69" s="375">
        <f t="shared" si="125"/>
        <v>0</v>
      </c>
      <c r="AX69" s="217">
        <f t="shared" si="125"/>
        <v>33536654.48</v>
      </c>
      <c r="AY69" s="375">
        <f t="shared" si="125"/>
        <v>33536654.48</v>
      </c>
      <c r="AZ69" s="375">
        <f t="shared" si="125"/>
        <v>0</v>
      </c>
      <c r="BA69" s="217">
        <f t="shared" si="125"/>
        <v>0</v>
      </c>
      <c r="BB69" s="375">
        <f t="shared" si="125"/>
        <v>0</v>
      </c>
      <c r="BC69" s="375">
        <f t="shared" si="125"/>
        <v>0</v>
      </c>
      <c r="BD69" s="217">
        <f t="shared" si="125"/>
        <v>0</v>
      </c>
      <c r="BE69" s="375">
        <f t="shared" si="125"/>
        <v>0</v>
      </c>
      <c r="BF69" s="375">
        <f t="shared" si="125"/>
        <v>0</v>
      </c>
      <c r="BG69" s="217">
        <f t="shared" si="125"/>
        <v>0</v>
      </c>
      <c r="BH69" s="375">
        <f t="shared" si="125"/>
        <v>0</v>
      </c>
      <c r="BI69" s="375">
        <f t="shared" si="125"/>
        <v>0</v>
      </c>
      <c r="BJ69" s="217">
        <f t="shared" si="125"/>
        <v>0</v>
      </c>
      <c r="BK69" s="375">
        <f t="shared" si="125"/>
        <v>0</v>
      </c>
      <c r="BL69" s="375">
        <f t="shared" si="125"/>
        <v>0</v>
      </c>
      <c r="BM69" s="217">
        <f t="shared" si="125"/>
        <v>0</v>
      </c>
      <c r="BN69" s="375">
        <f t="shared" si="125"/>
        <v>0</v>
      </c>
      <c r="BO69" s="375">
        <f t="shared" si="125"/>
        <v>0</v>
      </c>
      <c r="BP69" s="217">
        <f t="shared" si="125"/>
        <v>1800000</v>
      </c>
      <c r="BQ69" s="375">
        <f t="shared" si="125"/>
        <v>1800000</v>
      </c>
      <c r="BR69" s="375">
        <f t="shared" si="125"/>
        <v>0</v>
      </c>
      <c r="BS69" s="217">
        <f t="shared" si="125"/>
        <v>0</v>
      </c>
      <c r="BT69" s="217">
        <f t="shared" si="125"/>
        <v>2250000</v>
      </c>
      <c r="BU69" s="375">
        <f t="shared" si="125"/>
        <v>2250000</v>
      </c>
      <c r="BV69" s="375">
        <f t="shared" si="125"/>
        <v>0</v>
      </c>
      <c r="BW69" s="217">
        <f t="shared" si="125"/>
        <v>550000</v>
      </c>
      <c r="BX69" s="217">
        <f t="shared" si="125"/>
        <v>592000</v>
      </c>
      <c r="BY69" s="375">
        <f t="shared" si="125"/>
        <v>592000</v>
      </c>
      <c r="BZ69" s="375">
        <f t="shared" si="125"/>
        <v>0</v>
      </c>
      <c r="CA69" s="217">
        <f t="shared" si="125"/>
        <v>2900000</v>
      </c>
      <c r="CB69" s="375">
        <f t="shared" si="125"/>
        <v>2900000</v>
      </c>
      <c r="CC69" s="375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5">
        <f t="shared" si="126"/>
        <v>5100000</v>
      </c>
      <c r="CG69" s="375">
        <f t="shared" si="126"/>
        <v>0</v>
      </c>
      <c r="CH69" s="217">
        <f t="shared" si="126"/>
        <v>0</v>
      </c>
      <c r="CI69" s="375"/>
      <c r="CJ69" s="375"/>
      <c r="CK69" s="217">
        <f>SUM(CK57:CK68)</f>
        <v>7650000</v>
      </c>
      <c r="CL69" s="375"/>
      <c r="CM69" s="375"/>
      <c r="CN69" s="217">
        <f>SUM(CN57:CN68)</f>
        <v>0</v>
      </c>
      <c r="CO69" s="375"/>
      <c r="CP69" s="375"/>
      <c r="CQ69" s="217">
        <f t="shared" ref="CQ69:DU69" si="127">SUM(CQ57:CQ68)</f>
        <v>250000</v>
      </c>
      <c r="CR69" s="375">
        <f t="shared" si="127"/>
        <v>250000</v>
      </c>
      <c r="CS69" s="375">
        <f t="shared" si="127"/>
        <v>0</v>
      </c>
      <c r="CT69" s="217">
        <f t="shared" si="127"/>
        <v>0</v>
      </c>
      <c r="CU69" s="217">
        <f t="shared" si="127"/>
        <v>0</v>
      </c>
      <c r="CV69" s="375">
        <f t="shared" si="127"/>
        <v>0</v>
      </c>
      <c r="CW69" s="375">
        <f t="shared" si="127"/>
        <v>0</v>
      </c>
      <c r="CX69" s="217">
        <f t="shared" si="127"/>
        <v>0</v>
      </c>
      <c r="CY69" s="375">
        <f t="shared" si="127"/>
        <v>0</v>
      </c>
      <c r="CZ69" s="375">
        <f t="shared" si="127"/>
        <v>0</v>
      </c>
      <c r="DA69" s="217">
        <f t="shared" si="127"/>
        <v>0</v>
      </c>
      <c r="DB69" s="375">
        <f t="shared" si="127"/>
        <v>0</v>
      </c>
      <c r="DC69" s="375">
        <f t="shared" si="127"/>
        <v>0</v>
      </c>
      <c r="DD69" s="217">
        <f t="shared" si="127"/>
        <v>0</v>
      </c>
      <c r="DE69" s="217">
        <f t="shared" si="127"/>
        <v>150000</v>
      </c>
      <c r="DF69" s="375">
        <f t="shared" si="127"/>
        <v>150000</v>
      </c>
      <c r="DG69" s="375">
        <f t="shared" si="127"/>
        <v>0</v>
      </c>
      <c r="DH69" s="375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5">
        <f t="shared" si="127"/>
        <v>0</v>
      </c>
      <c r="DR69" s="375">
        <f t="shared" si="127"/>
        <v>0</v>
      </c>
      <c r="DS69" s="217">
        <f t="shared" si="127"/>
        <v>0</v>
      </c>
      <c r="DT69" s="217">
        <f t="shared" si="127"/>
        <v>0</v>
      </c>
      <c r="DU69" s="378">
        <f t="shared" si="127"/>
        <v>0</v>
      </c>
      <c r="DV69" s="190"/>
      <c r="DW69" s="337"/>
      <c r="DX69" s="338"/>
      <c r="DY69" s="374">
        <f>SUM(DY57:DY68)</f>
        <v>0</v>
      </c>
      <c r="EA69" s="322"/>
    </row>
    <row r="70" spans="1:131" outlineLevel="1" x14ac:dyDescent="0.25">
      <c r="A70" s="222"/>
      <c r="B70" s="205"/>
      <c r="C70" s="399"/>
      <c r="D70" s="399"/>
      <c r="E70" s="399"/>
      <c r="F70" s="413"/>
      <c r="G70" s="407"/>
      <c r="H70" s="407"/>
      <c r="I70" s="407"/>
      <c r="J70" s="407"/>
      <c r="K70" s="407"/>
      <c r="L70" s="407"/>
      <c r="M70" s="407">
        <f t="shared" ref="M70:M71" si="128">+N70+O70</f>
        <v>0</v>
      </c>
      <c r="N70" s="408"/>
      <c r="O70" s="409"/>
      <c r="P70" s="407"/>
      <c r="Q70" s="410">
        <f t="shared" ref="Q70:Q71" si="129">+O70+AN70+CC70+BZ70+BV70+DH70+AB70+AH70+AQ70+AZ70+BF70+BI70+BL70+BO70+BR70+CG70+CS70+CW70+CZ70+DC70+AE70+DR70</f>
        <v>0</v>
      </c>
      <c r="R70" s="407"/>
      <c r="S70" s="407"/>
      <c r="T70" s="407"/>
      <c r="U70" s="407"/>
      <c r="V70" s="407"/>
      <c r="W70" s="407"/>
      <c r="X70" s="407"/>
      <c r="Y70" s="407"/>
      <c r="Z70" s="407">
        <f t="shared" ref="Z70:Z71" si="130">+AA70+AB70</f>
        <v>0</v>
      </c>
      <c r="AA70" s="408"/>
      <c r="AB70" s="408"/>
      <c r="AC70" s="407">
        <f t="shared" ref="AC70:AC71" si="131">+AD70+AE70</f>
        <v>0</v>
      </c>
      <c r="AD70" s="408"/>
      <c r="AE70" s="408"/>
      <c r="AF70" s="407">
        <f t="shared" ref="AF70:AF71" si="132">+AG70+AH70</f>
        <v>0</v>
      </c>
      <c r="AG70" s="408"/>
      <c r="AH70" s="408"/>
      <c r="AI70" s="407"/>
      <c r="AJ70" s="407"/>
      <c r="AK70" s="407"/>
      <c r="AL70" s="407">
        <f t="shared" ref="AL70:AL71" si="133">+AM70+AN70</f>
        <v>0</v>
      </c>
      <c r="AM70" s="408"/>
      <c r="AN70" s="408"/>
      <c r="AO70" s="407">
        <f t="shared" ref="AO70:AO71" si="134">+AP70+AQ70</f>
        <v>0</v>
      </c>
      <c r="AP70" s="408"/>
      <c r="AQ70" s="408"/>
      <c r="AR70" s="407">
        <f t="shared" ref="AR70:AR71" si="135">+AS70+AT70</f>
        <v>0</v>
      </c>
      <c r="AS70" s="408"/>
      <c r="AT70" s="408"/>
      <c r="AU70" s="407">
        <f t="shared" ref="AU70:AU71" si="136">+AV70+AW70</f>
        <v>0</v>
      </c>
      <c r="AV70" s="408"/>
      <c r="AW70" s="408"/>
      <c r="AX70" s="407">
        <f t="shared" ref="AX70:AX71" si="137">+AY70+AZ70</f>
        <v>0</v>
      </c>
      <c r="AY70" s="408"/>
      <c r="AZ70" s="408"/>
      <c r="BA70" s="407">
        <f t="shared" ref="BA70:BA71" si="138">+BB70+BC70</f>
        <v>0</v>
      </c>
      <c r="BB70" s="408"/>
      <c r="BC70" s="408"/>
      <c r="BD70" s="407">
        <f t="shared" ref="BD70:BD71" si="139">+BE70+BF70</f>
        <v>0</v>
      </c>
      <c r="BE70" s="408"/>
      <c r="BF70" s="408"/>
      <c r="BG70" s="407">
        <f t="shared" ref="BG70:BG71" si="140">+BH70+BI70</f>
        <v>0</v>
      </c>
      <c r="BH70" s="408"/>
      <c r="BI70" s="408"/>
      <c r="BJ70" s="407">
        <f t="shared" ref="BJ70:BJ71" si="141">+BK70+BL70</f>
        <v>0</v>
      </c>
      <c r="BK70" s="408"/>
      <c r="BL70" s="408"/>
      <c r="BM70" s="407">
        <f t="shared" ref="BM70:BM71" si="142">+BN70+BO70</f>
        <v>0</v>
      </c>
      <c r="BN70" s="408"/>
      <c r="BO70" s="408"/>
      <c r="BP70" s="407">
        <f t="shared" ref="BP70:BP71" si="143">+BQ70+BR70</f>
        <v>0</v>
      </c>
      <c r="BQ70" s="408"/>
      <c r="BR70" s="408"/>
      <c r="BS70" s="407"/>
      <c r="BT70" s="407">
        <f t="shared" ref="BT70:BT71" si="144">+BU70+BV70</f>
        <v>0</v>
      </c>
      <c r="BU70" s="408"/>
      <c r="BV70" s="408"/>
      <c r="BW70" s="407"/>
      <c r="BX70" s="407">
        <f t="shared" ref="BX70:BX71" si="145">+BY70+BZ70</f>
        <v>0</v>
      </c>
      <c r="BY70" s="408"/>
      <c r="BZ70" s="408"/>
      <c r="CA70" s="407">
        <f t="shared" ref="CA70:CA71" si="146">+CB70+CC70</f>
        <v>0</v>
      </c>
      <c r="CB70" s="408"/>
      <c r="CC70" s="408"/>
      <c r="CD70" s="407"/>
      <c r="CE70" s="407">
        <f t="shared" ref="CE70:CE71" si="147">+CF70+CG70</f>
        <v>0</v>
      </c>
      <c r="CF70" s="408"/>
      <c r="CG70" s="408"/>
      <c r="CH70" s="407"/>
      <c r="CI70" s="408"/>
      <c r="CJ70" s="408"/>
      <c r="CK70" s="407"/>
      <c r="CL70" s="408"/>
      <c r="CM70" s="408"/>
      <c r="CN70" s="407"/>
      <c r="CO70" s="408"/>
      <c r="CP70" s="408"/>
      <c r="CQ70" s="407">
        <f t="shared" ref="CQ70:CQ71" si="148">+CR70+CS70</f>
        <v>0</v>
      </c>
      <c r="CR70" s="408"/>
      <c r="CS70" s="408"/>
      <c r="CT70" s="407"/>
      <c r="CU70" s="407">
        <f t="shared" ref="CU70:CU71" si="149">+CV70+CW70</f>
        <v>0</v>
      </c>
      <c r="CV70" s="408"/>
      <c r="CW70" s="408"/>
      <c r="CX70" s="407">
        <f t="shared" ref="CX70:CX71" si="150">+CY70+CZ70</f>
        <v>0</v>
      </c>
      <c r="CY70" s="408"/>
      <c r="CZ70" s="408"/>
      <c r="DA70" s="407">
        <f t="shared" ref="DA70:DA71" si="151">+DB70+DC70</f>
        <v>0</v>
      </c>
      <c r="DB70" s="408"/>
      <c r="DC70" s="408"/>
      <c r="DD70" s="407"/>
      <c r="DE70" s="407">
        <f t="shared" ref="DE70:DE71" si="152">+DF70+DG70+DH70</f>
        <v>0</v>
      </c>
      <c r="DF70" s="408"/>
      <c r="DG70" s="408"/>
      <c r="DH70" s="408"/>
      <c r="DI70" s="407"/>
      <c r="DJ70" s="407"/>
      <c r="DK70" s="407"/>
      <c r="DL70" s="407"/>
      <c r="DM70" s="407"/>
      <c r="DN70" s="407"/>
      <c r="DO70" s="407"/>
      <c r="DP70" s="407"/>
      <c r="DQ70" s="408"/>
      <c r="DR70" s="408"/>
      <c r="DS70" s="407"/>
      <c r="DT70" s="407"/>
      <c r="DU70" s="411"/>
      <c r="DV70" s="190">
        <f t="shared" si="38"/>
        <v>0</v>
      </c>
      <c r="DW70" s="337">
        <f t="shared" si="12"/>
        <v>0</v>
      </c>
      <c r="DX70" s="338"/>
      <c r="DY70" s="399"/>
      <c r="EA70" s="322"/>
    </row>
    <row r="71" spans="1:131" outlineLevel="1" x14ac:dyDescent="0.25">
      <c r="A71" s="414" t="s">
        <v>115</v>
      </c>
      <c r="B71" s="398" t="s">
        <v>116</v>
      </c>
      <c r="C71" s="390">
        <v>19702784</v>
      </c>
      <c r="D71" s="390">
        <v>19702784</v>
      </c>
      <c r="E71" s="390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6"/>
      <c r="G71" s="392">
        <v>19114264</v>
      </c>
      <c r="H71" s="392"/>
      <c r="I71" s="392"/>
      <c r="J71" s="417"/>
      <c r="K71" s="417"/>
      <c r="L71" s="417"/>
      <c r="M71" s="417">
        <f t="shared" si="128"/>
        <v>0</v>
      </c>
      <c r="N71" s="418"/>
      <c r="O71" s="419"/>
      <c r="P71" s="417"/>
      <c r="Q71" s="420">
        <f t="shared" si="129"/>
        <v>0</v>
      </c>
      <c r="R71" s="417"/>
      <c r="S71" s="417"/>
      <c r="T71" s="417"/>
      <c r="U71" s="417"/>
      <c r="V71" s="417"/>
      <c r="W71" s="417"/>
      <c r="X71" s="417"/>
      <c r="Y71" s="417"/>
      <c r="Z71" s="417">
        <f t="shared" si="130"/>
        <v>0</v>
      </c>
      <c r="AA71" s="418"/>
      <c r="AB71" s="418"/>
      <c r="AC71" s="417">
        <f t="shared" si="131"/>
        <v>0</v>
      </c>
      <c r="AD71" s="418"/>
      <c r="AE71" s="418"/>
      <c r="AF71" s="417">
        <f t="shared" si="132"/>
        <v>0</v>
      </c>
      <c r="AG71" s="418"/>
      <c r="AH71" s="418"/>
      <c r="AI71" s="417"/>
      <c r="AJ71" s="417"/>
      <c r="AK71" s="417"/>
      <c r="AL71" s="417">
        <f t="shared" si="133"/>
        <v>0</v>
      </c>
      <c r="AM71" s="418"/>
      <c r="AN71" s="418"/>
      <c r="AO71" s="417">
        <f t="shared" si="134"/>
        <v>0</v>
      </c>
      <c r="AP71" s="418"/>
      <c r="AQ71" s="418"/>
      <c r="AR71" s="417">
        <f t="shared" si="135"/>
        <v>0</v>
      </c>
      <c r="AS71" s="418"/>
      <c r="AT71" s="418"/>
      <c r="AU71" s="417">
        <f t="shared" si="136"/>
        <v>0</v>
      </c>
      <c r="AV71" s="418"/>
      <c r="AW71" s="418"/>
      <c r="AX71" s="417">
        <f t="shared" si="137"/>
        <v>0</v>
      </c>
      <c r="AY71" s="418"/>
      <c r="AZ71" s="418"/>
      <c r="BA71" s="417">
        <f t="shared" si="138"/>
        <v>0</v>
      </c>
      <c r="BB71" s="418"/>
      <c r="BC71" s="418"/>
      <c r="BD71" s="417">
        <f t="shared" si="139"/>
        <v>0</v>
      </c>
      <c r="BE71" s="418"/>
      <c r="BF71" s="418"/>
      <c r="BG71" s="417">
        <f t="shared" si="140"/>
        <v>0</v>
      </c>
      <c r="BH71" s="418"/>
      <c r="BI71" s="418"/>
      <c r="BJ71" s="417">
        <f t="shared" si="141"/>
        <v>0</v>
      </c>
      <c r="BK71" s="418"/>
      <c r="BL71" s="418"/>
      <c r="BM71" s="417">
        <f t="shared" si="142"/>
        <v>0</v>
      </c>
      <c r="BN71" s="418"/>
      <c r="BO71" s="418"/>
      <c r="BP71" s="417">
        <f t="shared" si="143"/>
        <v>0</v>
      </c>
      <c r="BQ71" s="418"/>
      <c r="BR71" s="418"/>
      <c r="BS71" s="417"/>
      <c r="BT71" s="417">
        <f t="shared" si="144"/>
        <v>0</v>
      </c>
      <c r="BU71" s="418"/>
      <c r="BV71" s="418"/>
      <c r="BW71" s="417"/>
      <c r="BX71" s="417">
        <f t="shared" si="145"/>
        <v>0</v>
      </c>
      <c r="BY71" s="418"/>
      <c r="BZ71" s="418"/>
      <c r="CA71" s="417">
        <f t="shared" si="146"/>
        <v>0</v>
      </c>
      <c r="CB71" s="418"/>
      <c r="CC71" s="418"/>
      <c r="CD71" s="417"/>
      <c r="CE71" s="417">
        <f t="shared" si="147"/>
        <v>0</v>
      </c>
      <c r="CF71" s="418"/>
      <c r="CG71" s="418"/>
      <c r="CH71" s="417"/>
      <c r="CI71" s="418"/>
      <c r="CJ71" s="418"/>
      <c r="CK71" s="417"/>
      <c r="CL71" s="418"/>
      <c r="CM71" s="418"/>
      <c r="CN71" s="417"/>
      <c r="CO71" s="418"/>
      <c r="CP71" s="418"/>
      <c r="CQ71" s="417">
        <f t="shared" si="148"/>
        <v>0</v>
      </c>
      <c r="CR71" s="418"/>
      <c r="CS71" s="418"/>
      <c r="CT71" s="417"/>
      <c r="CU71" s="417">
        <f t="shared" si="149"/>
        <v>0</v>
      </c>
      <c r="CV71" s="418"/>
      <c r="CW71" s="418"/>
      <c r="CX71" s="417">
        <f t="shared" si="150"/>
        <v>0</v>
      </c>
      <c r="CY71" s="418"/>
      <c r="CZ71" s="418"/>
      <c r="DA71" s="417">
        <f t="shared" si="151"/>
        <v>0</v>
      </c>
      <c r="DB71" s="418"/>
      <c r="DC71" s="418"/>
      <c r="DD71" s="417"/>
      <c r="DE71" s="417">
        <f t="shared" si="152"/>
        <v>0</v>
      </c>
      <c r="DF71" s="418"/>
      <c r="DG71" s="418"/>
      <c r="DH71" s="418"/>
      <c r="DI71" s="417"/>
      <c r="DJ71" s="417"/>
      <c r="DK71" s="417"/>
      <c r="DL71" s="417"/>
      <c r="DM71" s="417"/>
      <c r="DN71" s="417"/>
      <c r="DO71" s="417"/>
      <c r="DP71" s="417"/>
      <c r="DQ71" s="418"/>
      <c r="DR71" s="418"/>
      <c r="DS71" s="417"/>
      <c r="DT71" s="417"/>
      <c r="DU71" s="421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7">
        <f t="shared" si="12"/>
        <v>0</v>
      </c>
      <c r="DX71" s="338"/>
      <c r="DY71" s="390"/>
      <c r="EA71" s="322"/>
    </row>
    <row r="72" spans="1:131" ht="16.5" customHeight="1" thickBot="1" x14ac:dyDescent="0.3">
      <c r="A72" s="213" t="s">
        <v>117</v>
      </c>
      <c r="B72" s="214" t="s">
        <v>116</v>
      </c>
      <c r="C72" s="374">
        <v>19702784</v>
      </c>
      <c r="D72" s="374">
        <v>19702784</v>
      </c>
      <c r="E72" s="374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5">
        <f>+N71</f>
        <v>0</v>
      </c>
      <c r="O72" s="376">
        <f>+O71</f>
        <v>0</v>
      </c>
      <c r="P72" s="217">
        <f t="shared" ref="P72" si="154">+P71</f>
        <v>0</v>
      </c>
      <c r="Q72" s="377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5">
        <f>+AA71</f>
        <v>0</v>
      </c>
      <c r="AB72" s="375">
        <f>+AB71</f>
        <v>0</v>
      </c>
      <c r="AC72" s="217">
        <f t="shared" si="153"/>
        <v>0</v>
      </c>
      <c r="AD72" s="375">
        <f>+AD71</f>
        <v>0</v>
      </c>
      <c r="AE72" s="375">
        <f>+AE71</f>
        <v>0</v>
      </c>
      <c r="AF72" s="217">
        <f t="shared" si="153"/>
        <v>0</v>
      </c>
      <c r="AG72" s="375">
        <f>+AG71</f>
        <v>0</v>
      </c>
      <c r="AH72" s="375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5">
        <f>+AM71</f>
        <v>0</v>
      </c>
      <c r="AN72" s="375">
        <f>+AN71</f>
        <v>0</v>
      </c>
      <c r="AO72" s="217">
        <f t="shared" si="153"/>
        <v>0</v>
      </c>
      <c r="AP72" s="375">
        <f>+AP71</f>
        <v>0</v>
      </c>
      <c r="AQ72" s="375">
        <f>+AQ71</f>
        <v>0</v>
      </c>
      <c r="AR72" s="217">
        <f t="shared" ref="AR72" si="155">+AR71</f>
        <v>0</v>
      </c>
      <c r="AS72" s="375">
        <f>+AS71</f>
        <v>0</v>
      </c>
      <c r="AT72" s="375">
        <f>+AT71</f>
        <v>0</v>
      </c>
      <c r="AU72" s="217">
        <f t="shared" ref="AU72" si="156">+AU71</f>
        <v>0</v>
      </c>
      <c r="AV72" s="375">
        <f>+AV71</f>
        <v>0</v>
      </c>
      <c r="AW72" s="375">
        <f>+AW71</f>
        <v>0</v>
      </c>
      <c r="AX72" s="217">
        <f t="shared" si="153"/>
        <v>0</v>
      </c>
      <c r="AY72" s="375">
        <f t="shared" si="153"/>
        <v>0</v>
      </c>
      <c r="AZ72" s="375">
        <f t="shared" si="153"/>
        <v>0</v>
      </c>
      <c r="BA72" s="217">
        <f t="shared" si="153"/>
        <v>0</v>
      </c>
      <c r="BB72" s="375">
        <f t="shared" si="153"/>
        <v>0</v>
      </c>
      <c r="BC72" s="375">
        <f t="shared" si="153"/>
        <v>0</v>
      </c>
      <c r="BD72" s="217">
        <f t="shared" si="153"/>
        <v>0</v>
      </c>
      <c r="BE72" s="375">
        <f t="shared" si="153"/>
        <v>0</v>
      </c>
      <c r="BF72" s="375">
        <f t="shared" si="153"/>
        <v>0</v>
      </c>
      <c r="BG72" s="217">
        <f t="shared" si="153"/>
        <v>0</v>
      </c>
      <c r="BH72" s="375">
        <f t="shared" si="153"/>
        <v>0</v>
      </c>
      <c r="BI72" s="375">
        <f t="shared" si="153"/>
        <v>0</v>
      </c>
      <c r="BJ72" s="217">
        <f t="shared" si="153"/>
        <v>0</v>
      </c>
      <c r="BK72" s="375">
        <f t="shared" si="153"/>
        <v>0</v>
      </c>
      <c r="BL72" s="375">
        <f t="shared" si="153"/>
        <v>0</v>
      </c>
      <c r="BM72" s="217">
        <f t="shared" si="153"/>
        <v>0</v>
      </c>
      <c r="BN72" s="375">
        <f t="shared" si="153"/>
        <v>0</v>
      </c>
      <c r="BO72" s="375">
        <f t="shared" si="153"/>
        <v>0</v>
      </c>
      <c r="BP72" s="217">
        <f t="shared" si="153"/>
        <v>0</v>
      </c>
      <c r="BQ72" s="375">
        <f t="shared" si="153"/>
        <v>0</v>
      </c>
      <c r="BR72" s="375">
        <f t="shared" si="153"/>
        <v>0</v>
      </c>
      <c r="BS72" s="217">
        <f t="shared" si="153"/>
        <v>0</v>
      </c>
      <c r="BT72" s="217">
        <f>+BT71</f>
        <v>0</v>
      </c>
      <c r="BU72" s="375">
        <f>+BU71</f>
        <v>0</v>
      </c>
      <c r="BV72" s="375">
        <f>+BV71</f>
        <v>0</v>
      </c>
      <c r="BW72" s="217">
        <f t="shared" si="153"/>
        <v>0</v>
      </c>
      <c r="BX72" s="217">
        <f t="shared" si="153"/>
        <v>0</v>
      </c>
      <c r="BY72" s="375">
        <f t="shared" si="153"/>
        <v>0</v>
      </c>
      <c r="BZ72" s="375">
        <f t="shared" si="153"/>
        <v>0</v>
      </c>
      <c r="CA72" s="217">
        <f t="shared" si="153"/>
        <v>0</v>
      </c>
      <c r="CB72" s="375">
        <f>+CB71</f>
        <v>0</v>
      </c>
      <c r="CC72" s="375">
        <f>+CC71</f>
        <v>0</v>
      </c>
      <c r="CD72" s="217">
        <f t="shared" si="153"/>
        <v>0</v>
      </c>
      <c r="CE72" s="217">
        <f t="shared" si="153"/>
        <v>0</v>
      </c>
      <c r="CF72" s="375">
        <f t="shared" si="153"/>
        <v>0</v>
      </c>
      <c r="CG72" s="375">
        <f t="shared" si="153"/>
        <v>0</v>
      </c>
      <c r="CH72" s="217">
        <f t="shared" si="153"/>
        <v>0</v>
      </c>
      <c r="CI72" s="375"/>
      <c r="CJ72" s="375"/>
      <c r="CK72" s="217">
        <f t="shared" si="153"/>
        <v>0</v>
      </c>
      <c r="CL72" s="375"/>
      <c r="CM72" s="375"/>
      <c r="CN72" s="217">
        <f t="shared" si="153"/>
        <v>0</v>
      </c>
      <c r="CO72" s="375"/>
      <c r="CP72" s="375"/>
      <c r="CQ72" s="217">
        <f t="shared" si="153"/>
        <v>0</v>
      </c>
      <c r="CR72" s="375">
        <f>+CR71</f>
        <v>0</v>
      </c>
      <c r="CS72" s="375">
        <f>+CS71</f>
        <v>0</v>
      </c>
      <c r="CT72" s="217">
        <f t="shared" si="153"/>
        <v>0</v>
      </c>
      <c r="CU72" s="217">
        <f t="shared" si="153"/>
        <v>0</v>
      </c>
      <c r="CV72" s="375">
        <f>+CV71</f>
        <v>0</v>
      </c>
      <c r="CW72" s="375">
        <f>+CW71</f>
        <v>0</v>
      </c>
      <c r="CX72" s="217">
        <f t="shared" si="153"/>
        <v>0</v>
      </c>
      <c r="CY72" s="375">
        <f>+CY71</f>
        <v>0</v>
      </c>
      <c r="CZ72" s="375">
        <f>+CZ71</f>
        <v>0</v>
      </c>
      <c r="DA72" s="217">
        <f t="shared" si="153"/>
        <v>0</v>
      </c>
      <c r="DB72" s="375">
        <f>+DB71</f>
        <v>0</v>
      </c>
      <c r="DC72" s="375">
        <f>+DC71</f>
        <v>0</v>
      </c>
      <c r="DD72" s="217">
        <f t="shared" si="153"/>
        <v>0</v>
      </c>
      <c r="DE72" s="217">
        <f t="shared" si="153"/>
        <v>0</v>
      </c>
      <c r="DF72" s="375">
        <f t="shared" si="153"/>
        <v>0</v>
      </c>
      <c r="DG72" s="375">
        <f t="shared" si="153"/>
        <v>0</v>
      </c>
      <c r="DH72" s="375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5">
        <f t="shared" si="153"/>
        <v>0</v>
      </c>
      <c r="DR72" s="375">
        <f t="shared" si="153"/>
        <v>0</v>
      </c>
      <c r="DS72" s="217">
        <f t="shared" si="153"/>
        <v>0</v>
      </c>
      <c r="DT72" s="217">
        <f t="shared" si="153"/>
        <v>0</v>
      </c>
      <c r="DU72" s="378">
        <f t="shared" si="153"/>
        <v>0</v>
      </c>
      <c r="DV72" s="190">
        <f t="shared" si="38"/>
        <v>19114264</v>
      </c>
      <c r="DW72" s="337">
        <f t="shared" si="12"/>
        <v>0</v>
      </c>
      <c r="DX72" s="338"/>
      <c r="DY72" s="374">
        <f>+DY71</f>
        <v>0</v>
      </c>
      <c r="EA72" s="322"/>
    </row>
    <row r="73" spans="1:131" ht="14.25" thickBot="1" x14ac:dyDescent="0.3">
      <c r="A73" s="414">
        <v>8115</v>
      </c>
      <c r="B73" s="422" t="s">
        <v>118</v>
      </c>
      <c r="C73" s="399">
        <v>0</v>
      </c>
      <c r="D73" s="399">
        <v>0</v>
      </c>
      <c r="E73" s="399">
        <f>SUM(F73:M73)+SUM(Q73:Z73)+AC73+AF73+SUM(AI73:AL73)+AO73+AX73+BD73+BG73+BJ73+BM73+BP73+BS73+BT73+BW73+BX73+CA73+SUM(CD73:CE73)+CN73+CQ73+CT73+CU73+CX73+DA73+DD73+DE73+SUM(DI73:DU73)+CH73+CK73</f>
        <v>0</v>
      </c>
      <c r="F73" s="413"/>
      <c r="G73" s="407"/>
      <c r="H73" s="407"/>
      <c r="I73" s="407"/>
      <c r="J73" s="407"/>
      <c r="K73" s="407"/>
      <c r="L73" s="407"/>
      <c r="M73" s="407"/>
      <c r="N73" s="408"/>
      <c r="O73" s="409"/>
      <c r="P73" s="407"/>
      <c r="Q73" s="410"/>
      <c r="R73" s="407"/>
      <c r="S73" s="407"/>
      <c r="T73" s="407"/>
      <c r="U73" s="407"/>
      <c r="V73" s="407"/>
      <c r="W73" s="407"/>
      <c r="X73" s="407"/>
      <c r="Y73" s="407"/>
      <c r="Z73" s="407">
        <f>+AA73+AB73</f>
        <v>0</v>
      </c>
      <c r="AA73" s="408"/>
      <c r="AB73" s="408"/>
      <c r="AC73" s="407"/>
      <c r="AD73" s="408"/>
      <c r="AE73" s="408"/>
      <c r="AF73" s="407"/>
      <c r="AG73" s="408"/>
      <c r="AH73" s="408"/>
      <c r="AI73" s="407"/>
      <c r="AJ73" s="407"/>
      <c r="AK73" s="407"/>
      <c r="AL73" s="407"/>
      <c r="AM73" s="408"/>
      <c r="AN73" s="408"/>
      <c r="AO73" s="407"/>
      <c r="AP73" s="408"/>
      <c r="AQ73" s="408"/>
      <c r="AR73" s="407"/>
      <c r="AS73" s="408"/>
      <c r="AT73" s="408"/>
      <c r="AU73" s="407"/>
      <c r="AV73" s="408"/>
      <c r="AW73" s="408"/>
      <c r="AX73" s="407"/>
      <c r="AY73" s="408"/>
      <c r="AZ73" s="408"/>
      <c r="BA73" s="407"/>
      <c r="BB73" s="408"/>
      <c r="BC73" s="408"/>
      <c r="BD73" s="407"/>
      <c r="BE73" s="408"/>
      <c r="BF73" s="408"/>
      <c r="BG73" s="407"/>
      <c r="BH73" s="408"/>
      <c r="BI73" s="408"/>
      <c r="BJ73" s="407"/>
      <c r="BK73" s="408"/>
      <c r="BL73" s="408"/>
      <c r="BM73" s="407"/>
      <c r="BN73" s="408"/>
      <c r="BO73" s="408"/>
      <c r="BP73" s="407"/>
      <c r="BQ73" s="408"/>
      <c r="BR73" s="408"/>
      <c r="BS73" s="407"/>
      <c r="BT73" s="407"/>
      <c r="BU73" s="408"/>
      <c r="BV73" s="408"/>
      <c r="BW73" s="407"/>
      <c r="BX73" s="407"/>
      <c r="BY73" s="408"/>
      <c r="BZ73" s="408"/>
      <c r="CA73" s="407"/>
      <c r="CB73" s="408"/>
      <c r="CC73" s="408"/>
      <c r="CD73" s="407"/>
      <c r="CE73" s="407"/>
      <c r="CF73" s="408"/>
      <c r="CG73" s="408"/>
      <c r="CH73" s="407"/>
      <c r="CI73" s="408"/>
      <c r="CJ73" s="408"/>
      <c r="CK73" s="407"/>
      <c r="CL73" s="408"/>
      <c r="CM73" s="408"/>
      <c r="CN73" s="407"/>
      <c r="CO73" s="408"/>
      <c r="CP73" s="408"/>
      <c r="CQ73" s="407"/>
      <c r="CR73" s="408"/>
      <c r="CS73" s="408"/>
      <c r="CT73" s="407"/>
      <c r="CU73" s="407"/>
      <c r="CV73" s="408"/>
      <c r="CW73" s="408"/>
      <c r="CX73" s="407"/>
      <c r="CY73" s="408"/>
      <c r="CZ73" s="408"/>
      <c r="DA73" s="407"/>
      <c r="DB73" s="408"/>
      <c r="DC73" s="408"/>
      <c r="DD73" s="407"/>
      <c r="DE73" s="407"/>
      <c r="DF73" s="408"/>
      <c r="DG73" s="408"/>
      <c r="DH73" s="408"/>
      <c r="DI73" s="407"/>
      <c r="DJ73" s="407"/>
      <c r="DK73" s="407"/>
      <c r="DL73" s="407"/>
      <c r="DM73" s="407"/>
      <c r="DN73" s="407"/>
      <c r="DO73" s="407"/>
      <c r="DP73" s="407"/>
      <c r="DQ73" s="408"/>
      <c r="DR73" s="408"/>
      <c r="DS73" s="407"/>
      <c r="DT73" s="407"/>
      <c r="DU73" s="411"/>
      <c r="DV73" s="190">
        <f t="shared" si="38"/>
        <v>0</v>
      </c>
      <c r="DW73" s="337">
        <f t="shared" si="12"/>
        <v>0</v>
      </c>
      <c r="DX73" s="338"/>
      <c r="DY73" s="399"/>
      <c r="EA73" s="322"/>
    </row>
    <row r="74" spans="1:131" ht="19.5" customHeight="1" thickBot="1" x14ac:dyDescent="0.3">
      <c r="A74" s="3059" t="s">
        <v>119</v>
      </c>
      <c r="B74" s="3060"/>
      <c r="C74" s="332">
        <v>205296607</v>
      </c>
      <c r="D74" s="332">
        <v>212292757.63999999</v>
      </c>
      <c r="E74" s="332">
        <f>+E55+E69+E72</f>
        <v>335199248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82407251.908239976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3">
        <f t="shared" si="157"/>
        <v>35738760.600000001</v>
      </c>
      <c r="O74" s="424">
        <f t="shared" si="157"/>
        <v>70000</v>
      </c>
      <c r="P74" s="260">
        <f t="shared" si="157"/>
        <v>2539193.7999999998</v>
      </c>
      <c r="Q74" s="425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23">
        <f t="shared" si="157"/>
        <v>5574240</v>
      </c>
      <c r="AB74" s="423">
        <f t="shared" si="157"/>
        <v>0</v>
      </c>
      <c r="AC74" s="260">
        <f t="shared" si="157"/>
        <v>4490000</v>
      </c>
      <c r="AD74" s="423">
        <f t="shared" si="157"/>
        <v>4490000</v>
      </c>
      <c r="AE74" s="423">
        <f t="shared" si="157"/>
        <v>0</v>
      </c>
      <c r="AF74" s="260">
        <f t="shared" si="157"/>
        <v>6390800</v>
      </c>
      <c r="AG74" s="423">
        <f t="shared" si="157"/>
        <v>6390800</v>
      </c>
      <c r="AH74" s="423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3">
        <f t="shared" si="157"/>
        <v>190000</v>
      </c>
      <c r="AN74" s="423">
        <f t="shared" si="157"/>
        <v>20000</v>
      </c>
      <c r="AO74" s="260">
        <f t="shared" si="157"/>
        <v>1020000</v>
      </c>
      <c r="AP74" s="423">
        <f t="shared" si="157"/>
        <v>1020000</v>
      </c>
      <c r="AQ74" s="423">
        <f t="shared" si="157"/>
        <v>0</v>
      </c>
      <c r="AR74" s="260">
        <f t="shared" si="157"/>
        <v>660000</v>
      </c>
      <c r="AS74" s="423">
        <f t="shared" si="157"/>
        <v>430000</v>
      </c>
      <c r="AT74" s="423">
        <f t="shared" si="157"/>
        <v>230000</v>
      </c>
      <c r="AU74" s="260">
        <f t="shared" si="157"/>
        <v>1757156</v>
      </c>
      <c r="AV74" s="423">
        <f t="shared" si="157"/>
        <v>1757156</v>
      </c>
      <c r="AW74" s="423">
        <f t="shared" si="157"/>
        <v>0</v>
      </c>
      <c r="AX74" s="260">
        <f t="shared" si="157"/>
        <v>45577054.480000004</v>
      </c>
      <c r="AY74" s="423">
        <f t="shared" si="157"/>
        <v>45577054.480000004</v>
      </c>
      <c r="AZ74" s="423">
        <f t="shared" si="157"/>
        <v>0</v>
      </c>
      <c r="BA74" s="260">
        <f t="shared" si="157"/>
        <v>1600000</v>
      </c>
      <c r="BB74" s="423">
        <f t="shared" si="157"/>
        <v>1600000</v>
      </c>
      <c r="BC74" s="423">
        <f t="shared" si="157"/>
        <v>0</v>
      </c>
      <c r="BD74" s="260">
        <f t="shared" si="157"/>
        <v>840000</v>
      </c>
      <c r="BE74" s="423">
        <f t="shared" si="157"/>
        <v>840000</v>
      </c>
      <c r="BF74" s="423">
        <f t="shared" si="157"/>
        <v>0</v>
      </c>
      <c r="BG74" s="260">
        <f t="shared" si="157"/>
        <v>1000000</v>
      </c>
      <c r="BH74" s="423">
        <f t="shared" si="157"/>
        <v>1000000</v>
      </c>
      <c r="BI74" s="423">
        <f t="shared" si="157"/>
        <v>0</v>
      </c>
      <c r="BJ74" s="260">
        <f t="shared" si="157"/>
        <v>320000</v>
      </c>
      <c r="BK74" s="423">
        <f t="shared" si="157"/>
        <v>290000</v>
      </c>
      <c r="BL74" s="423">
        <f t="shared" si="157"/>
        <v>30000</v>
      </c>
      <c r="BM74" s="260">
        <f t="shared" si="157"/>
        <v>5159000</v>
      </c>
      <c r="BN74" s="423">
        <f t="shared" si="157"/>
        <v>5129000</v>
      </c>
      <c r="BO74" s="423">
        <f t="shared" si="157"/>
        <v>30000</v>
      </c>
      <c r="BP74" s="260">
        <f t="shared" si="157"/>
        <v>1800000</v>
      </c>
      <c r="BQ74" s="423">
        <f t="shared" si="157"/>
        <v>1800000</v>
      </c>
      <c r="BR74" s="423">
        <f t="shared" si="157"/>
        <v>0</v>
      </c>
      <c r="BS74" s="260">
        <f t="shared" si="157"/>
        <v>270000</v>
      </c>
      <c r="BT74" s="260">
        <f t="shared" si="157"/>
        <v>2760000</v>
      </c>
      <c r="BU74" s="423">
        <f t="shared" si="157"/>
        <v>2730000</v>
      </c>
      <c r="BV74" s="423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3">
        <f t="shared" si="158"/>
        <v>4634100</v>
      </c>
      <c r="BZ74" s="423">
        <f t="shared" si="158"/>
        <v>350000</v>
      </c>
      <c r="CA74" s="260">
        <f t="shared" si="158"/>
        <v>12100709</v>
      </c>
      <c r="CB74" s="423">
        <f t="shared" si="158"/>
        <v>9850709</v>
      </c>
      <c r="CC74" s="423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23">
        <f t="shared" si="158"/>
        <v>6570000</v>
      </c>
      <c r="CG74" s="423">
        <f t="shared" si="158"/>
        <v>0</v>
      </c>
      <c r="CH74" s="260">
        <f t="shared" si="158"/>
        <v>2500000</v>
      </c>
      <c r="CI74" s="423"/>
      <c r="CJ74" s="423"/>
      <c r="CK74" s="260">
        <f>+CK55+CK69+CK72</f>
        <v>8520000</v>
      </c>
      <c r="CL74" s="423"/>
      <c r="CM74" s="423"/>
      <c r="CN74" s="260">
        <f>+CN55+CN69+CN72</f>
        <v>2500000</v>
      </c>
      <c r="CO74" s="423"/>
      <c r="CP74" s="423"/>
      <c r="CQ74" s="260">
        <f t="shared" ref="CQ74:DU74" si="159">+CQ55+CQ69+CQ72</f>
        <v>780000</v>
      </c>
      <c r="CR74" s="423">
        <f t="shared" si="159"/>
        <v>780000</v>
      </c>
      <c r="CS74" s="423">
        <f t="shared" si="159"/>
        <v>0</v>
      </c>
      <c r="CT74" s="260">
        <f t="shared" si="159"/>
        <v>100000</v>
      </c>
      <c r="CU74" s="260">
        <f t="shared" si="159"/>
        <v>5500000</v>
      </c>
      <c r="CV74" s="423">
        <f t="shared" si="159"/>
        <v>0</v>
      </c>
      <c r="CW74" s="423">
        <f t="shared" si="159"/>
        <v>5500000</v>
      </c>
      <c r="CX74" s="260">
        <f t="shared" si="159"/>
        <v>800000</v>
      </c>
      <c r="CY74" s="423">
        <f t="shared" si="159"/>
        <v>0</v>
      </c>
      <c r="CZ74" s="423">
        <f t="shared" si="159"/>
        <v>800000</v>
      </c>
      <c r="DA74" s="260">
        <f t="shared" si="159"/>
        <v>70000</v>
      </c>
      <c r="DB74" s="423">
        <f t="shared" si="159"/>
        <v>0</v>
      </c>
      <c r="DC74" s="423">
        <f t="shared" si="159"/>
        <v>70000</v>
      </c>
      <c r="DD74" s="260">
        <f t="shared" si="159"/>
        <v>66500</v>
      </c>
      <c r="DE74" s="260">
        <f t="shared" si="159"/>
        <v>3150000</v>
      </c>
      <c r="DF74" s="423">
        <f t="shared" si="159"/>
        <v>1600000</v>
      </c>
      <c r="DG74" s="423">
        <f t="shared" si="159"/>
        <v>0</v>
      </c>
      <c r="DH74" s="423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3">
        <f t="shared" si="159"/>
        <v>50000</v>
      </c>
      <c r="DR74" s="423">
        <f t="shared" si="159"/>
        <v>700000</v>
      </c>
      <c r="DS74" s="260">
        <f t="shared" si="159"/>
        <v>0</v>
      </c>
      <c r="DT74" s="260">
        <f t="shared" si="159"/>
        <v>0</v>
      </c>
      <c r="DU74" s="426">
        <f t="shared" si="159"/>
        <v>0</v>
      </c>
      <c r="DV74" s="190"/>
      <c r="DW74" s="337"/>
      <c r="DX74" s="338"/>
      <c r="DY74" s="332">
        <f>+DY55+DY69+DY72</f>
        <v>10700000</v>
      </c>
      <c r="EA74" s="322"/>
    </row>
    <row r="75" spans="1:131" ht="20.25" customHeight="1" thickBot="1" x14ac:dyDescent="0.3">
      <c r="A75" s="3059" t="s">
        <v>127</v>
      </c>
      <c r="B75" s="3061"/>
      <c r="C75" s="427">
        <v>0</v>
      </c>
      <c r="D75" s="427">
        <v>0</v>
      </c>
      <c r="E75" s="427">
        <f>+'Příjmy kapitol celkem'!I113-'Výdaje kapitol celkem (2)'!E74</f>
        <v>0</v>
      </c>
      <c r="F75" s="329"/>
      <c r="G75" s="430"/>
      <c r="H75" s="329"/>
      <c r="I75" s="329"/>
      <c r="J75" s="428">
        <f>'Příjmy kapitol celkem'!I113-E55-SUM(E56:E66)-E68-E71</f>
        <v>75482859.908239976</v>
      </c>
      <c r="K75" s="329"/>
      <c r="L75" s="329"/>
      <c r="M75" s="329"/>
      <c r="N75" s="318"/>
      <c r="O75" s="428"/>
      <c r="P75" s="329"/>
      <c r="Q75" s="318">
        <f>+Q66+Q58+Q44+Q35+Q34+Q22+Q16</f>
        <v>30540000</v>
      </c>
      <c r="R75" s="329"/>
      <c r="S75" s="329"/>
      <c r="T75" s="329"/>
      <c r="U75" s="329"/>
      <c r="V75" s="329"/>
      <c r="W75" s="329"/>
      <c r="X75" s="329"/>
      <c r="Y75" s="329"/>
      <c r="Z75" s="329"/>
      <c r="AA75" s="318"/>
      <c r="AB75" s="318"/>
      <c r="AC75" s="329"/>
      <c r="AD75" s="318"/>
      <c r="AE75" s="318"/>
      <c r="AF75" s="329"/>
      <c r="AG75" s="318"/>
      <c r="AH75" s="318"/>
      <c r="AI75" s="329"/>
      <c r="AJ75" s="329"/>
      <c r="AK75" s="329"/>
      <c r="AL75" s="329"/>
      <c r="AM75" s="318"/>
      <c r="AN75" s="318"/>
      <c r="AO75" s="329"/>
      <c r="AP75" s="318"/>
      <c r="AQ75" s="318"/>
      <c r="AR75" s="329"/>
      <c r="AS75" s="318"/>
      <c r="AT75" s="318"/>
      <c r="AU75" s="329"/>
      <c r="AV75" s="318"/>
      <c r="AW75" s="318"/>
      <c r="AX75" s="329"/>
      <c r="AY75" s="318"/>
      <c r="AZ75" s="318"/>
      <c r="BA75" s="329"/>
      <c r="BB75" s="318"/>
      <c r="BC75" s="318"/>
      <c r="BD75" s="329"/>
      <c r="BE75" s="318"/>
      <c r="BF75" s="318"/>
      <c r="BG75" s="329"/>
      <c r="BH75" s="318"/>
      <c r="BI75" s="318"/>
      <c r="BJ75" s="329"/>
      <c r="BK75" s="318"/>
      <c r="BL75" s="318"/>
      <c r="BM75" s="329"/>
      <c r="BN75" s="318"/>
      <c r="BO75" s="318"/>
      <c r="BP75" s="329"/>
      <c r="BQ75" s="318"/>
      <c r="BR75" s="318"/>
      <c r="BS75" s="329"/>
      <c r="BT75" s="329"/>
      <c r="BU75" s="318"/>
      <c r="BV75" s="318"/>
      <c r="BW75" s="329"/>
      <c r="BX75" s="329"/>
      <c r="BY75" s="318"/>
      <c r="BZ75" s="318"/>
      <c r="CA75" s="329"/>
      <c r="CB75" s="318"/>
      <c r="CC75" s="318"/>
      <c r="CD75" s="329"/>
      <c r="CE75" s="329"/>
      <c r="CF75" s="318"/>
      <c r="CG75" s="318"/>
      <c r="CH75" s="329"/>
      <c r="CI75" s="318"/>
      <c r="CJ75" s="318"/>
      <c r="CK75" s="329"/>
      <c r="CL75" s="318"/>
      <c r="CM75" s="318"/>
      <c r="CN75" s="329"/>
      <c r="CO75" s="318"/>
      <c r="CP75" s="318"/>
      <c r="CQ75" s="329"/>
      <c r="CR75" s="318"/>
      <c r="CS75" s="318"/>
      <c r="CT75" s="329"/>
      <c r="CU75" s="329"/>
      <c r="CV75" s="318"/>
      <c r="CW75" s="318"/>
      <c r="CX75" s="329"/>
      <c r="CY75" s="318"/>
      <c r="CZ75" s="318"/>
      <c r="DA75" s="329"/>
      <c r="DB75" s="318"/>
      <c r="DC75" s="318"/>
      <c r="DD75" s="329"/>
      <c r="DE75" s="329"/>
      <c r="DF75" s="318"/>
      <c r="DG75" s="318"/>
      <c r="DH75" s="318"/>
      <c r="DI75" s="329"/>
      <c r="DJ75" s="329"/>
      <c r="DK75" s="329"/>
      <c r="DL75" s="329"/>
      <c r="DM75" s="329"/>
      <c r="DN75" s="329"/>
      <c r="DO75" s="329"/>
      <c r="DP75" s="329"/>
      <c r="DQ75" s="318"/>
      <c r="DR75" s="318"/>
      <c r="DS75" s="329"/>
      <c r="DT75" s="329"/>
      <c r="DU75" s="329"/>
      <c r="DV75" s="109"/>
      <c r="DW75" s="337"/>
      <c r="DX75" s="338"/>
      <c r="DY75" s="306"/>
    </row>
    <row r="76" spans="1:131" x14ac:dyDescent="0.25">
      <c r="A76" s="429"/>
      <c r="B76" s="275"/>
      <c r="C76" s="275"/>
      <c r="D76" s="275"/>
      <c r="E76" s="329"/>
      <c r="F76" s="430"/>
      <c r="G76" s="430"/>
      <c r="H76" s="430"/>
      <c r="I76" s="430"/>
      <c r="J76" s="430"/>
      <c r="K76" s="430"/>
      <c r="L76" s="430"/>
      <c r="M76" s="430"/>
      <c r="N76" s="431"/>
      <c r="O76" s="432" t="s">
        <v>638</v>
      </c>
      <c r="P76" s="430"/>
      <c r="Q76" s="432">
        <f>+Q75/12</f>
        <v>2545000</v>
      </c>
      <c r="R76" s="430"/>
      <c r="S76" s="430"/>
      <c r="T76" s="430"/>
      <c r="U76" s="430"/>
      <c r="V76" s="430"/>
      <c r="W76" s="430"/>
      <c r="X76" s="430"/>
      <c r="Y76" s="430"/>
      <c r="Z76" s="430"/>
      <c r="AA76" s="431"/>
      <c r="AB76" s="431"/>
      <c r="AC76" s="430"/>
      <c r="AD76" s="431"/>
      <c r="AE76" s="431"/>
      <c r="AF76" s="430"/>
      <c r="AG76" s="431"/>
      <c r="AH76" s="431"/>
      <c r="AI76" s="430"/>
      <c r="AJ76" s="430"/>
      <c r="AK76" s="430"/>
      <c r="AL76" s="430"/>
      <c r="AM76" s="431"/>
      <c r="AN76" s="431"/>
      <c r="AO76" s="430"/>
      <c r="AP76" s="431"/>
      <c r="AQ76" s="431"/>
      <c r="AR76" s="430"/>
      <c r="AS76" s="431"/>
      <c r="AT76" s="431"/>
      <c r="AU76" s="430"/>
      <c r="AV76" s="431"/>
      <c r="AW76" s="431"/>
      <c r="AX76" s="430"/>
      <c r="AY76" s="431"/>
      <c r="AZ76" s="431"/>
      <c r="BA76" s="430"/>
      <c r="BB76" s="431"/>
      <c r="BC76" s="431"/>
      <c r="BD76" s="430"/>
      <c r="BE76" s="431"/>
      <c r="BF76" s="431"/>
      <c r="BG76" s="430"/>
      <c r="BH76" s="431"/>
      <c r="BI76" s="431"/>
      <c r="BJ76" s="430"/>
      <c r="BK76" s="431"/>
      <c r="BL76" s="431"/>
      <c r="BM76" s="430"/>
      <c r="BN76" s="431"/>
      <c r="BO76" s="431"/>
      <c r="BP76" s="430"/>
      <c r="BQ76" s="431"/>
      <c r="BR76" s="431"/>
      <c r="BS76" s="430"/>
      <c r="BT76" s="430"/>
      <c r="BU76" s="431"/>
      <c r="BV76" s="431"/>
      <c r="BW76" s="430"/>
      <c r="BX76" s="430"/>
      <c r="BY76" s="431"/>
      <c r="BZ76" s="431"/>
      <c r="CA76" s="430"/>
      <c r="CB76" s="431"/>
      <c r="CC76" s="431"/>
      <c r="CD76" s="430"/>
      <c r="CE76" s="430"/>
      <c r="CF76" s="431"/>
      <c r="CG76" s="431"/>
      <c r="CH76" s="430"/>
      <c r="CI76" s="431"/>
      <c r="CJ76" s="431"/>
      <c r="CK76" s="430"/>
      <c r="CL76" s="431"/>
      <c r="CM76" s="431"/>
      <c r="CN76" s="430"/>
      <c r="CO76" s="431"/>
      <c r="CP76" s="431"/>
      <c r="CQ76" s="430"/>
      <c r="CR76" s="431"/>
      <c r="CS76" s="431"/>
      <c r="CT76" s="430"/>
      <c r="CU76" s="430"/>
      <c r="CV76" s="431"/>
      <c r="CW76" s="431"/>
      <c r="CX76" s="430"/>
      <c r="CY76" s="431"/>
      <c r="CZ76" s="431"/>
      <c r="DA76" s="430"/>
      <c r="DB76" s="431"/>
      <c r="DC76" s="431"/>
      <c r="DD76" s="430"/>
      <c r="DE76" s="430"/>
      <c r="DF76" s="431"/>
      <c r="DG76" s="431"/>
      <c r="DH76" s="431"/>
      <c r="DI76" s="430"/>
      <c r="DJ76" s="430"/>
      <c r="DK76" s="430"/>
      <c r="DL76" s="430"/>
      <c r="DM76" s="430"/>
      <c r="DN76" s="430"/>
      <c r="DO76" s="430"/>
      <c r="DP76" s="430"/>
      <c r="DQ76" s="431"/>
      <c r="DR76" s="431"/>
      <c r="DS76" s="430"/>
      <c r="DT76" s="430"/>
      <c r="DU76" s="430"/>
      <c r="DV76" s="109"/>
      <c r="DW76" s="337"/>
      <c r="DX76" s="338"/>
      <c r="DY76" s="334"/>
    </row>
    <row r="77" spans="1:131" x14ac:dyDescent="0.25">
      <c r="A77" s="315" t="s">
        <v>544</v>
      </c>
      <c r="B77" s="275"/>
      <c r="C77" s="275"/>
      <c r="D77" s="275"/>
      <c r="E77" s="329"/>
      <c r="O77" s="326" t="s">
        <v>311</v>
      </c>
      <c r="Q77" s="323"/>
    </row>
    <row r="78" spans="1:131" x14ac:dyDescent="0.25">
      <c r="F78" s="328"/>
      <c r="G78" s="328"/>
      <c r="H78" s="328"/>
      <c r="I78" s="328"/>
      <c r="J78" s="323"/>
      <c r="O78" s="326"/>
      <c r="Q78" s="323"/>
    </row>
    <row r="79" spans="1:131" x14ac:dyDescent="0.25">
      <c r="O79" s="326"/>
      <c r="Q79" s="323"/>
    </row>
    <row r="80" spans="1:131" x14ac:dyDescent="0.25">
      <c r="O80" s="326" t="s">
        <v>686</v>
      </c>
      <c r="Q80" s="323"/>
    </row>
    <row r="81" spans="17:17" x14ac:dyDescent="0.25">
      <c r="Q81" s="433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38"/>
  <sheetViews>
    <sheetView workbookViewId="0"/>
  </sheetViews>
  <sheetFormatPr defaultColWidth="9" defaultRowHeight="13.5" outlineLevelRow="1" outlineLevelCol="1" x14ac:dyDescent="0.25"/>
  <cols>
    <col min="1" max="1" width="9.7109375" style="266" customWidth="1"/>
    <col min="2" max="2" width="72" style="111" customWidth="1"/>
    <col min="3" max="3" width="13.85546875" style="574" bestFit="1" customWidth="1"/>
    <col min="4" max="4" width="10.5703125" style="135" bestFit="1" customWidth="1"/>
    <col min="5" max="5" width="11.5703125" style="135" bestFit="1" customWidth="1"/>
    <col min="6" max="6" width="13.28515625" style="135" customWidth="1" outlineLevel="1"/>
    <col min="7" max="7" width="10" style="135" bestFit="1" customWidth="1" outlineLevel="1"/>
    <col min="8" max="8" width="13.285156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28515625" style="135" bestFit="1" customWidth="1" outlineLevel="1"/>
    <col min="17" max="17" width="15.5703125" style="267" customWidth="1"/>
    <col min="18" max="18" width="10.7109375" style="111" bestFit="1" customWidth="1"/>
    <col min="19" max="16384" width="9" style="111"/>
  </cols>
  <sheetData>
    <row r="1" spans="1:18" x14ac:dyDescent="0.25">
      <c r="A1" s="864" t="s">
        <v>2372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339</v>
      </c>
      <c r="B2" s="109"/>
      <c r="C2" s="306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483</v>
      </c>
      <c r="B4" s="116" t="s">
        <v>0</v>
      </c>
      <c r="C4" s="117" t="s">
        <v>2378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948</v>
      </c>
      <c r="J4" s="121" t="s">
        <v>484</v>
      </c>
      <c r="K4" s="123" t="s">
        <v>2377</v>
      </c>
      <c r="L4" s="119" t="s">
        <v>337</v>
      </c>
      <c r="M4" s="120" t="s">
        <v>949</v>
      </c>
      <c r="N4" s="122" t="s">
        <v>153</v>
      </c>
      <c r="O4" s="124" t="s">
        <v>154</v>
      </c>
      <c r="P4" s="123" t="s">
        <v>1966</v>
      </c>
      <c r="Q4" s="110"/>
    </row>
    <row r="5" spans="1:18" s="135" customFormat="1" x14ac:dyDescent="0.25">
      <c r="A5" s="1663"/>
      <c r="B5" s="1664" t="s">
        <v>575</v>
      </c>
      <c r="C5" s="1665">
        <f>+C6+C7</f>
        <v>42844895</v>
      </c>
      <c r="D5" s="1666">
        <f t="shared" ref="D5:P5" si="0">+D6+D7</f>
        <v>4500000</v>
      </c>
      <c r="E5" s="129">
        <f t="shared" si="0"/>
        <v>38344895</v>
      </c>
      <c r="F5" s="1665">
        <f t="shared" si="0"/>
        <v>3500000</v>
      </c>
      <c r="G5" s="1665">
        <f t="shared" si="0"/>
        <v>700000</v>
      </c>
      <c r="H5" s="1667">
        <f t="shared" si="0"/>
        <v>6747870</v>
      </c>
      <c r="I5" s="1667">
        <f t="shared" si="0"/>
        <v>1340000</v>
      </c>
      <c r="J5" s="1667">
        <f t="shared" si="0"/>
        <v>3860210</v>
      </c>
      <c r="K5" s="1668">
        <f t="shared" si="0"/>
        <v>22196815</v>
      </c>
      <c r="L5" s="129">
        <f t="shared" si="0"/>
        <v>0</v>
      </c>
      <c r="M5" s="1669">
        <f t="shared" si="0"/>
        <v>0</v>
      </c>
      <c r="N5" s="1667">
        <f t="shared" si="0"/>
        <v>0</v>
      </c>
      <c r="O5" s="1669">
        <f t="shared" si="0"/>
        <v>0</v>
      </c>
      <c r="P5" s="1668">
        <f t="shared" si="0"/>
        <v>0</v>
      </c>
      <c r="Q5" s="295"/>
    </row>
    <row r="6" spans="1:18" x14ac:dyDescent="0.25">
      <c r="A6" s="3062" t="s">
        <v>507</v>
      </c>
      <c r="B6" s="136" t="s">
        <v>2374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3063"/>
      <c r="B7" s="145" t="s">
        <v>259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25">
      <c r="A8" s="3063"/>
      <c r="B8" s="1638" t="s">
        <v>1693</v>
      </c>
      <c r="C8" s="1104">
        <f t="shared" ref="C8:C15" si="6">+E8+L8+D8</f>
        <v>360210</v>
      </c>
      <c r="D8" s="1093">
        <v>0</v>
      </c>
      <c r="E8" s="1094">
        <f t="shared" ref="E8:E33" si="7">SUM(F8:K8)</f>
        <v>360210</v>
      </c>
      <c r="F8" s="1081"/>
      <c r="G8" s="1081"/>
      <c r="H8" s="1055"/>
      <c r="I8" s="1054"/>
      <c r="J8" s="1055">
        <v>360210</v>
      </c>
      <c r="K8" s="1056"/>
      <c r="L8" s="1094">
        <f t="shared" si="1"/>
        <v>0</v>
      </c>
      <c r="M8" s="1054"/>
      <c r="N8" s="1055"/>
      <c r="O8" s="1054"/>
      <c r="P8" s="1056"/>
      <c r="Q8" s="180"/>
    </row>
    <row r="9" spans="1:18" s="181" customFormat="1" ht="15.75" customHeight="1" outlineLevel="1" x14ac:dyDescent="0.25">
      <c r="A9" s="3063"/>
      <c r="B9" s="1722" t="s">
        <v>1967</v>
      </c>
      <c r="C9" s="1104">
        <f t="shared" si="6"/>
        <v>450000</v>
      </c>
      <c r="D9" s="1093">
        <v>0</v>
      </c>
      <c r="E9" s="1094">
        <f t="shared" si="7"/>
        <v>450000</v>
      </c>
      <c r="F9" s="1081"/>
      <c r="G9" s="1081"/>
      <c r="H9" s="1055"/>
      <c r="I9" s="1054">
        <f>'Investice celkem  2024'!L7</f>
        <v>450000</v>
      </c>
      <c r="J9" s="1055"/>
      <c r="K9" s="1056"/>
      <c r="L9" s="1094">
        <f t="shared" si="1"/>
        <v>0</v>
      </c>
      <c r="M9" s="1054"/>
      <c r="N9" s="1055"/>
      <c r="O9" s="1054"/>
      <c r="P9" s="1056"/>
      <c r="Q9" s="180"/>
    </row>
    <row r="10" spans="1:18" s="181" customFormat="1" outlineLevel="1" x14ac:dyDescent="0.25">
      <c r="A10" s="3063"/>
      <c r="B10" s="1638" t="s">
        <v>946</v>
      </c>
      <c r="C10" s="1104">
        <f t="shared" si="6"/>
        <v>997870</v>
      </c>
      <c r="D10" s="1093"/>
      <c r="E10" s="1094">
        <f t="shared" si="7"/>
        <v>997870</v>
      </c>
      <c r="F10" s="1081"/>
      <c r="G10" s="1081"/>
      <c r="H10" s="1055">
        <v>997870</v>
      </c>
      <c r="I10" s="1054"/>
      <c r="J10" s="1055"/>
      <c r="K10" s="1056"/>
      <c r="L10" s="1094">
        <f t="shared" si="1"/>
        <v>0</v>
      </c>
      <c r="M10" s="1054"/>
      <c r="N10" s="1055"/>
      <c r="O10" s="1054"/>
      <c r="P10" s="1056"/>
      <c r="Q10" s="180" t="s">
        <v>965</v>
      </c>
    </row>
    <row r="11" spans="1:18" s="181" customFormat="1" outlineLevel="1" x14ac:dyDescent="0.25">
      <c r="A11" s="3063"/>
      <c r="B11" s="1638" t="s">
        <v>2375</v>
      </c>
      <c r="C11" s="1104">
        <f t="shared" si="6"/>
        <v>1250000</v>
      </c>
      <c r="D11" s="1093"/>
      <c r="E11" s="1094">
        <f t="shared" si="7"/>
        <v>1250000</v>
      </c>
      <c r="F11" s="1081"/>
      <c r="G11" s="1081"/>
      <c r="H11" s="1055">
        <v>1250000</v>
      </c>
      <c r="I11" s="1054"/>
      <c r="J11" s="1055"/>
      <c r="K11" s="1056"/>
      <c r="L11" s="1094">
        <f t="shared" si="1"/>
        <v>0</v>
      </c>
      <c r="M11" s="1054"/>
      <c r="N11" s="1055"/>
      <c r="O11" s="1054"/>
      <c r="P11" s="1056"/>
      <c r="Q11" s="180"/>
    </row>
    <row r="12" spans="1:18" s="181" customFormat="1" outlineLevel="1" x14ac:dyDescent="0.25">
      <c r="A12" s="3063"/>
      <c r="B12" s="1638" t="s">
        <v>2383</v>
      </c>
      <c r="C12" s="1104">
        <f t="shared" si="6"/>
        <v>121815</v>
      </c>
      <c r="D12" s="1093">
        <v>0</v>
      </c>
      <c r="E12" s="1094">
        <f t="shared" si="7"/>
        <v>121815</v>
      </c>
      <c r="F12" s="1081"/>
      <c r="G12" s="1081"/>
      <c r="H12" s="1055"/>
      <c r="I12" s="1054"/>
      <c r="J12" s="1055"/>
      <c r="K12" s="1056">
        <v>121815</v>
      </c>
      <c r="L12" s="1094">
        <f t="shared" si="1"/>
        <v>0</v>
      </c>
      <c r="M12" s="1054"/>
      <c r="N12" s="1055"/>
      <c r="O12" s="1054"/>
      <c r="P12" s="1056"/>
      <c r="Q12" s="180"/>
    </row>
    <row r="13" spans="1:18" s="181" customFormat="1" outlineLevel="1" x14ac:dyDescent="0.25">
      <c r="A13" s="3063"/>
      <c r="B13" s="1638" t="s">
        <v>2380</v>
      </c>
      <c r="C13" s="1104">
        <f t="shared" si="6"/>
        <v>500000</v>
      </c>
      <c r="D13" s="1093">
        <v>0</v>
      </c>
      <c r="E13" s="1094">
        <f t="shared" si="7"/>
        <v>500000</v>
      </c>
      <c r="F13" s="1081"/>
      <c r="G13" s="1081"/>
      <c r="H13" s="1055"/>
      <c r="I13" s="1054"/>
      <c r="J13" s="1055"/>
      <c r="K13" s="1056">
        <v>500000</v>
      </c>
      <c r="L13" s="1094">
        <f t="shared" si="1"/>
        <v>0</v>
      </c>
      <c r="M13" s="1054"/>
      <c r="N13" s="1055"/>
      <c r="O13" s="1054"/>
      <c r="P13" s="1056"/>
      <c r="Q13" s="180"/>
    </row>
    <row r="14" spans="1:18" s="181" customFormat="1" outlineLevel="1" x14ac:dyDescent="0.25">
      <c r="A14" s="3063"/>
      <c r="B14" s="1638" t="s">
        <v>2382</v>
      </c>
      <c r="C14" s="1104">
        <f>+E14+L14+D14</f>
        <v>700000</v>
      </c>
      <c r="D14" s="1093"/>
      <c r="E14" s="1094">
        <f t="shared" si="7"/>
        <v>700000</v>
      </c>
      <c r="F14" s="1081"/>
      <c r="G14" s="1081"/>
      <c r="H14" s="1055"/>
      <c r="I14" s="1054"/>
      <c r="J14" s="1055"/>
      <c r="K14" s="1056">
        <v>700000</v>
      </c>
      <c r="L14" s="1094">
        <f t="shared" si="1"/>
        <v>0</v>
      </c>
      <c r="M14" s="1054"/>
      <c r="N14" s="1055"/>
      <c r="O14" s="1054"/>
      <c r="P14" s="1056"/>
      <c r="Q14" s="180"/>
    </row>
    <row r="15" spans="1:18" s="181" customFormat="1" outlineLevel="1" x14ac:dyDescent="0.25">
      <c r="A15" s="3063"/>
      <c r="B15" s="1638" t="s">
        <v>2381</v>
      </c>
      <c r="C15" s="1104">
        <f t="shared" si="6"/>
        <v>600000</v>
      </c>
      <c r="D15" s="1093">
        <v>0</v>
      </c>
      <c r="E15" s="1094">
        <f t="shared" si="7"/>
        <v>600000</v>
      </c>
      <c r="F15" s="1081"/>
      <c r="G15" s="1081"/>
      <c r="H15" s="1088"/>
      <c r="I15" s="302"/>
      <c r="J15" s="1088"/>
      <c r="K15" s="1056">
        <v>600000</v>
      </c>
      <c r="L15" s="1094">
        <f t="shared" si="1"/>
        <v>0</v>
      </c>
      <c r="M15" s="1054"/>
      <c r="N15" s="1055"/>
      <c r="O15" s="1054"/>
      <c r="P15" s="1056"/>
      <c r="Q15" s="180"/>
    </row>
    <row r="16" spans="1:18" x14ac:dyDescent="0.25">
      <c r="A16" s="163"/>
      <c r="B16" s="164" t="s">
        <v>272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092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1691</v>
      </c>
    </row>
    <row r="17" spans="1:17" outlineLevel="1" x14ac:dyDescent="0.25">
      <c r="A17" s="165"/>
      <c r="B17" s="1639" t="s">
        <v>688</v>
      </c>
      <c r="C17" s="1105">
        <f>+E17+L17+D17</f>
        <v>250000</v>
      </c>
      <c r="D17" s="1095">
        <v>0</v>
      </c>
      <c r="E17" s="1096">
        <f t="shared" si="7"/>
        <v>250000</v>
      </c>
      <c r="F17" s="1082">
        <v>0</v>
      </c>
      <c r="G17" s="1082">
        <v>0</v>
      </c>
      <c r="H17" s="1058">
        <v>250000</v>
      </c>
      <c r="I17" s="1057"/>
      <c r="J17" s="1058"/>
      <c r="K17" s="1059">
        <v>0</v>
      </c>
      <c r="L17" s="1096">
        <f t="shared" si="1"/>
        <v>0</v>
      </c>
      <c r="M17" s="1057"/>
      <c r="N17" s="1058">
        <v>0</v>
      </c>
      <c r="O17" s="1057">
        <v>0</v>
      </c>
      <c r="P17" s="1059">
        <v>0</v>
      </c>
      <c r="Q17" s="110"/>
    </row>
    <row r="18" spans="1:17" s="135" customFormat="1" x14ac:dyDescent="0.25">
      <c r="A18" s="163"/>
      <c r="B18" s="164" t="s">
        <v>258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25">
      <c r="A19" s="165"/>
      <c r="B19" s="1639" t="s">
        <v>956</v>
      </c>
      <c r="C19" s="1105">
        <f t="shared" ref="C19:C24" si="11">+E19+L19+D19</f>
        <v>53396000</v>
      </c>
      <c r="D19" s="1095">
        <v>0</v>
      </c>
      <c r="E19" s="1096">
        <f t="shared" si="7"/>
        <v>0</v>
      </c>
      <c r="F19" s="1082">
        <v>0</v>
      </c>
      <c r="G19" s="1082">
        <v>0</v>
      </c>
      <c r="H19" s="1058">
        <v>0</v>
      </c>
      <c r="I19" s="1057"/>
      <c r="J19" s="1058"/>
      <c r="K19" s="1059">
        <v>0</v>
      </c>
      <c r="L19" s="1096">
        <f t="shared" si="1"/>
        <v>53396000</v>
      </c>
      <c r="M19" s="1057"/>
      <c r="N19" s="1058">
        <v>16900000</v>
      </c>
      <c r="O19" s="1057">
        <v>15386000</v>
      </c>
      <c r="P19" s="1059">
        <v>21110000</v>
      </c>
      <c r="Q19" s="110"/>
    </row>
    <row r="20" spans="1:17" outlineLevel="1" x14ac:dyDescent="0.25">
      <c r="A20" s="165"/>
      <c r="B20" s="1639" t="s">
        <v>935</v>
      </c>
      <c r="C20" s="1105">
        <f t="shared" si="11"/>
        <v>1000000</v>
      </c>
      <c r="D20" s="1095"/>
      <c r="E20" s="1096">
        <f t="shared" si="7"/>
        <v>0</v>
      </c>
      <c r="F20" s="1082"/>
      <c r="G20" s="1082"/>
      <c r="H20" s="1058"/>
      <c r="I20" s="1057"/>
      <c r="J20" s="1058"/>
      <c r="K20" s="1059"/>
      <c r="L20" s="1096">
        <f t="shared" si="1"/>
        <v>1000000</v>
      </c>
      <c r="M20" s="1057"/>
      <c r="N20" s="1058">
        <v>1000000</v>
      </c>
      <c r="O20" s="1057"/>
      <c r="P20" s="1059"/>
      <c r="Q20" s="110"/>
    </row>
    <row r="21" spans="1:17" outlineLevel="1" x14ac:dyDescent="0.25">
      <c r="A21" s="165"/>
      <c r="B21" s="1639" t="s">
        <v>941</v>
      </c>
      <c r="C21" s="1105">
        <f t="shared" si="11"/>
        <v>60000</v>
      </c>
      <c r="D21" s="1095"/>
      <c r="E21" s="1096">
        <f t="shared" si="7"/>
        <v>0</v>
      </c>
      <c r="F21" s="1082"/>
      <c r="G21" s="1082"/>
      <c r="H21" s="1058"/>
      <c r="I21" s="1057"/>
      <c r="J21" s="1058"/>
      <c r="K21" s="1059"/>
      <c r="L21" s="1096">
        <f t="shared" si="1"/>
        <v>60000</v>
      </c>
      <c r="M21" s="1057"/>
      <c r="N21" s="1058">
        <v>30000</v>
      </c>
      <c r="O21" s="1057">
        <v>30000</v>
      </c>
      <c r="P21" s="1059"/>
      <c r="Q21" s="110"/>
    </row>
    <row r="22" spans="1:17" s="181" customFormat="1" outlineLevel="1" x14ac:dyDescent="0.25">
      <c r="A22" s="171"/>
      <c r="B22" s="1640" t="s">
        <v>689</v>
      </c>
      <c r="C22" s="1106">
        <f t="shared" si="11"/>
        <v>3600000</v>
      </c>
      <c r="D22" s="1097">
        <v>0</v>
      </c>
      <c r="E22" s="1098">
        <f t="shared" si="7"/>
        <v>0</v>
      </c>
      <c r="F22" s="1083">
        <v>0</v>
      </c>
      <c r="G22" s="1083">
        <v>0</v>
      </c>
      <c r="H22" s="1061">
        <v>0</v>
      </c>
      <c r="I22" s="1060"/>
      <c r="J22" s="1061"/>
      <c r="K22" s="1062">
        <v>0</v>
      </c>
      <c r="L22" s="1098">
        <f t="shared" si="1"/>
        <v>3600000</v>
      </c>
      <c r="M22" s="1060"/>
      <c r="N22" s="1061">
        <v>1500000</v>
      </c>
      <c r="O22" s="1060">
        <v>1500000</v>
      </c>
      <c r="P22" s="1062">
        <v>600000</v>
      </c>
      <c r="Q22" s="180"/>
    </row>
    <row r="23" spans="1:17" s="135" customFormat="1" x14ac:dyDescent="0.25">
      <c r="A23" s="163"/>
      <c r="B23" s="182" t="s">
        <v>255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25">
      <c r="A24" s="163"/>
      <c r="B24" s="182" t="s">
        <v>256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25">
      <c r="A25" s="163"/>
      <c r="B25" s="182" t="s">
        <v>257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25">
      <c r="A26" s="165"/>
      <c r="B26" s="1639" t="s">
        <v>936</v>
      </c>
      <c r="C26" s="1103">
        <f>+E26+L26+D26</f>
        <v>3274000</v>
      </c>
      <c r="D26" s="1091">
        <v>0</v>
      </c>
      <c r="E26" s="1092">
        <f t="shared" si="7"/>
        <v>3274000</v>
      </c>
      <c r="F26" s="1079">
        <v>99000</v>
      </c>
      <c r="G26" s="1079">
        <v>0</v>
      </c>
      <c r="H26" s="1052">
        <v>25000</v>
      </c>
      <c r="I26" s="1051">
        <v>100000</v>
      </c>
      <c r="J26" s="1052">
        <v>50000</v>
      </c>
      <c r="K26" s="1053">
        <v>3000000</v>
      </c>
      <c r="L26" s="1092">
        <f t="shared" si="1"/>
        <v>0</v>
      </c>
      <c r="M26" s="1051"/>
      <c r="N26" s="1052">
        <v>0</v>
      </c>
      <c r="O26" s="1051">
        <v>0</v>
      </c>
      <c r="P26" s="1053">
        <v>0</v>
      </c>
      <c r="Q26" s="110"/>
    </row>
    <row r="27" spans="1:17" outlineLevel="1" x14ac:dyDescent="0.25">
      <c r="A27" s="165"/>
      <c r="B27" s="1639" t="s">
        <v>937</v>
      </c>
      <c r="C27" s="1103">
        <f t="shared" ref="C27:C30" si="13">+E27+L27+D27</f>
        <v>96000</v>
      </c>
      <c r="D27" s="1091">
        <v>0</v>
      </c>
      <c r="E27" s="1092">
        <f t="shared" si="7"/>
        <v>96000</v>
      </c>
      <c r="F27" s="1079"/>
      <c r="G27" s="1079"/>
      <c r="H27" s="1052"/>
      <c r="I27" s="1051"/>
      <c r="J27" s="1052"/>
      <c r="K27" s="1053">
        <v>96000</v>
      </c>
      <c r="L27" s="1092"/>
      <c r="M27" s="1051"/>
      <c r="N27" s="1052"/>
      <c r="O27" s="1051"/>
      <c r="P27" s="1053"/>
      <c r="Q27" s="110"/>
    </row>
    <row r="28" spans="1:17" outlineLevel="1" x14ac:dyDescent="0.25">
      <c r="A28" s="165"/>
      <c r="B28" s="1639" t="s">
        <v>938</v>
      </c>
      <c r="C28" s="1103">
        <f t="shared" si="13"/>
        <v>100000</v>
      </c>
      <c r="D28" s="1091"/>
      <c r="E28" s="1092">
        <f t="shared" si="7"/>
        <v>100000</v>
      </c>
      <c r="F28" s="1079">
        <v>100000</v>
      </c>
      <c r="G28" s="1079"/>
      <c r="H28" s="1052"/>
      <c r="I28" s="1051"/>
      <c r="J28" s="1052"/>
      <c r="K28" s="1053"/>
      <c r="L28" s="1092"/>
      <c r="M28" s="1051"/>
      <c r="N28" s="1052"/>
      <c r="O28" s="1051"/>
      <c r="P28" s="1053"/>
      <c r="Q28" s="110"/>
    </row>
    <row r="29" spans="1:17" outlineLevel="1" x14ac:dyDescent="0.25">
      <c r="A29" s="165"/>
      <c r="B29" s="1639" t="s">
        <v>939</v>
      </c>
      <c r="C29" s="1103">
        <f t="shared" si="13"/>
        <v>60000</v>
      </c>
      <c r="D29" s="1091"/>
      <c r="E29" s="1092">
        <f t="shared" si="7"/>
        <v>60000</v>
      </c>
      <c r="F29" s="1079"/>
      <c r="G29" s="1079"/>
      <c r="H29" s="1052"/>
      <c r="I29" s="1051"/>
      <c r="J29" s="1052"/>
      <c r="K29" s="1053">
        <v>60000</v>
      </c>
      <c r="L29" s="1092"/>
      <c r="M29" s="1051"/>
      <c r="N29" s="1052"/>
      <c r="O29" s="1051"/>
      <c r="P29" s="1053"/>
      <c r="Q29" s="110"/>
    </row>
    <row r="30" spans="1:17" outlineLevel="1" x14ac:dyDescent="0.25">
      <c r="A30" s="165"/>
      <c r="B30" s="1639" t="s">
        <v>940</v>
      </c>
      <c r="C30" s="1103">
        <f t="shared" si="13"/>
        <v>100000</v>
      </c>
      <c r="D30" s="1091"/>
      <c r="E30" s="1092">
        <f t="shared" si="7"/>
        <v>100000</v>
      </c>
      <c r="F30" s="1079"/>
      <c r="G30" s="1079"/>
      <c r="H30" s="1052"/>
      <c r="I30" s="1051"/>
      <c r="J30" s="1052"/>
      <c r="K30" s="1053">
        <v>100000</v>
      </c>
      <c r="L30" s="1092"/>
      <c r="M30" s="1051"/>
      <c r="N30" s="1052"/>
      <c r="O30" s="1051"/>
      <c r="P30" s="1053"/>
      <c r="Q30" s="110"/>
    </row>
    <row r="31" spans="1:17" outlineLevel="1" x14ac:dyDescent="0.25">
      <c r="A31" s="165"/>
      <c r="B31" s="1639" t="s">
        <v>493</v>
      </c>
      <c r="C31" s="1103">
        <f>+E31+L31+D31</f>
        <v>80000</v>
      </c>
      <c r="D31" s="1091">
        <v>0</v>
      </c>
      <c r="E31" s="1092">
        <f t="shared" si="7"/>
        <v>0</v>
      </c>
      <c r="F31" s="1079">
        <v>0</v>
      </c>
      <c r="G31" s="1079">
        <v>0</v>
      </c>
      <c r="H31" s="1052">
        <v>0</v>
      </c>
      <c r="I31" s="1051"/>
      <c r="J31" s="1052"/>
      <c r="K31" s="1053">
        <v>0</v>
      </c>
      <c r="L31" s="1092">
        <f t="shared" si="1"/>
        <v>80000</v>
      </c>
      <c r="M31" s="1051"/>
      <c r="N31" s="1052">
        <v>80000</v>
      </c>
      <c r="O31" s="1051"/>
      <c r="P31" s="1053">
        <v>0</v>
      </c>
      <c r="Q31" s="110"/>
    </row>
    <row r="32" spans="1:17" outlineLevel="1" x14ac:dyDescent="0.25">
      <c r="A32" s="165"/>
      <c r="B32" s="1639" t="s">
        <v>941</v>
      </c>
      <c r="C32" s="1103">
        <f>+E32+L32+D32</f>
        <v>700000</v>
      </c>
      <c r="D32" s="1091">
        <v>0</v>
      </c>
      <c r="E32" s="1092">
        <f t="shared" si="7"/>
        <v>700000</v>
      </c>
      <c r="F32" s="1079"/>
      <c r="G32" s="1079">
        <v>0</v>
      </c>
      <c r="H32" s="1052">
        <v>250000</v>
      </c>
      <c r="I32" s="1051"/>
      <c r="J32" s="1052">
        <v>450000</v>
      </c>
      <c r="K32" s="1053">
        <v>0</v>
      </c>
      <c r="L32" s="1092">
        <f t="shared" si="1"/>
        <v>0</v>
      </c>
      <c r="M32" s="1051"/>
      <c r="N32" s="1052">
        <v>0</v>
      </c>
      <c r="O32" s="1051">
        <v>0</v>
      </c>
      <c r="P32" s="1053">
        <v>0</v>
      </c>
      <c r="Q32" s="110"/>
    </row>
    <row r="33" spans="1:17" outlineLevel="1" x14ac:dyDescent="0.25">
      <c r="A33" s="165"/>
      <c r="B33" s="1639" t="s">
        <v>354</v>
      </c>
      <c r="C33" s="1103">
        <f>+E33+L33+D33</f>
        <v>30000</v>
      </c>
      <c r="D33" s="1091">
        <v>0</v>
      </c>
      <c r="E33" s="1092">
        <f t="shared" si="7"/>
        <v>30000</v>
      </c>
      <c r="F33" s="1079">
        <v>0</v>
      </c>
      <c r="G33" s="1079">
        <v>0</v>
      </c>
      <c r="H33" s="1052">
        <v>0</v>
      </c>
      <c r="I33" s="1051"/>
      <c r="J33" s="1052"/>
      <c r="K33" s="1053">
        <v>30000</v>
      </c>
      <c r="L33" s="1092">
        <f t="shared" si="1"/>
        <v>0</v>
      </c>
      <c r="M33" s="1051"/>
      <c r="N33" s="1052"/>
      <c r="O33" s="1051">
        <v>0</v>
      </c>
      <c r="P33" s="1053">
        <v>0</v>
      </c>
      <c r="Q33" s="110"/>
    </row>
    <row r="34" spans="1:17" ht="14.25" thickBot="1" x14ac:dyDescent="0.3">
      <c r="A34" s="3066" t="s">
        <v>234</v>
      </c>
      <c r="B34" s="3067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4.25" thickBot="1" x14ac:dyDescent="0.3">
      <c r="A35" s="189" t="s">
        <v>338</v>
      </c>
      <c r="B35" s="109"/>
      <c r="C35" s="306"/>
      <c r="D35" s="306"/>
      <c r="E35" s="306"/>
      <c r="F35" s="407"/>
      <c r="G35" s="1084"/>
      <c r="H35" s="306"/>
      <c r="I35" s="306"/>
      <c r="J35" s="306"/>
      <c r="K35" s="306"/>
      <c r="L35" s="306"/>
      <c r="M35" s="306"/>
      <c r="N35" s="306"/>
      <c r="O35" s="1063"/>
      <c r="P35" s="1063"/>
      <c r="Q35" s="110"/>
    </row>
    <row r="36" spans="1:17" s="204" customFormat="1" x14ac:dyDescent="0.25">
      <c r="A36" s="125">
        <v>5011</v>
      </c>
      <c r="B36" s="194" t="s">
        <v>64</v>
      </c>
      <c r="C36" s="1107">
        <f>+E36+L36+D36</f>
        <v>18870000</v>
      </c>
      <c r="D36" s="1112">
        <v>2300000</v>
      </c>
      <c r="E36" s="1099">
        <f>SUM(F36:K36)</f>
        <v>13320000</v>
      </c>
      <c r="F36" s="1085">
        <v>970000</v>
      </c>
      <c r="G36" s="1085">
        <v>400000</v>
      </c>
      <c r="H36" s="401">
        <v>2400000</v>
      </c>
      <c r="I36" s="401">
        <v>470000</v>
      </c>
      <c r="J36" s="401">
        <v>1030000</v>
      </c>
      <c r="K36" s="1064">
        <f>7650000+400000</f>
        <v>8050000</v>
      </c>
      <c r="L36" s="1099">
        <f t="shared" ref="L36:L45" si="15">SUM(M36:P36)</f>
        <v>3250000</v>
      </c>
      <c r="M36" s="1114">
        <v>1250000</v>
      </c>
      <c r="N36" s="1064">
        <v>800000</v>
      </c>
      <c r="O36" s="1721">
        <v>420000</v>
      </c>
      <c r="P36" s="1065">
        <v>780000</v>
      </c>
      <c r="Q36" s="110"/>
    </row>
    <row r="37" spans="1:17" s="204" customFormat="1" x14ac:dyDescent="0.25">
      <c r="A37" s="163">
        <v>5021</v>
      </c>
      <c r="B37" s="205" t="s">
        <v>65</v>
      </c>
      <c r="C37" s="1105">
        <f t="shared" ref="C37:C45" si="16">+E37+L37+D37</f>
        <v>1520000</v>
      </c>
      <c r="D37" s="1100">
        <v>190000</v>
      </c>
      <c r="E37" s="1096">
        <f t="shared" ref="E37:E45" si="17">SUM(F37:K37)</f>
        <v>810000</v>
      </c>
      <c r="F37" s="1086">
        <v>60000</v>
      </c>
      <c r="G37" s="1086">
        <v>0</v>
      </c>
      <c r="H37" s="1080">
        <v>120000</v>
      </c>
      <c r="I37" s="1080">
        <v>0</v>
      </c>
      <c r="J37" s="1080">
        <v>60000</v>
      </c>
      <c r="K37" s="1066">
        <v>570000</v>
      </c>
      <c r="L37" s="1096">
        <f t="shared" si="15"/>
        <v>520000</v>
      </c>
      <c r="M37" s="1070">
        <v>520000</v>
      </c>
      <c r="N37" s="1066"/>
      <c r="O37" s="1067"/>
      <c r="P37" s="1068"/>
      <c r="Q37" s="110"/>
    </row>
    <row r="38" spans="1:17" s="204" customFormat="1" x14ac:dyDescent="0.25">
      <c r="A38" s="163">
        <v>5021</v>
      </c>
      <c r="B38" s="205" t="s">
        <v>2376</v>
      </c>
      <c r="C38" s="1105">
        <f t="shared" si="16"/>
        <v>1270000</v>
      </c>
      <c r="D38" s="1100">
        <v>220000</v>
      </c>
      <c r="E38" s="1096">
        <f t="shared" si="17"/>
        <v>650000</v>
      </c>
      <c r="F38" s="1086"/>
      <c r="G38" s="1086"/>
      <c r="H38" s="1080"/>
      <c r="I38" s="1080"/>
      <c r="J38" s="1080"/>
      <c r="K38" s="1066">
        <f>180000+470000</f>
        <v>650000</v>
      </c>
      <c r="L38" s="1096">
        <f t="shared" si="15"/>
        <v>400000</v>
      </c>
      <c r="M38" s="1070"/>
      <c r="N38" s="1066">
        <v>100000</v>
      </c>
      <c r="O38" s="1067">
        <v>200000</v>
      </c>
      <c r="P38" s="1068">
        <v>100000</v>
      </c>
      <c r="Q38" s="110"/>
    </row>
    <row r="39" spans="1:17" s="204" customFormat="1" x14ac:dyDescent="0.25">
      <c r="A39" s="163">
        <v>5024</v>
      </c>
      <c r="B39" s="205" t="s">
        <v>254</v>
      </c>
      <c r="C39" s="1105">
        <f t="shared" si="16"/>
        <v>0</v>
      </c>
      <c r="D39" s="1100"/>
      <c r="E39" s="1096">
        <f t="shared" si="17"/>
        <v>0</v>
      </c>
      <c r="F39" s="1086">
        <v>0</v>
      </c>
      <c r="G39" s="1086">
        <v>0</v>
      </c>
      <c r="H39" s="1080">
        <v>0</v>
      </c>
      <c r="I39" s="1080">
        <v>0</v>
      </c>
      <c r="J39" s="1080">
        <v>0</v>
      </c>
      <c r="K39" s="1066">
        <v>0</v>
      </c>
      <c r="L39" s="1096">
        <f t="shared" si="15"/>
        <v>0</v>
      </c>
      <c r="M39" s="1070"/>
      <c r="N39" s="1066">
        <v>0</v>
      </c>
      <c r="O39" s="1067">
        <v>0</v>
      </c>
      <c r="P39" s="1068">
        <v>0</v>
      </c>
      <c r="Q39" s="110"/>
    </row>
    <row r="40" spans="1:17" s="204" customFormat="1" x14ac:dyDescent="0.25">
      <c r="A40" s="163">
        <v>5027</v>
      </c>
      <c r="B40" s="205" t="s">
        <v>723</v>
      </c>
      <c r="C40" s="1105">
        <f t="shared" si="16"/>
        <v>0</v>
      </c>
      <c r="D40" s="1100"/>
      <c r="E40" s="1096">
        <f t="shared" si="17"/>
        <v>0</v>
      </c>
      <c r="F40" s="1086"/>
      <c r="G40" s="1086"/>
      <c r="H40" s="1080"/>
      <c r="I40" s="1080"/>
      <c r="J40" s="1080"/>
      <c r="K40" s="1066"/>
      <c r="L40" s="1096">
        <f t="shared" si="15"/>
        <v>0</v>
      </c>
      <c r="M40" s="1070"/>
      <c r="N40" s="1066"/>
      <c r="O40" s="1067"/>
      <c r="P40" s="1068"/>
      <c r="Q40" s="110"/>
    </row>
    <row r="41" spans="1:17" s="204" customFormat="1" x14ac:dyDescent="0.25">
      <c r="A41" s="163">
        <v>5029</v>
      </c>
      <c r="B41" s="205" t="s">
        <v>66</v>
      </c>
      <c r="C41" s="1105">
        <f t="shared" si="16"/>
        <v>0</v>
      </c>
      <c r="D41" s="1100"/>
      <c r="E41" s="1096">
        <f t="shared" si="17"/>
        <v>0</v>
      </c>
      <c r="F41" s="1086">
        <v>0</v>
      </c>
      <c r="G41" s="1086">
        <v>0</v>
      </c>
      <c r="H41" s="1080">
        <v>0</v>
      </c>
      <c r="I41" s="1080">
        <v>0</v>
      </c>
      <c r="J41" s="1080">
        <v>0</v>
      </c>
      <c r="K41" s="1066">
        <v>0</v>
      </c>
      <c r="L41" s="1096">
        <f t="shared" si="15"/>
        <v>0</v>
      </c>
      <c r="M41" s="1070"/>
      <c r="N41" s="1066">
        <v>0</v>
      </c>
      <c r="O41" s="1067">
        <v>0</v>
      </c>
      <c r="P41" s="1068">
        <v>0</v>
      </c>
      <c r="Q41" s="110"/>
    </row>
    <row r="42" spans="1:17" s="204" customFormat="1" x14ac:dyDescent="0.25">
      <c r="A42" s="163">
        <v>5031</v>
      </c>
      <c r="B42" s="205" t="s">
        <v>67</v>
      </c>
      <c r="C42" s="1105">
        <f t="shared" si="16"/>
        <v>5035000</v>
      </c>
      <c r="D42" s="1100">
        <f>+(D36+D38)*0.25</f>
        <v>630000</v>
      </c>
      <c r="E42" s="1096">
        <f t="shared" si="17"/>
        <v>3492500</v>
      </c>
      <c r="F42" s="1086">
        <f>+(F36+F38)*0.25</f>
        <v>242500</v>
      </c>
      <c r="G42" s="1086">
        <f t="shared" ref="G42:K42" si="18">+(G36+G38)*0.25</f>
        <v>100000</v>
      </c>
      <c r="H42" s="1080">
        <f t="shared" si="18"/>
        <v>600000</v>
      </c>
      <c r="I42" s="1080">
        <f t="shared" si="18"/>
        <v>117500</v>
      </c>
      <c r="J42" s="1080">
        <f t="shared" si="18"/>
        <v>257500</v>
      </c>
      <c r="K42" s="1066">
        <f t="shared" si="18"/>
        <v>2175000</v>
      </c>
      <c r="L42" s="1096">
        <f t="shared" si="15"/>
        <v>912500</v>
      </c>
      <c r="M42" s="1070">
        <f t="shared" ref="M42:P42" si="19">+(M36+M38)*0.25</f>
        <v>312500</v>
      </c>
      <c r="N42" s="1066">
        <f t="shared" si="19"/>
        <v>225000</v>
      </c>
      <c r="O42" s="1067">
        <f t="shared" si="19"/>
        <v>155000</v>
      </c>
      <c r="P42" s="1068">
        <f t="shared" si="19"/>
        <v>220000</v>
      </c>
      <c r="Q42" s="110"/>
    </row>
    <row r="43" spans="1:17" s="204" customFormat="1" x14ac:dyDescent="0.25">
      <c r="A43" s="163">
        <v>5032</v>
      </c>
      <c r="B43" s="205" t="s">
        <v>68</v>
      </c>
      <c r="C43" s="1105">
        <f t="shared" si="16"/>
        <v>1812600</v>
      </c>
      <c r="D43" s="1100">
        <f>+(D36+D38)*0.09</f>
        <v>226800</v>
      </c>
      <c r="E43" s="1096">
        <f t="shared" si="17"/>
        <v>1257300</v>
      </c>
      <c r="F43" s="1086">
        <f>+(F36+F38)*0.09</f>
        <v>87300</v>
      </c>
      <c r="G43" s="1086">
        <f t="shared" ref="G43:K43" si="20">+(G36+G38)*0.09</f>
        <v>36000</v>
      </c>
      <c r="H43" s="1080">
        <f t="shared" si="20"/>
        <v>216000</v>
      </c>
      <c r="I43" s="1080">
        <f t="shared" si="20"/>
        <v>42300</v>
      </c>
      <c r="J43" s="1080">
        <f t="shared" si="20"/>
        <v>92700</v>
      </c>
      <c r="K43" s="1066">
        <f t="shared" si="20"/>
        <v>783000</v>
      </c>
      <c r="L43" s="1096">
        <f t="shared" si="15"/>
        <v>328500</v>
      </c>
      <c r="M43" s="1070">
        <f t="shared" ref="M43:P43" si="21">+(M36+M38)*0.09</f>
        <v>112500</v>
      </c>
      <c r="N43" s="1066">
        <f t="shared" si="21"/>
        <v>81000</v>
      </c>
      <c r="O43" s="1067">
        <f t="shared" si="21"/>
        <v>55800</v>
      </c>
      <c r="P43" s="1068">
        <f t="shared" si="21"/>
        <v>79200</v>
      </c>
      <c r="Q43" s="110"/>
    </row>
    <row r="44" spans="1:17" s="181" customFormat="1" x14ac:dyDescent="0.25">
      <c r="A44" s="581"/>
      <c r="B44" s="384" t="s">
        <v>968</v>
      </c>
      <c r="C44" s="1106">
        <f t="shared" si="16"/>
        <v>551054.91119999997</v>
      </c>
      <c r="D44" s="1113"/>
      <c r="E44" s="1098">
        <f t="shared" si="17"/>
        <v>424256.4</v>
      </c>
      <c r="F44" s="1087">
        <v>35939.4</v>
      </c>
      <c r="G44" s="1087">
        <v>13873.5</v>
      </c>
      <c r="H44" s="1088">
        <v>79412.400000000009</v>
      </c>
      <c r="I44" s="1088">
        <v>27777.9</v>
      </c>
      <c r="J44" s="1088">
        <v>44607.6</v>
      </c>
      <c r="K44" s="1088">
        <v>222645.6</v>
      </c>
      <c r="L44" s="1098">
        <f t="shared" si="15"/>
        <v>126798.51119999998</v>
      </c>
      <c r="M44" s="1115"/>
      <c r="N44" s="1069">
        <v>66816.12</v>
      </c>
      <c r="O44" s="1069">
        <v>39812.519999999997</v>
      </c>
      <c r="P44" s="1720">
        <v>20169.871200000001</v>
      </c>
      <c r="Q44" s="180"/>
    </row>
    <row r="45" spans="1:17" s="204" customFormat="1" x14ac:dyDescent="0.25">
      <c r="A45" s="163">
        <v>5038</v>
      </c>
      <c r="B45" s="205" t="s">
        <v>69</v>
      </c>
      <c r="C45" s="1105">
        <f t="shared" si="16"/>
        <v>84588</v>
      </c>
      <c r="D45" s="1100">
        <f>0.42%*D36+0.42%*D38</f>
        <v>10584</v>
      </c>
      <c r="E45" s="1096">
        <f t="shared" si="17"/>
        <v>58674</v>
      </c>
      <c r="F45" s="1086">
        <f t="shared" ref="F45:K45" si="22">0.42%*F36+0.42%*F38</f>
        <v>4073.9999999999995</v>
      </c>
      <c r="G45" s="1086">
        <f t="shared" si="22"/>
        <v>1680</v>
      </c>
      <c r="H45" s="1080">
        <f t="shared" si="22"/>
        <v>10080</v>
      </c>
      <c r="I45" s="1080">
        <f t="shared" si="22"/>
        <v>1973.9999999999998</v>
      </c>
      <c r="J45" s="1080">
        <f t="shared" si="22"/>
        <v>4326</v>
      </c>
      <c r="K45" s="1066">
        <f t="shared" si="22"/>
        <v>36540</v>
      </c>
      <c r="L45" s="1096">
        <f t="shared" si="15"/>
        <v>15330</v>
      </c>
      <c r="M45" s="1070">
        <f t="shared" ref="M45:P45" si="23">0.42%*M36+0.42%*M38</f>
        <v>5250</v>
      </c>
      <c r="N45" s="1066">
        <f t="shared" si="23"/>
        <v>3780</v>
      </c>
      <c r="O45" s="1067">
        <f t="shared" si="23"/>
        <v>2604</v>
      </c>
      <c r="P45" s="1068">
        <f t="shared" si="23"/>
        <v>3696</v>
      </c>
      <c r="Q45" s="110"/>
    </row>
    <row r="46" spans="1:17" ht="14.25" thickBot="1" x14ac:dyDescent="0.3">
      <c r="A46" s="1642" t="s">
        <v>70</v>
      </c>
      <c r="B46" s="1643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644">
        <f t="shared" si="24"/>
        <v>1399813.4</v>
      </c>
      <c r="G46" s="1644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645">
        <f t="shared" si="24"/>
        <v>2200250</v>
      </c>
      <c r="N46" s="185">
        <f t="shared" si="24"/>
        <v>1276596.1200000001</v>
      </c>
      <c r="O46" s="1646">
        <f t="shared" si="24"/>
        <v>873216.52</v>
      </c>
      <c r="P46" s="186">
        <f t="shared" si="24"/>
        <v>1203065.8711999999</v>
      </c>
      <c r="Q46" s="188"/>
    </row>
    <row r="47" spans="1:17" x14ac:dyDescent="0.25">
      <c r="A47" s="1647">
        <v>5178</v>
      </c>
      <c r="B47" s="1648" t="s">
        <v>578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649">
        <f t="shared" si="25"/>
        <v>0</v>
      </c>
      <c r="G47" s="1649">
        <f t="shared" si="25"/>
        <v>0</v>
      </c>
      <c r="H47" s="1650">
        <f t="shared" si="25"/>
        <v>2247870</v>
      </c>
      <c r="I47" s="1650">
        <f t="shared" si="25"/>
        <v>450000</v>
      </c>
      <c r="J47" s="1650">
        <f t="shared" si="25"/>
        <v>360210</v>
      </c>
      <c r="K47" s="1651">
        <f t="shared" si="25"/>
        <v>1921815</v>
      </c>
      <c r="L47" s="139">
        <f>SUM(N47:P47)</f>
        <v>170000</v>
      </c>
      <c r="M47" s="1652">
        <f>SUM(M48:M57)</f>
        <v>0</v>
      </c>
      <c r="N47" s="1651">
        <f>SUM(N48:N57)</f>
        <v>0</v>
      </c>
      <c r="O47" s="1653">
        <f>SUM(O48:O57)</f>
        <v>0</v>
      </c>
      <c r="P47" s="1654">
        <f>SUM(P48:P57)</f>
        <v>170000</v>
      </c>
      <c r="Q47" s="110"/>
    </row>
    <row r="48" spans="1:17" outlineLevel="1" x14ac:dyDescent="0.25">
      <c r="A48" s="232"/>
      <c r="B48" s="1723" t="s">
        <v>1693</v>
      </c>
      <c r="C48" s="1104">
        <f t="shared" ref="C48:C55" si="26">+E48+L48+D48</f>
        <v>360210</v>
      </c>
      <c r="D48" s="1100"/>
      <c r="E48" s="1096">
        <f t="shared" ref="E48:E61" si="27">SUM(F48:K48)</f>
        <v>360210</v>
      </c>
      <c r="F48" s="1086"/>
      <c r="G48" s="1086"/>
      <c r="H48" s="1086"/>
      <c r="I48" s="1086"/>
      <c r="J48" s="1086">
        <v>360210</v>
      </c>
      <c r="K48" s="1086"/>
      <c r="L48" s="1096">
        <f t="shared" ref="L48:L99" si="28">SUM(N48:P48)</f>
        <v>0</v>
      </c>
      <c r="M48" s="1070"/>
      <c r="N48" s="1066"/>
      <c r="O48" s="1067"/>
      <c r="P48" s="1068"/>
      <c r="Q48" s="110"/>
    </row>
    <row r="49" spans="1:17" ht="15.75" customHeight="1" outlineLevel="1" x14ac:dyDescent="0.25">
      <c r="A49" s="232"/>
      <c r="B49" s="1724" t="s">
        <v>1967</v>
      </c>
      <c r="C49" s="1104">
        <f t="shared" si="26"/>
        <v>450000</v>
      </c>
      <c r="D49" s="1100"/>
      <c r="E49" s="1096">
        <f t="shared" si="27"/>
        <v>450000</v>
      </c>
      <c r="F49" s="1086"/>
      <c r="G49" s="1086"/>
      <c r="H49" s="1080"/>
      <c r="I49" s="1080">
        <v>450000</v>
      </c>
      <c r="J49" s="1080"/>
      <c r="K49" s="1066"/>
      <c r="L49" s="1096">
        <f t="shared" si="28"/>
        <v>0</v>
      </c>
      <c r="M49" s="1070"/>
      <c r="N49" s="1066"/>
      <c r="O49" s="1067"/>
      <c r="P49" s="1068"/>
      <c r="Q49" s="110"/>
    </row>
    <row r="50" spans="1:17" outlineLevel="1" x14ac:dyDescent="0.25">
      <c r="A50" s="232"/>
      <c r="B50" s="1723" t="s">
        <v>946</v>
      </c>
      <c r="C50" s="1104">
        <f t="shared" si="26"/>
        <v>997870</v>
      </c>
      <c r="D50" s="1100"/>
      <c r="E50" s="1096">
        <f t="shared" si="27"/>
        <v>997870</v>
      </c>
      <c r="F50" s="1086"/>
      <c r="G50" s="1086"/>
      <c r="H50" s="1080">
        <v>997870</v>
      </c>
      <c r="I50" s="1080"/>
      <c r="J50" s="1080"/>
      <c r="K50" s="1066"/>
      <c r="L50" s="1096">
        <f t="shared" si="28"/>
        <v>0</v>
      </c>
      <c r="M50" s="1070"/>
      <c r="N50" s="1066"/>
      <c r="O50" s="1067"/>
      <c r="P50" s="1068"/>
      <c r="Q50" s="110"/>
    </row>
    <row r="51" spans="1:17" outlineLevel="1" x14ac:dyDescent="0.25">
      <c r="A51" s="232"/>
      <c r="B51" s="1723" t="s">
        <v>2375</v>
      </c>
      <c r="C51" s="1104">
        <f>+E51+L51+D51</f>
        <v>1250000</v>
      </c>
      <c r="D51" s="1100"/>
      <c r="E51" s="1096">
        <f t="shared" si="27"/>
        <v>1250000</v>
      </c>
      <c r="F51" s="1086"/>
      <c r="G51" s="1086"/>
      <c r="H51" s="1080">
        <v>1250000</v>
      </c>
      <c r="I51" s="1080"/>
      <c r="J51" s="1080"/>
      <c r="K51" s="1066"/>
      <c r="L51" s="1096">
        <f t="shared" si="28"/>
        <v>0</v>
      </c>
      <c r="M51" s="1070"/>
      <c r="N51" s="1066"/>
      <c r="O51" s="1067"/>
      <c r="P51" s="1068"/>
      <c r="Q51" s="110"/>
    </row>
    <row r="52" spans="1:17" outlineLevel="1" x14ac:dyDescent="0.25">
      <c r="A52" s="232"/>
      <c r="B52" s="1723" t="s">
        <v>2383</v>
      </c>
      <c r="C52" s="1104">
        <f t="shared" si="26"/>
        <v>121815</v>
      </c>
      <c r="D52" s="1100"/>
      <c r="E52" s="1096">
        <f t="shared" si="27"/>
        <v>121815</v>
      </c>
      <c r="F52" s="1086"/>
      <c r="G52" s="1086"/>
      <c r="H52" s="1080"/>
      <c r="I52" s="1080"/>
      <c r="J52" s="1080"/>
      <c r="K52" s="1066">
        <v>121815</v>
      </c>
      <c r="L52" s="1096">
        <f t="shared" si="28"/>
        <v>0</v>
      </c>
      <c r="M52" s="1070"/>
      <c r="N52" s="1066"/>
      <c r="O52" s="1067"/>
      <c r="P52" s="1068"/>
      <c r="Q52" s="110"/>
    </row>
    <row r="53" spans="1:17" outlineLevel="1" x14ac:dyDescent="0.25">
      <c r="A53" s="232"/>
      <c r="B53" s="1723" t="s">
        <v>2380</v>
      </c>
      <c r="C53" s="1104">
        <f>+E53+L53+D53</f>
        <v>500000</v>
      </c>
      <c r="D53" s="1100"/>
      <c r="E53" s="1096">
        <f t="shared" si="27"/>
        <v>500000</v>
      </c>
      <c r="F53" s="1086"/>
      <c r="G53" s="1086"/>
      <c r="H53" s="1080"/>
      <c r="I53" s="1080"/>
      <c r="J53" s="1080"/>
      <c r="K53" s="1066">
        <v>500000</v>
      </c>
      <c r="L53" s="1096"/>
      <c r="M53" s="1070"/>
      <c r="N53" s="1066"/>
      <c r="O53" s="1067"/>
      <c r="P53" s="1068"/>
      <c r="Q53" s="110"/>
    </row>
    <row r="54" spans="1:17" outlineLevel="1" x14ac:dyDescent="0.25">
      <c r="A54" s="232"/>
      <c r="B54" s="1723" t="s">
        <v>2382</v>
      </c>
      <c r="C54" s="1104">
        <f t="shared" si="26"/>
        <v>700000</v>
      </c>
      <c r="D54" s="1100"/>
      <c r="E54" s="1096">
        <f t="shared" si="27"/>
        <v>700000</v>
      </c>
      <c r="F54" s="1086"/>
      <c r="G54" s="1086"/>
      <c r="H54" s="1080"/>
      <c r="I54" s="1080"/>
      <c r="J54" s="1080"/>
      <c r="K54" s="1066">
        <v>700000</v>
      </c>
      <c r="L54" s="1096"/>
      <c r="M54" s="1070"/>
      <c r="N54" s="1066"/>
      <c r="O54" s="1067"/>
      <c r="P54" s="1068"/>
      <c r="Q54" s="110"/>
    </row>
    <row r="55" spans="1:17" outlineLevel="1" x14ac:dyDescent="0.25">
      <c r="A55" s="232"/>
      <c r="B55" s="1723" t="s">
        <v>2381</v>
      </c>
      <c r="C55" s="1104">
        <f t="shared" si="26"/>
        <v>600000</v>
      </c>
      <c r="D55" s="1100"/>
      <c r="E55" s="1096">
        <f t="shared" si="27"/>
        <v>600000</v>
      </c>
      <c r="F55" s="1086"/>
      <c r="G55" s="1086"/>
      <c r="H55" s="1080"/>
      <c r="I55" s="1080"/>
      <c r="J55" s="1080"/>
      <c r="K55" s="1066">
        <v>600000</v>
      </c>
      <c r="L55" s="1096"/>
      <c r="M55" s="1070"/>
      <c r="N55" s="1066"/>
      <c r="O55" s="1067"/>
      <c r="P55" s="1068"/>
      <c r="Q55" s="110"/>
    </row>
    <row r="56" spans="1:17" outlineLevel="1" x14ac:dyDescent="0.25">
      <c r="A56" s="232"/>
      <c r="B56" s="233" t="s">
        <v>1689</v>
      </c>
      <c r="C56" s="1105">
        <f t="shared" ref="C56:C61" si="29">+E56+L56+D56</f>
        <v>170000</v>
      </c>
      <c r="D56" s="1100"/>
      <c r="E56" s="1096">
        <f t="shared" si="27"/>
        <v>0</v>
      </c>
      <c r="F56" s="1086"/>
      <c r="G56" s="1086"/>
      <c r="H56" s="1080"/>
      <c r="I56" s="1080"/>
      <c r="J56" s="1080"/>
      <c r="K56" s="1066"/>
      <c r="L56" s="1096">
        <f t="shared" si="28"/>
        <v>170000</v>
      </c>
      <c r="M56" s="1070"/>
      <c r="N56" s="1066"/>
      <c r="O56" s="1067"/>
      <c r="P56" s="1068">
        <v>170000</v>
      </c>
      <c r="Q56" s="110"/>
    </row>
    <row r="57" spans="1:17" outlineLevel="1" x14ac:dyDescent="0.25">
      <c r="A57" s="232"/>
      <c r="B57" s="233" t="s">
        <v>1690</v>
      </c>
      <c r="C57" s="1105">
        <f t="shared" si="29"/>
        <v>0</v>
      </c>
      <c r="D57" s="1100"/>
      <c r="E57" s="1096">
        <f t="shared" si="27"/>
        <v>0</v>
      </c>
      <c r="F57" s="1086"/>
      <c r="G57" s="1086"/>
      <c r="H57" s="1080"/>
      <c r="I57" s="1080"/>
      <c r="J57" s="1080"/>
      <c r="K57" s="1066"/>
      <c r="L57" s="1096">
        <f t="shared" si="28"/>
        <v>0</v>
      </c>
      <c r="M57" s="1070"/>
      <c r="N57" s="1066"/>
      <c r="O57" s="1067"/>
      <c r="P57" s="1068"/>
      <c r="Q57" s="110"/>
    </row>
    <row r="58" spans="1:17" x14ac:dyDescent="0.2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089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2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090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2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2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25">
      <c r="A62" s="1661">
        <v>5139</v>
      </c>
      <c r="B62" s="1662" t="s">
        <v>76</v>
      </c>
      <c r="C62" s="1651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649">
        <f t="shared" si="30"/>
        <v>170900</v>
      </c>
      <c r="G62" s="1649">
        <f t="shared" si="30"/>
        <v>21950</v>
      </c>
      <c r="H62" s="1650">
        <f t="shared" si="30"/>
        <v>155944</v>
      </c>
      <c r="I62" s="1650">
        <f t="shared" si="30"/>
        <v>0</v>
      </c>
      <c r="J62" s="1650">
        <f t="shared" si="30"/>
        <v>55900</v>
      </c>
      <c r="K62" s="1651">
        <f t="shared" si="30"/>
        <v>857797</v>
      </c>
      <c r="L62" s="139">
        <f t="shared" si="28"/>
        <v>2634600</v>
      </c>
      <c r="M62" s="1652">
        <f>SUM(M63:M85)</f>
        <v>0</v>
      </c>
      <c r="N62" s="1651">
        <f>SUM(N63:N85)</f>
        <v>1823850</v>
      </c>
      <c r="O62" s="1653">
        <f>SUM(O63:O85)</f>
        <v>781350</v>
      </c>
      <c r="P62" s="1654">
        <f>SUM(P63:P85)</f>
        <v>29400</v>
      </c>
      <c r="Q62" s="159"/>
    </row>
    <row r="63" spans="1:17" outlineLevel="1" x14ac:dyDescent="0.25">
      <c r="A63" s="232"/>
      <c r="B63" s="233" t="s">
        <v>341</v>
      </c>
      <c r="C63" s="1105">
        <f t="shared" ref="C63:C97" si="31">+E63+L63+D63</f>
        <v>45000</v>
      </c>
      <c r="D63" s="1100"/>
      <c r="E63" s="1096">
        <f t="shared" ref="E63:E97" si="32">SUM(F63:K63)</f>
        <v>35000</v>
      </c>
      <c r="F63" s="1086">
        <v>4000</v>
      </c>
      <c r="G63" s="1086">
        <v>2000</v>
      </c>
      <c r="H63" s="1080">
        <v>5000</v>
      </c>
      <c r="I63" s="1080"/>
      <c r="J63" s="1080">
        <v>6000</v>
      </c>
      <c r="K63" s="1066">
        <v>18000</v>
      </c>
      <c r="L63" s="1096">
        <f t="shared" si="28"/>
        <v>10000</v>
      </c>
      <c r="M63" s="1070"/>
      <c r="N63" s="1066">
        <v>2500</v>
      </c>
      <c r="O63" s="1067">
        <v>5000</v>
      </c>
      <c r="P63" s="1068">
        <v>2500</v>
      </c>
      <c r="Q63" s="110"/>
    </row>
    <row r="64" spans="1:17" outlineLevel="1" x14ac:dyDescent="0.25">
      <c r="A64" s="232"/>
      <c r="B64" s="233" t="s">
        <v>342</v>
      </c>
      <c r="C64" s="1105">
        <f t="shared" si="31"/>
        <v>140000</v>
      </c>
      <c r="D64" s="1100"/>
      <c r="E64" s="1096">
        <f t="shared" si="32"/>
        <v>0</v>
      </c>
      <c r="F64" s="1086">
        <v>0</v>
      </c>
      <c r="G64" s="1086">
        <v>0</v>
      </c>
      <c r="H64" s="1080">
        <v>0</v>
      </c>
      <c r="I64" s="1080"/>
      <c r="J64" s="1080">
        <v>0</v>
      </c>
      <c r="K64" s="1066">
        <v>0</v>
      </c>
      <c r="L64" s="1096">
        <f t="shared" si="28"/>
        <v>140000</v>
      </c>
      <c r="M64" s="1070"/>
      <c r="N64" s="1066">
        <v>0</v>
      </c>
      <c r="O64" s="1067">
        <v>140000</v>
      </c>
      <c r="P64" s="1068">
        <v>0</v>
      </c>
      <c r="Q64" s="110"/>
    </row>
    <row r="65" spans="1:17" outlineLevel="1" x14ac:dyDescent="0.25">
      <c r="A65" s="232"/>
      <c r="B65" s="233" t="s">
        <v>957</v>
      </c>
      <c r="C65" s="1105">
        <f t="shared" si="31"/>
        <v>400000</v>
      </c>
      <c r="D65" s="1100"/>
      <c r="E65" s="1096">
        <f t="shared" si="32"/>
        <v>0</v>
      </c>
      <c r="F65" s="1086">
        <v>0</v>
      </c>
      <c r="G65" s="1086">
        <v>0</v>
      </c>
      <c r="H65" s="1080">
        <v>0</v>
      </c>
      <c r="I65" s="1080"/>
      <c r="J65" s="1080">
        <v>0</v>
      </c>
      <c r="K65" s="1066">
        <v>0</v>
      </c>
      <c r="L65" s="1096">
        <f t="shared" si="28"/>
        <v>400000</v>
      </c>
      <c r="M65" s="1070"/>
      <c r="N65" s="1066">
        <v>0</v>
      </c>
      <c r="O65" s="1067">
        <v>400000</v>
      </c>
      <c r="P65" s="1068">
        <v>0</v>
      </c>
      <c r="Q65" s="110"/>
    </row>
    <row r="66" spans="1:17" outlineLevel="1" x14ac:dyDescent="0.25">
      <c r="A66" s="232"/>
      <c r="B66" s="233" t="s">
        <v>343</v>
      </c>
      <c r="C66" s="1105">
        <f t="shared" si="31"/>
        <v>50000</v>
      </c>
      <c r="D66" s="1100"/>
      <c r="E66" s="1096">
        <f t="shared" si="32"/>
        <v>0</v>
      </c>
      <c r="F66" s="1086">
        <v>0</v>
      </c>
      <c r="G66" s="1086">
        <v>0</v>
      </c>
      <c r="H66" s="1080">
        <v>0</v>
      </c>
      <c r="I66" s="1080"/>
      <c r="J66" s="1080">
        <v>0</v>
      </c>
      <c r="K66" s="1066">
        <v>0</v>
      </c>
      <c r="L66" s="1096">
        <f t="shared" si="28"/>
        <v>50000</v>
      </c>
      <c r="M66" s="1070"/>
      <c r="N66" s="1066">
        <v>50000</v>
      </c>
      <c r="O66" s="1067">
        <v>0</v>
      </c>
      <c r="P66" s="1068">
        <v>0</v>
      </c>
      <c r="Q66" s="110"/>
    </row>
    <row r="67" spans="1:17" ht="12.75" customHeight="1" outlineLevel="1" x14ac:dyDescent="0.25">
      <c r="A67" s="232"/>
      <c r="B67" s="233" t="s">
        <v>344</v>
      </c>
      <c r="C67" s="1105">
        <f t="shared" si="31"/>
        <v>1000000</v>
      </c>
      <c r="D67" s="1100"/>
      <c r="E67" s="1096">
        <f t="shared" si="32"/>
        <v>0</v>
      </c>
      <c r="F67" s="1086">
        <v>0</v>
      </c>
      <c r="G67" s="1086">
        <v>0</v>
      </c>
      <c r="H67" s="1080">
        <v>0</v>
      </c>
      <c r="I67" s="1080"/>
      <c r="J67" s="1080">
        <v>0</v>
      </c>
      <c r="K67" s="1066">
        <v>0</v>
      </c>
      <c r="L67" s="1096">
        <f t="shared" si="28"/>
        <v>1000000</v>
      </c>
      <c r="M67" s="1070"/>
      <c r="N67" s="1066">
        <v>1000000</v>
      </c>
      <c r="O67" s="1067">
        <v>0</v>
      </c>
      <c r="P67" s="1068">
        <v>0</v>
      </c>
      <c r="Q67" s="110"/>
    </row>
    <row r="68" spans="1:17" outlineLevel="1" x14ac:dyDescent="0.25">
      <c r="A68" s="232"/>
      <c r="B68" s="233" t="s">
        <v>496</v>
      </c>
      <c r="C68" s="1105">
        <f t="shared" si="31"/>
        <v>87044</v>
      </c>
      <c r="D68" s="1100"/>
      <c r="E68" s="1096">
        <f t="shared" si="32"/>
        <v>47044</v>
      </c>
      <c r="F68" s="1086">
        <v>7500</v>
      </c>
      <c r="G68" s="1086">
        <v>1000</v>
      </c>
      <c r="H68" s="1080">
        <v>6544</v>
      </c>
      <c r="I68" s="1080"/>
      <c r="J68" s="1080">
        <v>9500</v>
      </c>
      <c r="K68" s="1066">
        <v>22500</v>
      </c>
      <c r="L68" s="1096">
        <f t="shared" si="28"/>
        <v>40000</v>
      </c>
      <c r="M68" s="1070"/>
      <c r="N68" s="1066">
        <v>22750</v>
      </c>
      <c r="O68" s="1067">
        <v>12750</v>
      </c>
      <c r="P68" s="1068">
        <v>4500</v>
      </c>
      <c r="Q68" s="110"/>
    </row>
    <row r="69" spans="1:17" outlineLevel="1" x14ac:dyDescent="0.25">
      <c r="A69" s="232"/>
      <c r="B69" s="233" t="s">
        <v>548</v>
      </c>
      <c r="C69" s="1105">
        <f t="shared" si="31"/>
        <v>200000</v>
      </c>
      <c r="D69" s="1100"/>
      <c r="E69" s="1096">
        <f t="shared" si="32"/>
        <v>200000</v>
      </c>
      <c r="F69" s="1086">
        <v>0</v>
      </c>
      <c r="G69" s="1086">
        <v>0</v>
      </c>
      <c r="H69" s="1080">
        <v>0</v>
      </c>
      <c r="I69" s="1080"/>
      <c r="J69" s="1080">
        <v>0</v>
      </c>
      <c r="K69" s="1066">
        <v>200000</v>
      </c>
      <c r="L69" s="1096">
        <f t="shared" si="28"/>
        <v>0</v>
      </c>
      <c r="M69" s="1070"/>
      <c r="N69" s="1066">
        <v>0</v>
      </c>
      <c r="O69" s="1067">
        <v>0</v>
      </c>
      <c r="P69" s="1068">
        <v>0</v>
      </c>
      <c r="Q69" s="110"/>
    </row>
    <row r="70" spans="1:17" outlineLevel="1" x14ac:dyDescent="0.25">
      <c r="A70" s="232"/>
      <c r="B70" s="233" t="s">
        <v>345</v>
      </c>
      <c r="C70" s="1105">
        <f t="shared" si="31"/>
        <v>276000</v>
      </c>
      <c r="D70" s="1100"/>
      <c r="E70" s="1096">
        <f t="shared" si="32"/>
        <v>276000</v>
      </c>
      <c r="F70" s="1086">
        <v>20000</v>
      </c>
      <c r="G70" s="1086">
        <v>6000</v>
      </c>
      <c r="H70" s="1080">
        <v>0</v>
      </c>
      <c r="I70" s="1080"/>
      <c r="J70" s="1080">
        <v>0</v>
      </c>
      <c r="K70" s="1066">
        <v>250000</v>
      </c>
      <c r="L70" s="1096">
        <f t="shared" si="28"/>
        <v>0</v>
      </c>
      <c r="M70" s="1070"/>
      <c r="N70" s="1066">
        <v>0</v>
      </c>
      <c r="O70" s="1067">
        <v>0</v>
      </c>
      <c r="P70" s="1068">
        <v>0</v>
      </c>
      <c r="Q70" s="110"/>
    </row>
    <row r="71" spans="1:17" outlineLevel="1" x14ac:dyDescent="0.25">
      <c r="A71" s="232"/>
      <c r="B71" s="233" t="s">
        <v>549</v>
      </c>
      <c r="C71" s="1105">
        <f t="shared" si="31"/>
        <v>5047</v>
      </c>
      <c r="D71" s="1100"/>
      <c r="E71" s="1096">
        <f t="shared" si="32"/>
        <v>5047</v>
      </c>
      <c r="F71" s="1086">
        <v>0</v>
      </c>
      <c r="G71" s="1086">
        <v>0</v>
      </c>
      <c r="H71" s="1080">
        <v>0</v>
      </c>
      <c r="I71" s="1080"/>
      <c r="J71" s="1080">
        <v>0</v>
      </c>
      <c r="K71" s="1066">
        <v>5047</v>
      </c>
      <c r="L71" s="1096">
        <f t="shared" si="28"/>
        <v>0</v>
      </c>
      <c r="M71" s="1070"/>
      <c r="N71" s="1066">
        <v>0</v>
      </c>
      <c r="O71" s="1067">
        <v>0</v>
      </c>
      <c r="P71" s="1068">
        <v>0</v>
      </c>
      <c r="Q71" s="110"/>
    </row>
    <row r="72" spans="1:17" outlineLevel="1" x14ac:dyDescent="0.25">
      <c r="A72" s="232"/>
      <c r="B72" s="233" t="s">
        <v>550</v>
      </c>
      <c r="C72" s="1105">
        <f t="shared" si="31"/>
        <v>0</v>
      </c>
      <c r="D72" s="1100"/>
      <c r="E72" s="1096">
        <f t="shared" si="32"/>
        <v>0</v>
      </c>
      <c r="F72" s="1086">
        <v>0</v>
      </c>
      <c r="G72" s="1086">
        <v>0</v>
      </c>
      <c r="H72" s="1080">
        <v>0</v>
      </c>
      <c r="I72" s="1080"/>
      <c r="J72" s="1080">
        <v>0</v>
      </c>
      <c r="K72" s="1066">
        <v>0</v>
      </c>
      <c r="L72" s="1096">
        <f t="shared" si="28"/>
        <v>0</v>
      </c>
      <c r="M72" s="1070"/>
      <c r="N72" s="1066">
        <v>0</v>
      </c>
      <c r="O72" s="1067">
        <v>0</v>
      </c>
      <c r="P72" s="1068">
        <v>0</v>
      </c>
      <c r="Q72" s="110"/>
    </row>
    <row r="73" spans="1:17" outlineLevel="1" x14ac:dyDescent="0.25">
      <c r="A73" s="232"/>
      <c r="B73" s="233" t="s">
        <v>551</v>
      </c>
      <c r="C73" s="1105">
        <f t="shared" si="31"/>
        <v>0</v>
      </c>
      <c r="D73" s="1100"/>
      <c r="E73" s="1096">
        <f t="shared" si="32"/>
        <v>0</v>
      </c>
      <c r="F73" s="1086">
        <v>0</v>
      </c>
      <c r="G73" s="1086">
        <v>0</v>
      </c>
      <c r="H73" s="1080">
        <v>0</v>
      </c>
      <c r="I73" s="1080"/>
      <c r="J73" s="1080">
        <v>0</v>
      </c>
      <c r="K73" s="1066">
        <v>0</v>
      </c>
      <c r="L73" s="1096">
        <f t="shared" si="28"/>
        <v>0</v>
      </c>
      <c r="M73" s="1070"/>
      <c r="N73" s="1066">
        <v>0</v>
      </c>
      <c r="O73" s="1067">
        <v>0</v>
      </c>
      <c r="P73" s="1068">
        <v>0</v>
      </c>
      <c r="Q73" s="110"/>
    </row>
    <row r="74" spans="1:17" outlineLevel="1" x14ac:dyDescent="0.25">
      <c r="A74" s="232"/>
      <c r="B74" s="233" t="s">
        <v>883</v>
      </c>
      <c r="C74" s="1105">
        <f t="shared" si="31"/>
        <v>106000</v>
      </c>
      <c r="D74" s="1100"/>
      <c r="E74" s="1096">
        <f t="shared" si="32"/>
        <v>90200</v>
      </c>
      <c r="F74" s="1086">
        <v>50200</v>
      </c>
      <c r="G74" s="1086">
        <v>2100</v>
      </c>
      <c r="H74" s="1080">
        <v>2200</v>
      </c>
      <c r="I74" s="1080"/>
      <c r="J74" s="1080">
        <v>5200</v>
      </c>
      <c r="K74" s="1066">
        <v>30500</v>
      </c>
      <c r="L74" s="1096">
        <f t="shared" si="28"/>
        <v>15800</v>
      </c>
      <c r="M74" s="1070"/>
      <c r="N74" s="1066">
        <v>10300</v>
      </c>
      <c r="O74" s="1067">
        <v>5300</v>
      </c>
      <c r="P74" s="1068">
        <v>200</v>
      </c>
      <c r="Q74" s="110"/>
    </row>
    <row r="75" spans="1:17" outlineLevel="1" x14ac:dyDescent="0.25">
      <c r="A75" s="232"/>
      <c r="B75" s="233" t="s">
        <v>884</v>
      </c>
      <c r="C75" s="1105">
        <f t="shared" si="31"/>
        <v>72000</v>
      </c>
      <c r="D75" s="1100"/>
      <c r="E75" s="1096">
        <f t="shared" si="32"/>
        <v>32000</v>
      </c>
      <c r="F75" s="1086">
        <v>2000</v>
      </c>
      <c r="G75" s="1086">
        <v>0</v>
      </c>
      <c r="H75" s="1080">
        <v>0</v>
      </c>
      <c r="I75" s="1080"/>
      <c r="J75" s="1080">
        <v>5000</v>
      </c>
      <c r="K75" s="1066">
        <v>25000</v>
      </c>
      <c r="L75" s="1096">
        <f t="shared" si="28"/>
        <v>40000</v>
      </c>
      <c r="M75" s="1070"/>
      <c r="N75" s="1066">
        <v>30000</v>
      </c>
      <c r="O75" s="1067">
        <v>10000</v>
      </c>
      <c r="P75" s="1068">
        <v>0</v>
      </c>
      <c r="Q75" s="110"/>
    </row>
    <row r="76" spans="1:17" outlineLevel="1" x14ac:dyDescent="0.25">
      <c r="A76" s="232"/>
      <c r="B76" s="233" t="s">
        <v>885</v>
      </c>
      <c r="C76" s="1105">
        <f t="shared" si="31"/>
        <v>165000</v>
      </c>
      <c r="D76" s="1100"/>
      <c r="E76" s="1096">
        <f t="shared" si="32"/>
        <v>68000</v>
      </c>
      <c r="F76" s="1086">
        <v>10500</v>
      </c>
      <c r="G76" s="1086">
        <v>5250</v>
      </c>
      <c r="H76" s="1080">
        <v>5500</v>
      </c>
      <c r="I76" s="1080"/>
      <c r="J76" s="1080">
        <v>5500</v>
      </c>
      <c r="K76" s="1066">
        <v>41250</v>
      </c>
      <c r="L76" s="1096">
        <f t="shared" si="28"/>
        <v>97000</v>
      </c>
      <c r="M76" s="1070"/>
      <c r="N76" s="1066">
        <v>40750</v>
      </c>
      <c r="O76" s="1067">
        <v>40750</v>
      </c>
      <c r="P76" s="1068">
        <v>15500</v>
      </c>
      <c r="Q76" s="110"/>
    </row>
    <row r="77" spans="1:17" outlineLevel="1" x14ac:dyDescent="0.25">
      <c r="A77" s="232"/>
      <c r="B77" s="233" t="s">
        <v>886</v>
      </c>
      <c r="C77" s="1105">
        <f t="shared" si="31"/>
        <v>90000</v>
      </c>
      <c r="D77" s="1100"/>
      <c r="E77" s="1096">
        <f t="shared" si="32"/>
        <v>90000</v>
      </c>
      <c r="F77" s="1086">
        <v>0</v>
      </c>
      <c r="G77" s="1086">
        <v>0</v>
      </c>
      <c r="H77" s="1080">
        <v>80000</v>
      </c>
      <c r="I77" s="1080"/>
      <c r="J77" s="1080">
        <v>10000</v>
      </c>
      <c r="K77" s="1066">
        <v>0</v>
      </c>
      <c r="L77" s="1096">
        <f t="shared" si="28"/>
        <v>0</v>
      </c>
      <c r="M77" s="1070"/>
      <c r="N77" s="1066">
        <v>0</v>
      </c>
      <c r="O77" s="1067">
        <v>0</v>
      </c>
      <c r="P77" s="1068">
        <v>0</v>
      </c>
      <c r="Q77" s="110"/>
    </row>
    <row r="78" spans="1:17" outlineLevel="1" x14ac:dyDescent="0.25">
      <c r="A78" s="232"/>
      <c r="B78" s="233" t="s">
        <v>887</v>
      </c>
      <c r="C78" s="1105">
        <f t="shared" si="31"/>
        <v>50000</v>
      </c>
      <c r="D78" s="1100"/>
      <c r="E78" s="1096">
        <f t="shared" si="32"/>
        <v>39200</v>
      </c>
      <c r="F78" s="1086">
        <v>5200</v>
      </c>
      <c r="G78" s="1086">
        <v>5100</v>
      </c>
      <c r="H78" s="1080">
        <v>5200</v>
      </c>
      <c r="I78" s="1080"/>
      <c r="J78" s="1080">
        <v>3200</v>
      </c>
      <c r="K78" s="1066">
        <v>20500</v>
      </c>
      <c r="L78" s="1096">
        <f t="shared" si="28"/>
        <v>10800</v>
      </c>
      <c r="M78" s="1070"/>
      <c r="N78" s="1066">
        <v>5300</v>
      </c>
      <c r="O78" s="1067">
        <v>5300</v>
      </c>
      <c r="P78" s="1068">
        <v>200</v>
      </c>
      <c r="Q78" s="110"/>
    </row>
    <row r="79" spans="1:17" outlineLevel="1" x14ac:dyDescent="0.25">
      <c r="A79" s="232"/>
      <c r="B79" s="233" t="s">
        <v>888</v>
      </c>
      <c r="C79" s="1105">
        <f t="shared" si="31"/>
        <v>110000</v>
      </c>
      <c r="D79" s="1100"/>
      <c r="E79" s="1096">
        <f t="shared" si="32"/>
        <v>84000</v>
      </c>
      <c r="F79" s="1086">
        <v>21500</v>
      </c>
      <c r="G79" s="1086">
        <v>500</v>
      </c>
      <c r="H79" s="1080">
        <v>11500</v>
      </c>
      <c r="I79" s="1080"/>
      <c r="J79" s="1080">
        <v>11500</v>
      </c>
      <c r="K79" s="1066">
        <v>39000</v>
      </c>
      <c r="L79" s="1096">
        <f t="shared" si="28"/>
        <v>26000</v>
      </c>
      <c r="M79" s="1070"/>
      <c r="N79" s="1066">
        <v>12250</v>
      </c>
      <c r="O79" s="1067">
        <v>12250</v>
      </c>
      <c r="P79" s="1068">
        <v>1500</v>
      </c>
      <c r="Q79" s="110"/>
    </row>
    <row r="80" spans="1:17" outlineLevel="1" x14ac:dyDescent="0.25">
      <c r="A80" s="232"/>
      <c r="B80" s="233" t="s">
        <v>889</v>
      </c>
      <c r="C80" s="1105">
        <f t="shared" si="31"/>
        <v>855000</v>
      </c>
      <c r="D80" s="1100"/>
      <c r="E80" s="1096">
        <f t="shared" si="32"/>
        <v>50000</v>
      </c>
      <c r="F80" s="1086">
        <v>0</v>
      </c>
      <c r="G80" s="1086">
        <v>0</v>
      </c>
      <c r="H80" s="1080">
        <v>0</v>
      </c>
      <c r="I80" s="1080"/>
      <c r="J80" s="1080">
        <v>0</v>
      </c>
      <c r="K80" s="1066">
        <v>50000</v>
      </c>
      <c r="L80" s="1096">
        <f t="shared" si="28"/>
        <v>805000</v>
      </c>
      <c r="M80" s="1070"/>
      <c r="N80" s="1066">
        <v>650000</v>
      </c>
      <c r="O80" s="1067">
        <v>150000</v>
      </c>
      <c r="P80" s="1068">
        <v>5000</v>
      </c>
      <c r="Q80" s="110"/>
    </row>
    <row r="81" spans="1:17" outlineLevel="1" x14ac:dyDescent="0.25">
      <c r="A81" s="232"/>
      <c r="B81" s="233" t="s">
        <v>890</v>
      </c>
      <c r="C81" s="1105">
        <f t="shared" si="31"/>
        <v>71000</v>
      </c>
      <c r="D81" s="1100"/>
      <c r="E81" s="1096">
        <f t="shared" si="32"/>
        <v>71000</v>
      </c>
      <c r="F81" s="1086">
        <v>20000</v>
      </c>
      <c r="G81" s="1086">
        <v>0</v>
      </c>
      <c r="H81" s="1080">
        <v>0</v>
      </c>
      <c r="I81" s="1080"/>
      <c r="J81" s="1080">
        <v>0</v>
      </c>
      <c r="K81" s="1066">
        <v>51000</v>
      </c>
      <c r="L81" s="1096">
        <f t="shared" si="28"/>
        <v>0</v>
      </c>
      <c r="M81" s="1070"/>
      <c r="N81" s="1066">
        <v>0</v>
      </c>
      <c r="O81" s="1067">
        <v>0</v>
      </c>
      <c r="P81" s="1068">
        <v>0</v>
      </c>
      <c r="Q81" s="110"/>
    </row>
    <row r="82" spans="1:17" outlineLevel="1" x14ac:dyDescent="0.25">
      <c r="A82" s="232"/>
      <c r="B82" s="233" t="s">
        <v>891</v>
      </c>
      <c r="C82" s="1105">
        <f t="shared" si="31"/>
        <v>70000</v>
      </c>
      <c r="D82" s="1100"/>
      <c r="E82" s="1096">
        <f t="shared" si="32"/>
        <v>70000</v>
      </c>
      <c r="F82" s="1086">
        <v>0</v>
      </c>
      <c r="G82" s="1086">
        <v>0</v>
      </c>
      <c r="H82" s="1080">
        <v>40000</v>
      </c>
      <c r="I82" s="1080"/>
      <c r="J82" s="1080">
        <v>0</v>
      </c>
      <c r="K82" s="1066">
        <v>30000</v>
      </c>
      <c r="L82" s="1096">
        <f t="shared" si="28"/>
        <v>0</v>
      </c>
      <c r="M82" s="1070"/>
      <c r="N82" s="1066">
        <v>0</v>
      </c>
      <c r="O82" s="1067">
        <v>0</v>
      </c>
      <c r="P82" s="1068">
        <v>0</v>
      </c>
      <c r="Q82" s="110"/>
    </row>
    <row r="83" spans="1:17" outlineLevel="1" x14ac:dyDescent="0.25">
      <c r="A83" s="232"/>
      <c r="B83" s="233" t="s">
        <v>892</v>
      </c>
      <c r="C83" s="1105">
        <f t="shared" si="31"/>
        <v>80000</v>
      </c>
      <c r="D83" s="1100"/>
      <c r="E83" s="1096">
        <f t="shared" si="32"/>
        <v>80000</v>
      </c>
      <c r="F83" s="1086">
        <v>30000</v>
      </c>
      <c r="G83" s="1086">
        <v>0</v>
      </c>
      <c r="H83" s="1080">
        <v>0</v>
      </c>
      <c r="I83" s="1080"/>
      <c r="J83" s="1080">
        <v>0</v>
      </c>
      <c r="K83" s="1066">
        <v>50000</v>
      </c>
      <c r="L83" s="1096">
        <f t="shared" si="28"/>
        <v>0</v>
      </c>
      <c r="M83" s="1070"/>
      <c r="N83" s="1066">
        <v>0</v>
      </c>
      <c r="O83" s="1067">
        <v>0</v>
      </c>
      <c r="P83" s="1068">
        <v>0</v>
      </c>
      <c r="Q83" s="110"/>
    </row>
    <row r="84" spans="1:17" outlineLevel="1" x14ac:dyDescent="0.25">
      <c r="A84" s="232"/>
      <c r="B84" s="233" t="s">
        <v>893</v>
      </c>
      <c r="C84" s="1105">
        <f t="shared" si="31"/>
        <v>25000</v>
      </c>
      <c r="D84" s="1100"/>
      <c r="E84" s="1096">
        <f t="shared" si="32"/>
        <v>25000</v>
      </c>
      <c r="F84" s="1086">
        <v>0</v>
      </c>
      <c r="G84" s="1086">
        <v>0</v>
      </c>
      <c r="H84" s="1080">
        <v>0</v>
      </c>
      <c r="I84" s="1080"/>
      <c r="J84" s="1080">
        <v>0</v>
      </c>
      <c r="K84" s="1066">
        <v>25000</v>
      </c>
      <c r="L84" s="1096">
        <f t="shared" si="28"/>
        <v>0</v>
      </c>
      <c r="M84" s="1070"/>
      <c r="N84" s="1066">
        <v>0</v>
      </c>
      <c r="O84" s="1067">
        <v>0</v>
      </c>
      <c r="P84" s="1068">
        <v>0</v>
      </c>
      <c r="Q84" s="110"/>
    </row>
    <row r="85" spans="1:17" ht="12" customHeight="1" outlineLevel="1" x14ac:dyDescent="0.25">
      <c r="A85" s="232"/>
      <c r="B85" s="233"/>
      <c r="C85" s="1105">
        <f t="shared" si="31"/>
        <v>0</v>
      </c>
      <c r="D85" s="1100"/>
      <c r="E85" s="1096">
        <f t="shared" si="32"/>
        <v>0</v>
      </c>
      <c r="F85" s="1086">
        <v>0</v>
      </c>
      <c r="G85" s="1086">
        <v>0</v>
      </c>
      <c r="H85" s="1080">
        <v>0</v>
      </c>
      <c r="I85" s="1080"/>
      <c r="J85" s="1080">
        <v>0</v>
      </c>
      <c r="K85" s="1066">
        <v>0</v>
      </c>
      <c r="L85" s="1096">
        <f t="shared" si="28"/>
        <v>0</v>
      </c>
      <c r="M85" s="1070"/>
      <c r="N85" s="1066">
        <v>0</v>
      </c>
      <c r="O85" s="1067">
        <v>0</v>
      </c>
      <c r="P85" s="1068">
        <v>0</v>
      </c>
      <c r="Q85" s="110"/>
    </row>
    <row r="86" spans="1:17" x14ac:dyDescent="0.25">
      <c r="A86" s="222">
        <v>5151</v>
      </c>
      <c r="B86" s="205" t="s">
        <v>894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25">
      <c r="A87" s="222">
        <v>5151</v>
      </c>
      <c r="B87" s="205" t="s">
        <v>895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2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2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25">
      <c r="A90" s="222">
        <v>5156</v>
      </c>
      <c r="B90" s="205" t="s">
        <v>896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2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2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25">
      <c r="A93" s="222">
        <v>5163</v>
      </c>
      <c r="B93" s="205" t="s">
        <v>897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2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10">
        <f t="shared" si="28"/>
        <v>11368000</v>
      </c>
      <c r="M94" s="1071"/>
      <c r="N94" s="1072">
        <v>3972000</v>
      </c>
      <c r="O94" s="1073">
        <v>7146000</v>
      </c>
      <c r="P94" s="1074">
        <v>250000</v>
      </c>
      <c r="Q94" s="180" t="s">
        <v>1158</v>
      </c>
    </row>
    <row r="95" spans="1:17" x14ac:dyDescent="0.2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2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25">
      <c r="A97" s="222">
        <v>5168</v>
      </c>
      <c r="B97" s="205" t="s">
        <v>960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2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16">
        <f t="shared" si="33"/>
        <v>18000</v>
      </c>
      <c r="H98" s="1116">
        <f t="shared" si="33"/>
        <v>3355200</v>
      </c>
      <c r="I98" s="1116">
        <f t="shared" si="33"/>
        <v>0</v>
      </c>
      <c r="J98" s="1116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25">
      <c r="A99" s="232"/>
      <c r="B99" s="233" t="s">
        <v>898</v>
      </c>
      <c r="C99" s="1105">
        <f t="shared" ref="C99:C115" si="34">+E99+L99+D99</f>
        <v>800000</v>
      </c>
      <c r="D99" s="1100"/>
      <c r="E99" s="1096">
        <f t="shared" ref="E99:E115" si="35">SUM(F99:K99)</f>
        <v>0</v>
      </c>
      <c r="F99" s="1086">
        <v>0</v>
      </c>
      <c r="G99" s="1086">
        <v>0</v>
      </c>
      <c r="H99" s="1080">
        <v>0</v>
      </c>
      <c r="I99" s="1080"/>
      <c r="J99" s="1080">
        <v>0</v>
      </c>
      <c r="K99" s="1066">
        <v>0</v>
      </c>
      <c r="L99" s="1096">
        <f t="shared" si="28"/>
        <v>800000</v>
      </c>
      <c r="M99" s="1070">
        <v>0</v>
      </c>
      <c r="N99" s="1066">
        <v>0</v>
      </c>
      <c r="O99" s="1067">
        <v>800000</v>
      </c>
      <c r="P99" s="1068">
        <v>0</v>
      </c>
      <c r="Q99" s="110"/>
    </row>
    <row r="100" spans="1:17" outlineLevel="1" x14ac:dyDescent="0.25">
      <c r="A100" s="232"/>
      <c r="B100" s="233" t="s">
        <v>1159</v>
      </c>
      <c r="C100" s="1105">
        <f t="shared" si="34"/>
        <v>1640000</v>
      </c>
      <c r="D100" s="1100"/>
      <c r="E100" s="1096">
        <f t="shared" si="35"/>
        <v>150000</v>
      </c>
      <c r="F100" s="1086">
        <v>0</v>
      </c>
      <c r="G100" s="1086">
        <v>0</v>
      </c>
      <c r="H100" s="1080">
        <v>0</v>
      </c>
      <c r="I100" s="1080"/>
      <c r="J100" s="1080">
        <v>0</v>
      </c>
      <c r="K100" s="1066">
        <v>150000</v>
      </c>
      <c r="L100" s="1096">
        <f t="shared" ref="L100:L115" si="36">SUM(N100:P100)</f>
        <v>1490000</v>
      </c>
      <c r="M100" s="1070">
        <v>0</v>
      </c>
      <c r="N100" s="1066">
        <v>115000</v>
      </c>
      <c r="O100" s="1067">
        <v>1300000</v>
      </c>
      <c r="P100" s="1068">
        <v>75000</v>
      </c>
      <c r="Q100" s="110"/>
    </row>
    <row r="101" spans="1:17" ht="14.25" customHeight="1" outlineLevel="1" x14ac:dyDescent="0.25">
      <c r="A101" s="232"/>
      <c r="B101" s="233" t="s">
        <v>899</v>
      </c>
      <c r="C101" s="1105">
        <f t="shared" si="34"/>
        <v>234000</v>
      </c>
      <c r="D101" s="1100"/>
      <c r="E101" s="1096">
        <f t="shared" si="35"/>
        <v>124000</v>
      </c>
      <c r="F101" s="1086">
        <v>13000</v>
      </c>
      <c r="G101" s="1086">
        <v>4000</v>
      </c>
      <c r="H101" s="1080">
        <v>15000</v>
      </c>
      <c r="I101" s="1080"/>
      <c r="J101" s="1080">
        <v>9000</v>
      </c>
      <c r="K101" s="1066">
        <v>83000</v>
      </c>
      <c r="L101" s="1096">
        <f t="shared" si="36"/>
        <v>110000</v>
      </c>
      <c r="M101" s="1075">
        <v>0</v>
      </c>
      <c r="N101" s="1057">
        <v>27500</v>
      </c>
      <c r="O101" s="1076">
        <v>57500</v>
      </c>
      <c r="P101" s="1059">
        <v>25000</v>
      </c>
      <c r="Q101" s="110"/>
    </row>
    <row r="102" spans="1:17" outlineLevel="1" x14ac:dyDescent="0.25">
      <c r="A102" s="232"/>
      <c r="B102" s="233" t="s">
        <v>900</v>
      </c>
      <c r="C102" s="1105">
        <f t="shared" si="34"/>
        <v>200000</v>
      </c>
      <c r="D102" s="1100"/>
      <c r="E102" s="1096">
        <f t="shared" si="35"/>
        <v>0</v>
      </c>
      <c r="F102" s="1086">
        <v>0</v>
      </c>
      <c r="G102" s="1086">
        <v>0</v>
      </c>
      <c r="H102" s="1080">
        <v>0</v>
      </c>
      <c r="I102" s="1080"/>
      <c r="J102" s="1080">
        <v>0</v>
      </c>
      <c r="K102" s="1066">
        <v>0</v>
      </c>
      <c r="L102" s="1096">
        <f t="shared" si="36"/>
        <v>200000</v>
      </c>
      <c r="M102" s="1070"/>
      <c r="N102" s="1066">
        <v>90000</v>
      </c>
      <c r="O102" s="1067">
        <v>90000</v>
      </c>
      <c r="P102" s="1068">
        <v>20000</v>
      </c>
      <c r="Q102" s="110"/>
    </row>
    <row r="103" spans="1:17" outlineLevel="1" x14ac:dyDescent="0.25">
      <c r="A103" s="232"/>
      <c r="B103" s="233" t="s">
        <v>901</v>
      </c>
      <c r="C103" s="1105">
        <f t="shared" si="34"/>
        <v>50000</v>
      </c>
      <c r="D103" s="1100"/>
      <c r="E103" s="1096">
        <f t="shared" si="35"/>
        <v>0</v>
      </c>
      <c r="F103" s="1086">
        <v>0</v>
      </c>
      <c r="G103" s="1086">
        <v>0</v>
      </c>
      <c r="H103" s="1080">
        <v>0</v>
      </c>
      <c r="I103" s="1080"/>
      <c r="J103" s="1080">
        <v>0</v>
      </c>
      <c r="K103" s="1066">
        <v>0</v>
      </c>
      <c r="L103" s="1096">
        <f t="shared" si="36"/>
        <v>50000</v>
      </c>
      <c r="M103" s="1070">
        <v>0</v>
      </c>
      <c r="N103" s="1066">
        <v>0</v>
      </c>
      <c r="O103" s="1067">
        <v>50000</v>
      </c>
      <c r="P103" s="1068">
        <v>0</v>
      </c>
      <c r="Q103" s="110"/>
    </row>
    <row r="104" spans="1:17" outlineLevel="1" x14ac:dyDescent="0.25">
      <c r="A104" s="232"/>
      <c r="B104" s="233" t="s">
        <v>902</v>
      </c>
      <c r="C104" s="1105">
        <f t="shared" si="34"/>
        <v>56000</v>
      </c>
      <c r="D104" s="1100"/>
      <c r="E104" s="1096">
        <f t="shared" si="35"/>
        <v>45200</v>
      </c>
      <c r="F104" s="1086">
        <v>1300</v>
      </c>
      <c r="G104" s="1086">
        <v>1000</v>
      </c>
      <c r="H104" s="1080">
        <v>12200</v>
      </c>
      <c r="I104" s="1080"/>
      <c r="J104" s="1080">
        <v>5200</v>
      </c>
      <c r="K104" s="1066">
        <v>25500</v>
      </c>
      <c r="L104" s="1096">
        <f t="shared" si="36"/>
        <v>10800</v>
      </c>
      <c r="M104" s="1070">
        <v>0</v>
      </c>
      <c r="N104" s="1066">
        <v>6000</v>
      </c>
      <c r="O104" s="1067">
        <v>4300</v>
      </c>
      <c r="P104" s="1068">
        <v>500</v>
      </c>
      <c r="Q104" s="110"/>
    </row>
    <row r="105" spans="1:17" outlineLevel="1" x14ac:dyDescent="0.25">
      <c r="A105" s="232"/>
      <c r="B105" s="233" t="s">
        <v>903</v>
      </c>
      <c r="C105" s="1105">
        <f t="shared" si="34"/>
        <v>0</v>
      </c>
      <c r="D105" s="1100"/>
      <c r="E105" s="1096">
        <f t="shared" si="35"/>
        <v>0</v>
      </c>
      <c r="F105" s="1086">
        <v>0</v>
      </c>
      <c r="G105" s="1086">
        <v>0</v>
      </c>
      <c r="H105" s="1080">
        <v>0</v>
      </c>
      <c r="I105" s="1080"/>
      <c r="J105" s="1080">
        <v>0</v>
      </c>
      <c r="K105" s="1066">
        <v>0</v>
      </c>
      <c r="L105" s="1096">
        <f t="shared" si="36"/>
        <v>0</v>
      </c>
      <c r="M105" s="1070">
        <v>0</v>
      </c>
      <c r="N105" s="1066">
        <v>0</v>
      </c>
      <c r="O105" s="1067">
        <v>0</v>
      </c>
      <c r="P105" s="1068">
        <v>0</v>
      </c>
      <c r="Q105" s="110"/>
    </row>
    <row r="106" spans="1:17" outlineLevel="1" x14ac:dyDescent="0.25">
      <c r="A106" s="232"/>
      <c r="B106" s="233" t="s">
        <v>1694</v>
      </c>
      <c r="C106" s="1105">
        <f t="shared" si="34"/>
        <v>1550000</v>
      </c>
      <c r="D106" s="1100"/>
      <c r="E106" s="1096">
        <f t="shared" si="35"/>
        <v>1550000</v>
      </c>
      <c r="F106" s="1086">
        <v>0</v>
      </c>
      <c r="G106" s="1086">
        <v>0</v>
      </c>
      <c r="H106" s="1080">
        <v>0</v>
      </c>
      <c r="I106" s="1080"/>
      <c r="J106" s="1080">
        <v>0</v>
      </c>
      <c r="K106" s="1066">
        <v>1550000</v>
      </c>
      <c r="L106" s="1096">
        <f t="shared" si="36"/>
        <v>0</v>
      </c>
      <c r="M106" s="1070">
        <v>0</v>
      </c>
      <c r="N106" s="1066">
        <v>0</v>
      </c>
      <c r="O106" s="1067">
        <v>0</v>
      </c>
      <c r="P106" s="1068">
        <v>0</v>
      </c>
      <c r="Q106" s="110"/>
    </row>
    <row r="107" spans="1:17" outlineLevel="1" x14ac:dyDescent="0.25">
      <c r="A107" s="232"/>
      <c r="B107" s="233" t="s">
        <v>905</v>
      </c>
      <c r="C107" s="1105">
        <f t="shared" si="34"/>
        <v>3700000</v>
      </c>
      <c r="D107" s="1100"/>
      <c r="E107" s="1096">
        <f t="shared" si="35"/>
        <v>3700000</v>
      </c>
      <c r="F107" s="1086">
        <v>0</v>
      </c>
      <c r="G107" s="1086">
        <v>0</v>
      </c>
      <c r="H107" s="1080">
        <v>2700000</v>
      </c>
      <c r="I107" s="1080"/>
      <c r="J107" s="1080">
        <v>1000000</v>
      </c>
      <c r="K107" s="1066">
        <v>0</v>
      </c>
      <c r="L107" s="1096">
        <f t="shared" si="36"/>
        <v>0</v>
      </c>
      <c r="M107" s="1070">
        <v>0</v>
      </c>
      <c r="N107" s="1066">
        <v>0</v>
      </c>
      <c r="O107" s="1067">
        <v>0</v>
      </c>
      <c r="P107" s="1068">
        <v>0</v>
      </c>
      <c r="Q107" s="110"/>
    </row>
    <row r="108" spans="1:17" outlineLevel="1" x14ac:dyDescent="0.25">
      <c r="A108" s="232"/>
      <c r="B108" s="233" t="s">
        <v>906</v>
      </c>
      <c r="C108" s="1105">
        <f t="shared" si="34"/>
        <v>550000</v>
      </c>
      <c r="D108" s="1100"/>
      <c r="E108" s="1096">
        <f t="shared" si="35"/>
        <v>550000</v>
      </c>
      <c r="F108" s="1086">
        <v>0</v>
      </c>
      <c r="G108" s="1086">
        <v>0</v>
      </c>
      <c r="H108" s="1080">
        <v>350000</v>
      </c>
      <c r="I108" s="1080"/>
      <c r="J108" s="1080">
        <v>200000</v>
      </c>
      <c r="K108" s="1066">
        <v>0</v>
      </c>
      <c r="L108" s="1096">
        <f t="shared" si="36"/>
        <v>0</v>
      </c>
      <c r="M108" s="1070">
        <v>0</v>
      </c>
      <c r="N108" s="1066">
        <v>0</v>
      </c>
      <c r="O108" s="1067">
        <v>0</v>
      </c>
      <c r="P108" s="1068">
        <v>0</v>
      </c>
      <c r="Q108" s="110"/>
    </row>
    <row r="109" spans="1:17" outlineLevel="1" x14ac:dyDescent="0.25">
      <c r="A109" s="232"/>
      <c r="B109" s="233" t="s">
        <v>907</v>
      </c>
      <c r="C109" s="1105">
        <f t="shared" si="34"/>
        <v>250000</v>
      </c>
      <c r="D109" s="1100"/>
      <c r="E109" s="1096">
        <f t="shared" si="35"/>
        <v>250000</v>
      </c>
      <c r="F109" s="1086">
        <v>0</v>
      </c>
      <c r="G109" s="1086">
        <v>0</v>
      </c>
      <c r="H109" s="1080">
        <v>250000</v>
      </c>
      <c r="I109" s="1080"/>
      <c r="J109" s="1080">
        <v>0</v>
      </c>
      <c r="K109" s="1066">
        <v>0</v>
      </c>
      <c r="L109" s="1096">
        <f t="shared" si="36"/>
        <v>0</v>
      </c>
      <c r="M109" s="1070"/>
      <c r="N109" s="1066">
        <v>0</v>
      </c>
      <c r="O109" s="1067">
        <v>0</v>
      </c>
      <c r="P109" s="1068">
        <v>0</v>
      </c>
      <c r="Q109" s="110"/>
    </row>
    <row r="110" spans="1:17" outlineLevel="1" x14ac:dyDescent="0.25">
      <c r="A110" s="232"/>
      <c r="B110" s="233" t="s">
        <v>908</v>
      </c>
      <c r="C110" s="1105">
        <f t="shared" si="34"/>
        <v>150000</v>
      </c>
      <c r="D110" s="1100"/>
      <c r="E110" s="1096">
        <f t="shared" si="35"/>
        <v>150000</v>
      </c>
      <c r="F110" s="1086">
        <v>0</v>
      </c>
      <c r="G110" s="1086">
        <v>0</v>
      </c>
      <c r="H110" s="1080">
        <v>0</v>
      </c>
      <c r="I110" s="1080"/>
      <c r="J110" s="1080">
        <v>0</v>
      </c>
      <c r="K110" s="1066">
        <v>150000</v>
      </c>
      <c r="L110" s="1096">
        <f t="shared" si="36"/>
        <v>0</v>
      </c>
      <c r="M110" s="1070"/>
      <c r="N110" s="1066">
        <v>0</v>
      </c>
      <c r="O110" s="1067">
        <v>0</v>
      </c>
      <c r="P110" s="1068">
        <v>0</v>
      </c>
      <c r="Q110" s="110"/>
    </row>
    <row r="111" spans="1:17" outlineLevel="1" x14ac:dyDescent="0.25">
      <c r="A111" s="232"/>
      <c r="B111" s="233" t="s">
        <v>909</v>
      </c>
      <c r="C111" s="1105">
        <f t="shared" si="34"/>
        <v>22500</v>
      </c>
      <c r="D111" s="1100"/>
      <c r="E111" s="1096">
        <f t="shared" si="35"/>
        <v>17000</v>
      </c>
      <c r="F111" s="1086">
        <v>2000</v>
      </c>
      <c r="G111" s="1086">
        <v>1000</v>
      </c>
      <c r="H111" s="1080">
        <v>4000</v>
      </c>
      <c r="I111" s="1080"/>
      <c r="J111" s="1080">
        <v>2000</v>
      </c>
      <c r="K111" s="1066">
        <v>8000</v>
      </c>
      <c r="L111" s="1096">
        <f t="shared" si="36"/>
        <v>5500</v>
      </c>
      <c r="M111" s="1070"/>
      <c r="N111" s="1066">
        <v>2500</v>
      </c>
      <c r="O111" s="1067">
        <v>2000</v>
      </c>
      <c r="P111" s="1068">
        <v>1000</v>
      </c>
      <c r="Q111" s="110"/>
    </row>
    <row r="112" spans="1:17" outlineLevel="1" x14ac:dyDescent="0.25">
      <c r="A112" s="232"/>
      <c r="B112" s="233" t="s">
        <v>910</v>
      </c>
      <c r="C112" s="1105">
        <f t="shared" si="34"/>
        <v>8000</v>
      </c>
      <c r="D112" s="1100"/>
      <c r="E112" s="1096">
        <f t="shared" si="35"/>
        <v>5000</v>
      </c>
      <c r="F112" s="1086">
        <v>0</v>
      </c>
      <c r="G112" s="1086">
        <v>0</v>
      </c>
      <c r="H112" s="1080">
        <v>0</v>
      </c>
      <c r="I112" s="1080"/>
      <c r="J112" s="1080">
        <v>0</v>
      </c>
      <c r="K112" s="1066">
        <v>5000</v>
      </c>
      <c r="L112" s="1096">
        <f t="shared" si="36"/>
        <v>3000</v>
      </c>
      <c r="M112" s="1070"/>
      <c r="N112" s="1066">
        <v>1000</v>
      </c>
      <c r="O112" s="1067">
        <v>1000</v>
      </c>
      <c r="P112" s="1068">
        <v>1000</v>
      </c>
      <c r="Q112" s="110"/>
    </row>
    <row r="113" spans="1:17" outlineLevel="1" x14ac:dyDescent="0.25">
      <c r="A113" s="232"/>
      <c r="B113" s="233" t="s">
        <v>911</v>
      </c>
      <c r="C113" s="1105">
        <f t="shared" si="34"/>
        <v>720000</v>
      </c>
      <c r="D113" s="1100"/>
      <c r="E113" s="1096">
        <f t="shared" si="35"/>
        <v>354000</v>
      </c>
      <c r="F113" s="1086">
        <v>59000</v>
      </c>
      <c r="G113" s="1086">
        <v>12000</v>
      </c>
      <c r="H113" s="1080">
        <v>24000</v>
      </c>
      <c r="I113" s="1080"/>
      <c r="J113" s="1080">
        <v>34000</v>
      </c>
      <c r="K113" s="1066">
        <v>225000</v>
      </c>
      <c r="L113" s="1096">
        <f t="shared" si="36"/>
        <v>366000</v>
      </c>
      <c r="M113" s="1070"/>
      <c r="N113" s="1066">
        <v>73500</v>
      </c>
      <c r="O113" s="1067">
        <v>283500</v>
      </c>
      <c r="P113" s="1068">
        <v>9000</v>
      </c>
      <c r="Q113" s="110"/>
    </row>
    <row r="114" spans="1:17" outlineLevel="1" x14ac:dyDescent="0.25">
      <c r="A114" s="232"/>
      <c r="B114" s="233" t="s">
        <v>912</v>
      </c>
      <c r="C114" s="1105">
        <f t="shared" si="34"/>
        <v>124000</v>
      </c>
      <c r="D114" s="1100"/>
      <c r="E114" s="1096">
        <f t="shared" si="35"/>
        <v>24000</v>
      </c>
      <c r="F114" s="1086">
        <v>0</v>
      </c>
      <c r="G114" s="1086">
        <v>0</v>
      </c>
      <c r="H114" s="1080">
        <v>0</v>
      </c>
      <c r="I114" s="1080"/>
      <c r="J114" s="1080">
        <v>9000</v>
      </c>
      <c r="K114" s="1066">
        <v>15000</v>
      </c>
      <c r="L114" s="1096">
        <f t="shared" si="36"/>
        <v>100000</v>
      </c>
      <c r="M114" s="1070"/>
      <c r="N114" s="1066">
        <v>40000</v>
      </c>
      <c r="O114" s="1067">
        <v>60000</v>
      </c>
      <c r="P114" s="1068">
        <v>0</v>
      </c>
      <c r="Q114" s="110"/>
    </row>
    <row r="115" spans="1:17" outlineLevel="1" x14ac:dyDescent="0.25">
      <c r="A115" s="232"/>
      <c r="B115" s="233" t="s">
        <v>913</v>
      </c>
      <c r="C115" s="1105">
        <f t="shared" si="34"/>
        <v>830000</v>
      </c>
      <c r="D115" s="1100"/>
      <c r="E115" s="1096">
        <f t="shared" si="35"/>
        <v>815000</v>
      </c>
      <c r="F115" s="1086">
        <v>0</v>
      </c>
      <c r="G115" s="1086">
        <v>0</v>
      </c>
      <c r="H115" s="1080">
        <v>0</v>
      </c>
      <c r="I115" s="1080"/>
      <c r="J115" s="1080"/>
      <c r="K115" s="1066">
        <v>815000</v>
      </c>
      <c r="L115" s="1096">
        <f t="shared" si="36"/>
        <v>15000</v>
      </c>
      <c r="M115" s="1070"/>
      <c r="N115" s="1066">
        <v>5000</v>
      </c>
      <c r="O115" s="1067">
        <v>10000</v>
      </c>
      <c r="P115" s="1068"/>
      <c r="Q115" s="110"/>
    </row>
    <row r="116" spans="1:17" s="135" customFormat="1" x14ac:dyDescent="0.2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16">
        <f t="shared" si="37"/>
        <v>3000</v>
      </c>
      <c r="H116" s="1116">
        <f t="shared" si="37"/>
        <v>308500</v>
      </c>
      <c r="I116" s="1116">
        <f t="shared" si="37"/>
        <v>0</v>
      </c>
      <c r="J116" s="1116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25">
      <c r="A117" s="232"/>
      <c r="B117" s="233" t="s">
        <v>914</v>
      </c>
      <c r="C117" s="1105">
        <f t="shared" ref="C117:C129" si="39">+E117+L117+D117</f>
        <v>782000</v>
      </c>
      <c r="D117" s="1100"/>
      <c r="E117" s="1096">
        <f t="shared" ref="E117:E129" si="40">SUM(F117:K117)</f>
        <v>602000</v>
      </c>
      <c r="F117" s="1086">
        <v>41000</v>
      </c>
      <c r="G117" s="1086">
        <v>1000</v>
      </c>
      <c r="H117" s="1080">
        <v>300000</v>
      </c>
      <c r="I117" s="1080"/>
      <c r="J117" s="1080">
        <v>50000</v>
      </c>
      <c r="K117" s="1066">
        <v>210000</v>
      </c>
      <c r="L117" s="1096">
        <f t="shared" si="38"/>
        <v>180000</v>
      </c>
      <c r="M117" s="1075"/>
      <c r="N117" s="1057">
        <v>100000</v>
      </c>
      <c r="O117" s="1076"/>
      <c r="P117" s="1059">
        <v>80000</v>
      </c>
      <c r="Q117" s="110"/>
    </row>
    <row r="118" spans="1:17" outlineLevel="1" x14ac:dyDescent="0.25">
      <c r="A118" s="232"/>
      <c r="B118" s="233" t="s">
        <v>915</v>
      </c>
      <c r="C118" s="1105">
        <f t="shared" si="39"/>
        <v>410000</v>
      </c>
      <c r="D118" s="1100"/>
      <c r="E118" s="1096">
        <f t="shared" si="40"/>
        <v>101000</v>
      </c>
      <c r="F118" s="1086">
        <v>3500</v>
      </c>
      <c r="G118" s="1086">
        <v>1000</v>
      </c>
      <c r="H118" s="1080">
        <v>3500</v>
      </c>
      <c r="I118" s="1080"/>
      <c r="J118" s="1080">
        <v>21000</v>
      </c>
      <c r="K118" s="1066">
        <v>72000</v>
      </c>
      <c r="L118" s="1096">
        <f t="shared" ref="L118:L120" si="41">SUM(N118:P118)</f>
        <v>309000</v>
      </c>
      <c r="M118" s="1070"/>
      <c r="N118" s="1066">
        <v>139000</v>
      </c>
      <c r="O118" s="1067">
        <v>100000</v>
      </c>
      <c r="P118" s="1068">
        <v>70000</v>
      </c>
      <c r="Q118" s="110"/>
    </row>
    <row r="119" spans="1:17" outlineLevel="1" x14ac:dyDescent="0.25">
      <c r="A119" s="232"/>
      <c r="B119" s="233" t="s">
        <v>916</v>
      </c>
      <c r="C119" s="1105">
        <f t="shared" si="39"/>
        <v>488000</v>
      </c>
      <c r="D119" s="1100"/>
      <c r="E119" s="1096">
        <f t="shared" si="40"/>
        <v>100000</v>
      </c>
      <c r="F119" s="1086">
        <v>5000</v>
      </c>
      <c r="G119" s="1086">
        <v>1000</v>
      </c>
      <c r="H119" s="1080">
        <v>5000</v>
      </c>
      <c r="I119" s="1080"/>
      <c r="J119" s="1080">
        <v>5000</v>
      </c>
      <c r="K119" s="1066">
        <v>84000</v>
      </c>
      <c r="L119" s="1096">
        <f t="shared" si="41"/>
        <v>388000</v>
      </c>
      <c r="M119" s="1070"/>
      <c r="N119" s="1066">
        <v>100000</v>
      </c>
      <c r="O119" s="1067">
        <v>208000</v>
      </c>
      <c r="P119" s="1068">
        <v>80000</v>
      </c>
      <c r="Q119" s="110"/>
    </row>
    <row r="120" spans="1:17" outlineLevel="1" x14ac:dyDescent="0.25">
      <c r="A120" s="232"/>
      <c r="B120" s="233" t="s">
        <v>917</v>
      </c>
      <c r="C120" s="1105">
        <f t="shared" si="39"/>
        <v>1500000</v>
      </c>
      <c r="D120" s="1100"/>
      <c r="E120" s="1096">
        <f t="shared" si="40"/>
        <v>0</v>
      </c>
      <c r="F120" s="1086">
        <v>0</v>
      </c>
      <c r="G120" s="1086">
        <v>0</v>
      </c>
      <c r="H120" s="1080">
        <v>0</v>
      </c>
      <c r="I120" s="1080"/>
      <c r="J120" s="1080">
        <v>0</v>
      </c>
      <c r="K120" s="1066">
        <v>0</v>
      </c>
      <c r="L120" s="1096">
        <f t="shared" si="41"/>
        <v>1500000</v>
      </c>
      <c r="M120" s="1070"/>
      <c r="N120" s="1066">
        <v>1200000</v>
      </c>
      <c r="O120" s="1067">
        <v>300000</v>
      </c>
      <c r="P120" s="1068">
        <v>0</v>
      </c>
      <c r="Q120" s="110"/>
    </row>
    <row r="121" spans="1:17" x14ac:dyDescent="0.25">
      <c r="A121" s="222" t="s">
        <v>918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25">
      <c r="A122" s="222" t="s">
        <v>919</v>
      </c>
      <c r="B122" s="205" t="s">
        <v>920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25">
      <c r="A123" s="222" t="s">
        <v>921</v>
      </c>
      <c r="B123" s="205" t="s">
        <v>922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25">
      <c r="A124" s="222" t="s">
        <v>923</v>
      </c>
      <c r="B124" s="205" t="s">
        <v>924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25">
      <c r="A125" s="222" t="s">
        <v>925</v>
      </c>
      <c r="B125" s="205" t="s">
        <v>926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25">
      <c r="A126" s="222" t="s">
        <v>927</v>
      </c>
      <c r="B126" s="205" t="s">
        <v>928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25">
      <c r="A127" s="222" t="s">
        <v>929</v>
      </c>
      <c r="B127" s="205" t="s">
        <v>930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25">
      <c r="A128" s="222" t="s">
        <v>931</v>
      </c>
      <c r="B128" s="205" t="s">
        <v>932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25">
      <c r="A129" s="222" t="s">
        <v>933</v>
      </c>
      <c r="B129" s="205" t="s">
        <v>934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4.25" thickBot="1" x14ac:dyDescent="0.3">
      <c r="A130" s="1641" t="s">
        <v>347</v>
      </c>
      <c r="B130" s="1643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644">
        <f t="shared" si="44"/>
        <v>950100</v>
      </c>
      <c r="G130" s="1644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645">
        <f t="shared" si="44"/>
        <v>0</v>
      </c>
      <c r="N130" s="185">
        <f t="shared" si="44"/>
        <v>17260100</v>
      </c>
      <c r="O130" s="1646">
        <f t="shared" si="44"/>
        <v>13774400</v>
      </c>
      <c r="P130" s="186">
        <f t="shared" si="44"/>
        <v>17035600</v>
      </c>
      <c r="Q130" s="110"/>
    </row>
    <row r="131" spans="1:17" x14ac:dyDescent="0.25">
      <c r="A131" s="222">
        <v>5141</v>
      </c>
      <c r="B131" s="205" t="s">
        <v>7</v>
      </c>
      <c r="C131" s="1108">
        <f>+E131+L131+D131</f>
        <v>280000</v>
      </c>
      <c r="D131" s="1101"/>
      <c r="E131" s="1102">
        <f t="shared" ref="E131" si="45">SUM(F131:K131)</f>
        <v>280000</v>
      </c>
      <c r="F131" s="1084"/>
      <c r="G131" s="1084"/>
      <c r="H131" s="306">
        <v>236000</v>
      </c>
      <c r="I131" s="401"/>
      <c r="J131" s="401"/>
      <c r="K131" s="306">
        <v>44000</v>
      </c>
      <c r="L131" s="1111">
        <f t="shared" si="38"/>
        <v>0</v>
      </c>
      <c r="M131" s="413"/>
      <c r="N131" s="306"/>
      <c r="O131" s="1063"/>
      <c r="P131" s="1077"/>
      <c r="Q131" s="110"/>
    </row>
    <row r="132" spans="1:17" ht="14.25" thickBot="1" x14ac:dyDescent="0.3">
      <c r="A132" s="1642" t="s">
        <v>103</v>
      </c>
      <c r="B132" s="1643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644">
        <f t="shared" si="46"/>
        <v>2349913.4</v>
      </c>
      <c r="G132" s="1644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645">
        <f t="shared" si="46"/>
        <v>2200250</v>
      </c>
      <c r="N132" s="185">
        <f t="shared" si="46"/>
        <v>18536696.120000001</v>
      </c>
      <c r="O132" s="1646">
        <f t="shared" si="46"/>
        <v>14647616.52</v>
      </c>
      <c r="P132" s="186">
        <f t="shared" si="46"/>
        <v>18238665.871199999</v>
      </c>
      <c r="Q132" s="110"/>
    </row>
    <row r="133" spans="1:17" ht="14.25" thickBot="1" x14ac:dyDescent="0.3">
      <c r="A133" s="222"/>
      <c r="B133" s="205"/>
      <c r="C133" s="1109"/>
      <c r="D133" s="1078"/>
      <c r="E133" s="1078"/>
      <c r="F133" s="1078"/>
      <c r="G133" s="1078"/>
      <c r="H133" s="1078"/>
      <c r="I133" s="1078"/>
      <c r="J133" s="1078"/>
      <c r="K133" s="1078"/>
      <c r="L133" s="1078"/>
      <c r="M133" s="1078"/>
      <c r="N133" s="1078"/>
      <c r="O133" s="1078"/>
      <c r="P133" s="1078"/>
      <c r="Q133" s="110"/>
    </row>
    <row r="134" spans="1:17" ht="14.25" thickBot="1" x14ac:dyDescent="0.3">
      <c r="A134" s="3064" t="s">
        <v>580</v>
      </c>
      <c r="B134" s="3065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655">
        <f t="shared" si="47"/>
        <v>2349913.4</v>
      </c>
      <c r="G134" s="1655">
        <f t="shared" si="47"/>
        <v>639803.5</v>
      </c>
      <c r="H134" s="1656">
        <f t="shared" si="47"/>
        <v>12244706.4</v>
      </c>
      <c r="I134" s="1656">
        <f t="shared" si="47"/>
        <v>1109551.8999999999</v>
      </c>
      <c r="J134" s="1656">
        <f t="shared" si="47"/>
        <v>4063143.6</v>
      </c>
      <c r="K134" s="1657">
        <f t="shared" si="47"/>
        <v>21592797.600000001</v>
      </c>
      <c r="L134" s="258">
        <f t="shared" si="47"/>
        <v>53623228.511199996</v>
      </c>
      <c r="M134" s="1658">
        <f t="shared" si="47"/>
        <v>2200250</v>
      </c>
      <c r="N134" s="1657">
        <f t="shared" si="47"/>
        <v>18536696.120000001</v>
      </c>
      <c r="O134" s="1659">
        <f t="shared" si="47"/>
        <v>14647616.52</v>
      </c>
      <c r="P134" s="1660">
        <f t="shared" si="47"/>
        <v>18238665.871199999</v>
      </c>
      <c r="Q134" s="110"/>
    </row>
    <row r="135" spans="1:17" ht="14.25" thickBot="1" x14ac:dyDescent="0.3">
      <c r="A135" s="3064" t="s">
        <v>127</v>
      </c>
      <c r="B135" s="3065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1655">
        <f t="shared" si="48"/>
        <v>1349086.6</v>
      </c>
      <c r="G135" s="1655">
        <f t="shared" si="48"/>
        <v>60196.5</v>
      </c>
      <c r="H135" s="1656">
        <f t="shared" si="48"/>
        <v>-4971836.4000000004</v>
      </c>
      <c r="I135" s="1656">
        <f t="shared" si="48"/>
        <v>330448.10000000009</v>
      </c>
      <c r="J135" s="1656">
        <f t="shared" si="48"/>
        <v>297066.39999999991</v>
      </c>
      <c r="K135" s="1657">
        <f t="shared" si="48"/>
        <v>3890017.3999999985</v>
      </c>
      <c r="L135" s="258">
        <f t="shared" si="48"/>
        <v>4512771.4888000041</v>
      </c>
      <c r="M135" s="1658">
        <f t="shared" si="48"/>
        <v>-2200250</v>
      </c>
      <c r="N135" s="1657">
        <f t="shared" si="48"/>
        <v>973303.87999999896</v>
      </c>
      <c r="O135" s="1659">
        <f t="shared" si="48"/>
        <v>2268383.4800000004</v>
      </c>
      <c r="P135" s="1660">
        <f t="shared" si="48"/>
        <v>3471334.128800001</v>
      </c>
      <c r="Q135" s="110"/>
    </row>
    <row r="136" spans="1:17" x14ac:dyDescent="0.25">
      <c r="A136" s="265"/>
      <c r="B136" s="109"/>
      <c r="C136" s="306"/>
      <c r="D136" s="189"/>
      <c r="E136" s="306"/>
      <c r="F136" s="189"/>
      <c r="G136" s="189"/>
      <c r="H136" s="189"/>
      <c r="I136" s="189"/>
      <c r="J136" s="189"/>
      <c r="K136" s="306"/>
      <c r="L136" s="189"/>
      <c r="M136" s="189"/>
      <c r="N136" s="189"/>
      <c r="O136" s="189"/>
      <c r="P136" s="189"/>
      <c r="Q136" s="110"/>
    </row>
    <row r="137" spans="1:17" x14ac:dyDescent="0.25">
      <c r="K137" s="574"/>
    </row>
    <row r="138" spans="1:17" x14ac:dyDescent="0.25">
      <c r="A138" s="265" t="s">
        <v>544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" defaultRowHeight="13.5" outlineLevelRow="1" outlineLevelCol="1" x14ac:dyDescent="0.25"/>
  <cols>
    <col min="1" max="1" width="7.7109375" style="266" customWidth="1"/>
    <col min="2" max="2" width="54" style="111" bestFit="1" customWidth="1"/>
    <col min="3" max="3" width="14" style="144" customWidth="1"/>
    <col min="4" max="4" width="12.28515625" style="111" bestFit="1" customWidth="1"/>
    <col min="5" max="5" width="13.7109375" style="111" bestFit="1" customWidth="1"/>
    <col min="6" max="6" width="12.28515625" style="111" customWidth="1" outlineLevel="1"/>
    <col min="7" max="7" width="10" style="111" customWidth="1" outlineLevel="1"/>
    <col min="8" max="8" width="12.285156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28515625" style="111" customWidth="1" outlineLevel="1"/>
    <col min="12" max="12" width="12.5703125" style="111" customWidth="1"/>
    <col min="13" max="13" width="12.28515625" style="111" hidden="1" customWidth="1" outlineLevel="1"/>
    <col min="14" max="16" width="12.28515625" style="111" customWidth="1" outlineLevel="1"/>
    <col min="17" max="17" width="12.28515625" style="267" bestFit="1" customWidth="1"/>
    <col min="18" max="18" width="10.7109375" style="111" bestFit="1" customWidth="1"/>
    <col min="19" max="16384" width="9" style="111"/>
  </cols>
  <sheetData>
    <row r="1" spans="1:18" ht="16.5" x14ac:dyDescent="0.3">
      <c r="A1" s="108" t="s">
        <v>943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483</v>
      </c>
      <c r="B4" s="116" t="s">
        <v>0</v>
      </c>
      <c r="C4" s="117" t="s">
        <v>873</v>
      </c>
      <c r="D4" s="118" t="s">
        <v>356</v>
      </c>
      <c r="E4" s="119" t="s">
        <v>352</v>
      </c>
      <c r="F4" s="120" t="s">
        <v>151</v>
      </c>
      <c r="G4" s="120" t="s">
        <v>143</v>
      </c>
      <c r="H4" s="121" t="s">
        <v>579</v>
      </c>
      <c r="I4" s="122" t="s">
        <v>948</v>
      </c>
      <c r="J4" s="121" t="s">
        <v>484</v>
      </c>
      <c r="K4" s="123" t="s">
        <v>1039</v>
      </c>
      <c r="L4" s="119" t="s">
        <v>337</v>
      </c>
      <c r="M4" s="120" t="s">
        <v>949</v>
      </c>
      <c r="N4" s="122" t="s">
        <v>153</v>
      </c>
      <c r="O4" s="124" t="s">
        <v>154</v>
      </c>
      <c r="P4" s="123" t="s">
        <v>703</v>
      </c>
      <c r="Q4" s="110"/>
    </row>
    <row r="5" spans="1:18" s="135" customFormat="1" x14ac:dyDescent="0.25">
      <c r="A5" s="125"/>
      <c r="B5" s="126" t="s">
        <v>575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3062" t="s">
        <v>507</v>
      </c>
      <c r="B6" s="136" t="s">
        <v>576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3063"/>
      <c r="B7" s="145" t="s">
        <v>259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3063"/>
      <c r="B8" s="146" t="s">
        <v>945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3063"/>
      <c r="B9" s="146" t="s">
        <v>267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3063"/>
      <c r="B10" s="146" t="s">
        <v>967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965</v>
      </c>
    </row>
    <row r="11" spans="1:18" outlineLevel="1" x14ac:dyDescent="0.25">
      <c r="A11" s="3063"/>
      <c r="B11" s="146" t="s">
        <v>881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3063"/>
      <c r="B12" s="146" t="s">
        <v>947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3063"/>
      <c r="B13" s="146" t="s">
        <v>882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3063"/>
      <c r="B14" s="146" t="s">
        <v>958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3063"/>
      <c r="B15" s="157" t="s">
        <v>504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3063"/>
      <c r="B16" s="146" t="s">
        <v>505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celkem'!AS22</f>
        <v>20000</v>
      </c>
      <c r="H16" s="151"/>
      <c r="I16" s="152"/>
      <c r="J16" s="151"/>
      <c r="K16" s="154">
        <f>+'Výdaje kapitol celkem'!S22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3063"/>
      <c r="B17" s="146" t="s">
        <v>950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celkem'!AG35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3063"/>
      <c r="B18" s="146" t="s">
        <v>951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celkem'!AM35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3063"/>
      <c r="B19" s="146" t="s">
        <v>952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celkem'!AV35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3063"/>
      <c r="B20" s="146" t="s">
        <v>953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celkem'!BQ35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3063"/>
      <c r="B21" s="146" t="s">
        <v>955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celkem'!BT35+'Výdaje kapitol celkem'!CA35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3063"/>
      <c r="B22" s="146" t="s">
        <v>954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celkem'!BW35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3063"/>
      <c r="B23" s="146" t="s">
        <v>151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celkem'!CE35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3063"/>
      <c r="B24" s="146" t="s">
        <v>351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celkem'!CH35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3063"/>
      <c r="B25" s="146" t="s">
        <v>154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celkem'!CR34+'Výdaje kapitol celkem'!CR35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3063"/>
      <c r="B26" s="146" t="s">
        <v>687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celkem'!DB34+'Výdaje kapitol celkem'!DH34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3063"/>
      <c r="B27" s="586" t="s">
        <v>968</v>
      </c>
      <c r="C27" s="587">
        <f t="shared" si="7"/>
        <v>389834.68</v>
      </c>
      <c r="D27" s="588">
        <v>47969.14</v>
      </c>
      <c r="E27" s="589">
        <f t="shared" si="5"/>
        <v>341865.54</v>
      </c>
      <c r="F27" s="590">
        <v>22070.504000000001</v>
      </c>
      <c r="G27" s="590">
        <v>9136.6560000000009</v>
      </c>
      <c r="H27" s="153">
        <v>56183.520000000004</v>
      </c>
      <c r="I27" s="276">
        <v>0</v>
      </c>
      <c r="J27" s="153">
        <v>12542.4</v>
      </c>
      <c r="K27" s="591">
        <v>241932.46</v>
      </c>
      <c r="L27" s="589">
        <f t="shared" si="1"/>
        <v>0</v>
      </c>
      <c r="M27" s="276">
        <v>0</v>
      </c>
      <c r="N27" s="153">
        <v>0</v>
      </c>
      <c r="O27" s="276">
        <v>0</v>
      </c>
      <c r="P27" s="591">
        <v>0</v>
      </c>
      <c r="Q27" s="180"/>
    </row>
    <row r="28" spans="1:17" outlineLevel="1" x14ac:dyDescent="0.25">
      <c r="A28" s="3063"/>
      <c r="B28" s="146" t="s">
        <v>503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celkem'!DE34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272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258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956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935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941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x14ac:dyDescent="0.25">
      <c r="A36" s="163"/>
      <c r="B36" s="182" t="s">
        <v>255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256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257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936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937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938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939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940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493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941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354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3068" t="s">
        <v>234</v>
      </c>
      <c r="B47" s="3069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338</v>
      </c>
      <c r="B48" s="109"/>
      <c r="C48" s="190">
        <f>+C6-'Výdaje kapitol celkem'!U44</f>
        <v>-10434100.140000001</v>
      </c>
      <c r="D48" s="190"/>
      <c r="E48" s="190"/>
      <c r="F48" s="191">
        <f>+C5-'Výdaje kapitol celkem'!U75</f>
        <v>-15297345.460000001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15" customHeight="1" x14ac:dyDescent="0.25">
      <c r="A49" s="125">
        <v>5011</v>
      </c>
      <c r="B49" s="194" t="s">
        <v>64</v>
      </c>
      <c r="C49" s="195">
        <f>+E49+L49+D49</f>
        <v>12705800</v>
      </c>
      <c r="D49" s="578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65</v>
      </c>
      <c r="C50" s="167" t="e">
        <f t="shared" ref="C50:C57" si="16">+E50+L50+D50</f>
        <v>#REF!</v>
      </c>
      <c r="D50" s="579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254</v>
      </c>
      <c r="C51" s="167">
        <f t="shared" si="16"/>
        <v>0</v>
      </c>
      <c r="D51" s="579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723</v>
      </c>
      <c r="C52" s="167" t="e">
        <f>+E52+L52+D52</f>
        <v>#REF!</v>
      </c>
      <c r="D52" s="579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66</v>
      </c>
      <c r="C53" s="167">
        <f t="shared" si="16"/>
        <v>0</v>
      </c>
      <c r="D53" s="579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67</v>
      </c>
      <c r="C54" s="167">
        <f t="shared" si="16"/>
        <v>3176450</v>
      </c>
      <c r="D54" s="579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68</v>
      </c>
      <c r="C55" s="167">
        <f t="shared" si="16"/>
        <v>1143522</v>
      </c>
      <c r="D55" s="579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81"/>
      <c r="B56" s="384" t="s">
        <v>968</v>
      </c>
      <c r="C56" s="173" t="e">
        <f t="shared" si="16"/>
        <v>#REF!</v>
      </c>
      <c r="D56" s="582">
        <f>+(D49+D50+D54+D55)*0.02</f>
        <v>48754.200000000004</v>
      </c>
      <c r="E56" s="175" t="e">
        <f t="shared" si="17"/>
        <v>#REF!</v>
      </c>
      <c r="F56" s="583">
        <f>+(F49+F50+F54+F55)*0.02</f>
        <v>21805.703999999998</v>
      </c>
      <c r="G56" s="583" t="e">
        <f t="shared" ref="G56:K56" si="22">+(G49+G50+G54+G55)*0.02</f>
        <v>#REF!</v>
      </c>
      <c r="H56" s="370" t="e">
        <f t="shared" si="22"/>
        <v>#REF!</v>
      </c>
      <c r="I56" s="584" t="e">
        <f t="shared" si="22"/>
        <v>#REF!</v>
      </c>
      <c r="J56" s="370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5"/>
      <c r="N56" s="241">
        <f t="shared" ref="N56:P56" si="23">+(N49+N50+N54+N55)*0.02</f>
        <v>49522.6296</v>
      </c>
      <c r="O56" s="371">
        <f t="shared" si="23"/>
        <v>23637.117599999998</v>
      </c>
      <c r="P56" s="439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69</v>
      </c>
      <c r="C57" s="167">
        <f t="shared" si="16"/>
        <v>49706.26</v>
      </c>
      <c r="D57" s="579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578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945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267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966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881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947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882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341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342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957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343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344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496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548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345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549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550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551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883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884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885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886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887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888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889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890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891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892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893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894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895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896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ht="27" x14ac:dyDescent="0.25">
      <c r="A101" s="222">
        <v>5163</v>
      </c>
      <c r="B101" s="205" t="s">
        <v>897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960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898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959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899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900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901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902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903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904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905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906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907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908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909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910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911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912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913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914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915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916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917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918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919</v>
      </c>
      <c r="B130" s="205" t="s">
        <v>920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921</v>
      </c>
      <c r="B131" s="205" t="s">
        <v>922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923</v>
      </c>
      <c r="B132" s="205" t="s">
        <v>924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925</v>
      </c>
      <c r="B133" s="205" t="s">
        <v>926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927</v>
      </c>
      <c r="B134" s="205" t="s">
        <v>928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929</v>
      </c>
      <c r="B135" s="205" t="s">
        <v>930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931</v>
      </c>
      <c r="B136" s="205" t="s">
        <v>932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933</v>
      </c>
      <c r="B137" s="205" t="s">
        <v>934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47" t="s">
        <v>347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3059" t="s">
        <v>580</v>
      </c>
      <c r="B142" s="3060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3059" t="s">
        <v>127</v>
      </c>
      <c r="B143" s="3060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83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544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31"/>
  <sheetViews>
    <sheetView topLeftCell="D72" zoomScale="84" zoomScaleNormal="84" workbookViewId="0">
      <selection activeCell="O120" sqref="O120"/>
    </sheetView>
  </sheetViews>
  <sheetFormatPr defaultColWidth="9" defaultRowHeight="13.5" x14ac:dyDescent="0.25"/>
  <cols>
    <col min="1" max="1" width="6.5703125" style="925" customWidth="1"/>
    <col min="2" max="2" width="16" style="911" customWidth="1"/>
    <col min="3" max="3" width="17.28515625" style="911" bestFit="1" customWidth="1"/>
    <col min="4" max="4" width="14.28515625" style="911" bestFit="1" customWidth="1"/>
    <col min="5" max="5" width="13.85546875" style="911" bestFit="1" customWidth="1"/>
    <col min="6" max="6" width="14.28515625" style="910" bestFit="1" customWidth="1"/>
    <col min="7" max="7" width="12.5703125" style="911" bestFit="1" customWidth="1"/>
    <col min="8" max="8" width="14.5703125" style="911" customWidth="1"/>
    <col min="9" max="9" width="13.7109375" style="911" customWidth="1"/>
    <col min="10" max="10" width="14.7109375" style="910" customWidth="1"/>
    <col min="11" max="11" width="13" style="911" bestFit="1" customWidth="1"/>
    <col min="12" max="12" width="13.85546875" style="911" bestFit="1" customWidth="1"/>
    <col min="13" max="13" width="12.85546875" style="911" customWidth="1"/>
    <col min="14" max="14" width="13" style="911" customWidth="1"/>
    <col min="15" max="15" width="17.28515625" style="925" customWidth="1"/>
    <col min="16" max="16" width="22.28515625" style="909" bestFit="1" customWidth="1"/>
    <col min="17" max="17" width="14.5703125" style="910" bestFit="1" customWidth="1"/>
    <col min="18" max="18" width="11.28515625" style="911" bestFit="1" customWidth="1"/>
    <col min="19" max="19" width="14.28515625" style="910" bestFit="1" customWidth="1"/>
    <col min="20" max="20" width="9" style="911"/>
    <col min="21" max="21" width="12" style="911" bestFit="1" customWidth="1"/>
    <col min="22" max="16384" width="9" style="911"/>
  </cols>
  <sheetData>
    <row r="2" spans="1:19" s="923" customFormat="1" ht="19.5" x14ac:dyDescent="0.35">
      <c r="A2" s="1672" t="s">
        <v>858</v>
      </c>
      <c r="B2" s="1673"/>
      <c r="C2" s="1673"/>
      <c r="D2" s="1674"/>
      <c r="E2" s="1674"/>
      <c r="F2" s="1675"/>
      <c r="G2" s="1674"/>
      <c r="H2" s="1674"/>
      <c r="I2" s="1674"/>
      <c r="J2" s="1675"/>
      <c r="K2" s="1674"/>
      <c r="L2" s="1674"/>
      <c r="M2" s="1674"/>
      <c r="N2" s="1674"/>
      <c r="O2" s="1676"/>
      <c r="P2" s="921" t="s">
        <v>869</v>
      </c>
      <c r="Q2" s="922"/>
      <c r="S2" s="922"/>
    </row>
    <row r="3" spans="1:19" x14ac:dyDescent="0.25">
      <c r="A3" s="912"/>
      <c r="B3" s="913"/>
      <c r="C3" s="913"/>
      <c r="D3" s="913"/>
      <c r="E3" s="913"/>
      <c r="F3" s="914"/>
      <c r="G3" s="913"/>
      <c r="H3" s="913"/>
      <c r="I3" s="913"/>
      <c r="J3" s="914"/>
      <c r="K3" s="913"/>
      <c r="L3" s="913"/>
      <c r="M3" s="913"/>
      <c r="N3" s="913"/>
      <c r="O3" s="912"/>
    </row>
    <row r="4" spans="1:19" x14ac:dyDescent="0.25">
      <c r="A4" s="912"/>
      <c r="B4" s="913"/>
      <c r="C4" s="913">
        <v>1</v>
      </c>
      <c r="D4" s="913">
        <v>2</v>
      </c>
      <c r="E4" s="913">
        <v>3</v>
      </c>
      <c r="F4" s="914">
        <v>4</v>
      </c>
      <c r="G4" s="913">
        <v>5</v>
      </c>
      <c r="H4" s="913">
        <v>6</v>
      </c>
      <c r="I4" s="913">
        <v>7</v>
      </c>
      <c r="J4" s="914">
        <v>8</v>
      </c>
      <c r="K4" s="913">
        <v>9</v>
      </c>
      <c r="L4" s="913">
        <v>10</v>
      </c>
      <c r="M4" s="913">
        <v>11</v>
      </c>
      <c r="N4" s="913">
        <v>12</v>
      </c>
      <c r="O4" s="912" t="s">
        <v>598</v>
      </c>
    </row>
    <row r="5" spans="1:19" x14ac:dyDescent="0.25">
      <c r="A5" s="912">
        <v>1111</v>
      </c>
      <c r="B5" s="913" t="s">
        <v>859</v>
      </c>
      <c r="C5" s="914">
        <v>1591973.52</v>
      </c>
      <c r="D5" s="914">
        <v>1388172.89</v>
      </c>
      <c r="E5" s="914">
        <v>1204634.68</v>
      </c>
      <c r="F5" s="914">
        <v>888886.56</v>
      </c>
      <c r="G5" s="914">
        <v>1159538.94</v>
      </c>
      <c r="H5" s="914">
        <v>1465101.48</v>
      </c>
      <c r="I5" s="914">
        <v>1370316.36</v>
      </c>
      <c r="J5" s="914">
        <v>1403711.47</v>
      </c>
      <c r="K5" s="914">
        <v>1619208.44</v>
      </c>
      <c r="L5" s="914">
        <v>1397238.72</v>
      </c>
      <c r="M5" s="914">
        <v>1562251.76</v>
      </c>
      <c r="N5" s="914">
        <v>1880460.08</v>
      </c>
      <c r="O5" s="915">
        <f t="shared" ref="O5:O11" si="0">SUM(C5:N5)</f>
        <v>16931494.899999999</v>
      </c>
    </row>
    <row r="6" spans="1:19" x14ac:dyDescent="0.25">
      <c r="A6" s="912">
        <v>1112</v>
      </c>
      <c r="B6" s="913" t="s">
        <v>859</v>
      </c>
      <c r="C6" s="914">
        <v>122982.94</v>
      </c>
      <c r="D6" s="914">
        <v>0</v>
      </c>
      <c r="E6" s="914">
        <v>0</v>
      </c>
      <c r="F6" s="914">
        <v>21124.75</v>
      </c>
      <c r="G6" s="914">
        <v>0</v>
      </c>
      <c r="H6" s="914">
        <v>60618.63</v>
      </c>
      <c r="I6" s="914">
        <v>170162.62</v>
      </c>
      <c r="J6" s="914">
        <v>104415.87</v>
      </c>
      <c r="K6" s="914">
        <v>530807.64</v>
      </c>
      <c r="L6" s="914">
        <v>100397.04</v>
      </c>
      <c r="M6" s="914">
        <v>85554.97</v>
      </c>
      <c r="N6" s="914">
        <v>988044.91</v>
      </c>
      <c r="O6" s="915">
        <f t="shared" si="0"/>
        <v>2184109.37</v>
      </c>
    </row>
    <row r="7" spans="1:19" ht="16.5" x14ac:dyDescent="0.3">
      <c r="A7" s="912">
        <v>1113</v>
      </c>
      <c r="B7" s="913" t="s">
        <v>859</v>
      </c>
      <c r="C7" s="914">
        <v>0</v>
      </c>
      <c r="D7" s="916">
        <v>189531.42</v>
      </c>
      <c r="E7" s="914">
        <v>97195</v>
      </c>
      <c r="F7" s="914">
        <v>241947.47</v>
      </c>
      <c r="G7" s="914">
        <v>111299.71</v>
      </c>
      <c r="H7" s="914">
        <v>74476.289999999994</v>
      </c>
      <c r="I7" s="914">
        <v>0</v>
      </c>
      <c r="J7" s="914">
        <v>60882.59</v>
      </c>
      <c r="K7" s="914">
        <v>217585.85</v>
      </c>
      <c r="L7" s="914">
        <v>94901.95</v>
      </c>
      <c r="M7" s="914">
        <v>62044.31</v>
      </c>
      <c r="N7" s="914">
        <v>54914.79</v>
      </c>
      <c r="O7" s="915">
        <f t="shared" si="0"/>
        <v>1204779.3800000001</v>
      </c>
    </row>
    <row r="8" spans="1:19" x14ac:dyDescent="0.25">
      <c r="A8" s="912">
        <v>1121</v>
      </c>
      <c r="B8" s="913" t="s">
        <v>860</v>
      </c>
      <c r="C8" s="914">
        <v>577223.49</v>
      </c>
      <c r="D8" s="914">
        <v>129111.67999999999</v>
      </c>
      <c r="E8" s="914">
        <v>3929344.62</v>
      </c>
      <c r="F8" s="914">
        <v>953034.83</v>
      </c>
      <c r="G8" s="914">
        <v>32479.77</v>
      </c>
      <c r="H8" s="914">
        <v>2981359.98</v>
      </c>
      <c r="I8" s="914">
        <v>3417029.22</v>
      </c>
      <c r="J8" s="914">
        <v>0</v>
      </c>
      <c r="K8" s="914">
        <v>2918198.5</v>
      </c>
      <c r="L8" s="914">
        <v>900921.37</v>
      </c>
      <c r="M8" s="914">
        <v>113518.63</v>
      </c>
      <c r="N8" s="914">
        <v>3138736.76</v>
      </c>
      <c r="O8" s="915">
        <f t="shared" si="0"/>
        <v>19090958.850000001</v>
      </c>
    </row>
    <row r="9" spans="1:19" x14ac:dyDescent="0.25">
      <c r="A9" s="912">
        <v>1211</v>
      </c>
      <c r="B9" s="913" t="s">
        <v>861</v>
      </c>
      <c r="C9" s="914">
        <v>2675134.29</v>
      </c>
      <c r="D9" s="914">
        <v>3683518.98</v>
      </c>
      <c r="E9" s="914">
        <v>1180811.78</v>
      </c>
      <c r="F9" s="914">
        <v>2223444.0499999998</v>
      </c>
      <c r="G9" s="914">
        <v>3139389.11</v>
      </c>
      <c r="H9" s="914">
        <v>2218744.1</v>
      </c>
      <c r="I9" s="914">
        <v>2432168.4300000002</v>
      </c>
      <c r="J9" s="914">
        <v>3632832.3</v>
      </c>
      <c r="K9" s="914">
        <v>2323232.9300000002</v>
      </c>
      <c r="L9" s="914">
        <v>2785012.24</v>
      </c>
      <c r="M9" s="914">
        <v>3751724.71</v>
      </c>
      <c r="N9" s="914">
        <v>2825026.03</v>
      </c>
      <c r="O9" s="915">
        <f t="shared" si="0"/>
        <v>32871038.950000003</v>
      </c>
      <c r="P9" s="909">
        <f>SUM(O5:O9)</f>
        <v>72282381.450000003</v>
      </c>
    </row>
    <row r="10" spans="1:19" x14ac:dyDescent="0.25">
      <c r="A10" s="912">
        <v>1511</v>
      </c>
      <c r="B10" s="913" t="s">
        <v>862</v>
      </c>
      <c r="C10" s="914">
        <v>49662.720000000001</v>
      </c>
      <c r="D10" s="914">
        <v>4221.21</v>
      </c>
      <c r="E10" s="914">
        <v>1074.99</v>
      </c>
      <c r="F10" s="914">
        <v>44488.31</v>
      </c>
      <c r="G10" s="914">
        <v>2123.1</v>
      </c>
      <c r="H10" s="914">
        <v>4941035.25</v>
      </c>
      <c r="I10" s="914">
        <v>563771.05000000005</v>
      </c>
      <c r="J10" s="914">
        <v>69386.34</v>
      </c>
      <c r="K10" s="914">
        <v>35258.92</v>
      </c>
      <c r="L10" s="914">
        <v>33905.56</v>
      </c>
      <c r="M10" s="914">
        <v>5677.74</v>
      </c>
      <c r="N10" s="914">
        <v>1387678.5</v>
      </c>
      <c r="O10" s="915">
        <f t="shared" si="0"/>
        <v>7138283.6899999995</v>
      </c>
    </row>
    <row r="11" spans="1:19" s="923" customFormat="1" x14ac:dyDescent="0.25">
      <c r="A11" s="917"/>
      <c r="B11" s="918" t="s">
        <v>863</v>
      </c>
      <c r="C11" s="919">
        <f t="shared" ref="C11:N11" si="1">SUM(C5:C10)</f>
        <v>5016976.96</v>
      </c>
      <c r="D11" s="919">
        <f t="shared" si="1"/>
        <v>5394556.1799999997</v>
      </c>
      <c r="E11" s="919">
        <f t="shared" si="1"/>
        <v>6413061.0700000003</v>
      </c>
      <c r="F11" s="919">
        <f t="shared" si="1"/>
        <v>4372925.97</v>
      </c>
      <c r="G11" s="919">
        <f t="shared" si="1"/>
        <v>4444830.629999999</v>
      </c>
      <c r="H11" s="919">
        <f t="shared" si="1"/>
        <v>11741335.73</v>
      </c>
      <c r="I11" s="919">
        <f t="shared" si="1"/>
        <v>7953447.6800000006</v>
      </c>
      <c r="J11" s="919">
        <f t="shared" si="1"/>
        <v>5271228.5699999994</v>
      </c>
      <c r="K11" s="919">
        <f t="shared" si="1"/>
        <v>7644292.2799999993</v>
      </c>
      <c r="L11" s="919">
        <f t="shared" si="1"/>
        <v>5312376.88</v>
      </c>
      <c r="M11" s="919">
        <f t="shared" si="1"/>
        <v>5580772.1200000001</v>
      </c>
      <c r="N11" s="919">
        <f t="shared" si="1"/>
        <v>10274861.07</v>
      </c>
      <c r="O11" s="920">
        <f t="shared" si="0"/>
        <v>79420665.140000015</v>
      </c>
      <c r="P11" s="921"/>
      <c r="Q11" s="922">
        <f>SUM(C11:G11)</f>
        <v>25642350.809999999</v>
      </c>
      <c r="S11" s="922"/>
    </row>
    <row r="14" spans="1:19" s="923" customFormat="1" ht="19.5" x14ac:dyDescent="0.35">
      <c r="A14" s="1672" t="s">
        <v>864</v>
      </c>
      <c r="B14" s="1673"/>
      <c r="C14" s="1673"/>
      <c r="D14" s="1674"/>
      <c r="E14" s="1674"/>
      <c r="F14" s="1675"/>
      <c r="G14" s="1674"/>
      <c r="H14" s="1674"/>
      <c r="I14" s="1674"/>
      <c r="J14" s="1675"/>
      <c r="K14" s="1674"/>
      <c r="L14" s="1674"/>
      <c r="M14" s="1674"/>
      <c r="N14" s="1674"/>
      <c r="O14" s="1676"/>
      <c r="P14" s="921"/>
      <c r="Q14" s="922"/>
      <c r="S14" s="922"/>
    </row>
    <row r="15" spans="1:19" x14ac:dyDescent="0.25">
      <c r="A15" s="912"/>
      <c r="B15" s="913"/>
      <c r="C15" s="913"/>
      <c r="D15" s="913"/>
      <c r="E15" s="913"/>
      <c r="F15" s="914"/>
      <c r="G15" s="913"/>
      <c r="H15" s="913"/>
      <c r="I15" s="913"/>
      <c r="J15" s="914"/>
      <c r="K15" s="913"/>
      <c r="L15" s="913"/>
      <c r="M15" s="913"/>
      <c r="N15" s="913"/>
      <c r="O15" s="912"/>
    </row>
    <row r="16" spans="1:19" x14ac:dyDescent="0.25">
      <c r="A16" s="912"/>
      <c r="B16" s="913"/>
      <c r="C16" s="913">
        <v>1</v>
      </c>
      <c r="D16" s="913">
        <v>2</v>
      </c>
      <c r="E16" s="913">
        <v>3</v>
      </c>
      <c r="F16" s="914">
        <v>4</v>
      </c>
      <c r="G16" s="913">
        <v>5</v>
      </c>
      <c r="H16" s="913">
        <v>6</v>
      </c>
      <c r="I16" s="913">
        <v>7</v>
      </c>
      <c r="J16" s="914">
        <v>8</v>
      </c>
      <c r="K16" s="913">
        <v>9</v>
      </c>
      <c r="L16" s="913">
        <v>10</v>
      </c>
      <c r="M16" s="913">
        <v>11</v>
      </c>
      <c r="N16" s="913">
        <v>12</v>
      </c>
      <c r="O16" s="912" t="s">
        <v>598</v>
      </c>
    </row>
    <row r="17" spans="1:19" x14ac:dyDescent="0.25">
      <c r="A17" s="912">
        <v>1111</v>
      </c>
      <c r="B17" s="913" t="s">
        <v>859</v>
      </c>
      <c r="C17" s="914">
        <v>1595317.86</v>
      </c>
      <c r="D17" s="914">
        <v>1618140.2</v>
      </c>
      <c r="E17" s="914">
        <v>1308358.03</v>
      </c>
      <c r="F17" s="914">
        <v>1153036.8799999999</v>
      </c>
      <c r="G17" s="914">
        <v>1424911.3600000001</v>
      </c>
      <c r="H17" s="914">
        <v>1690711.15</v>
      </c>
      <c r="I17" s="914">
        <v>1642781.83</v>
      </c>
      <c r="J17" s="914">
        <v>1673546</v>
      </c>
      <c r="K17" s="914">
        <v>1677915</v>
      </c>
      <c r="L17" s="914">
        <v>1501382</v>
      </c>
      <c r="M17" s="914">
        <v>1783042</v>
      </c>
      <c r="N17" s="914">
        <v>1967463</v>
      </c>
      <c r="O17" s="915">
        <f t="shared" ref="O17:O23" si="2">SUM(C17:N17)</f>
        <v>19036605.310000002</v>
      </c>
    </row>
    <row r="18" spans="1:19" x14ac:dyDescent="0.25">
      <c r="A18" s="912">
        <v>1112</v>
      </c>
      <c r="B18" s="913" t="s">
        <v>859</v>
      </c>
      <c r="C18" s="914">
        <v>49333.16</v>
      </c>
      <c r="D18" s="914">
        <v>20069.939999999999</v>
      </c>
      <c r="E18" s="914">
        <v>49786.54</v>
      </c>
      <c r="F18" s="914">
        <v>0</v>
      </c>
      <c r="G18" s="914">
        <v>0</v>
      </c>
      <c r="H18" s="914">
        <v>0</v>
      </c>
      <c r="I18" s="914">
        <v>84463.33</v>
      </c>
      <c r="J18" s="914">
        <v>0</v>
      </c>
      <c r="K18" s="914">
        <v>73533</v>
      </c>
      <c r="L18" s="914">
        <v>33631</v>
      </c>
      <c r="M18" s="914">
        <v>23891</v>
      </c>
      <c r="N18" s="914">
        <v>166831</v>
      </c>
      <c r="O18" s="915">
        <f t="shared" si="2"/>
        <v>501538.97000000003</v>
      </c>
    </row>
    <row r="19" spans="1:19" x14ac:dyDescent="0.25">
      <c r="A19" s="912">
        <v>1113</v>
      </c>
      <c r="B19" s="913" t="s">
        <v>859</v>
      </c>
      <c r="C19" s="914">
        <v>131768.54999999999</v>
      </c>
      <c r="D19" s="914">
        <v>169263.99</v>
      </c>
      <c r="E19" s="914">
        <v>90505.47</v>
      </c>
      <c r="F19" s="914">
        <v>104757.35</v>
      </c>
      <c r="G19" s="914">
        <v>120861.15</v>
      </c>
      <c r="H19" s="914">
        <v>150228.47</v>
      </c>
      <c r="I19" s="914">
        <v>169161.35</v>
      </c>
      <c r="J19" s="914">
        <v>173670</v>
      </c>
      <c r="K19" s="914">
        <v>196330</v>
      </c>
      <c r="L19" s="914">
        <v>155041</v>
      </c>
      <c r="M19" s="914">
        <v>143777</v>
      </c>
      <c r="N19" s="914">
        <v>127811</v>
      </c>
      <c r="O19" s="915">
        <f t="shared" si="2"/>
        <v>1733175.33</v>
      </c>
    </row>
    <row r="20" spans="1:19" x14ac:dyDescent="0.25">
      <c r="A20" s="912">
        <v>1121</v>
      </c>
      <c r="B20" s="913" t="s">
        <v>860</v>
      </c>
      <c r="C20" s="914">
        <v>449044.62</v>
      </c>
      <c r="D20" s="914">
        <v>160582.79999999999</v>
      </c>
      <c r="E20" s="914">
        <v>3967985.88</v>
      </c>
      <c r="F20" s="914">
        <v>1007607.03</v>
      </c>
      <c r="G20" s="914">
        <v>10926.26</v>
      </c>
      <c r="H20" s="914">
        <v>3336568.47</v>
      </c>
      <c r="I20" s="914">
        <v>3381127.06</v>
      </c>
      <c r="J20" s="914">
        <v>0</v>
      </c>
      <c r="K20" s="914">
        <v>2605416</v>
      </c>
      <c r="L20" s="914">
        <v>926622</v>
      </c>
      <c r="M20" s="914">
        <v>191178</v>
      </c>
      <c r="N20" s="914">
        <v>3294143</v>
      </c>
      <c r="O20" s="915">
        <f t="shared" si="2"/>
        <v>19331201.120000001</v>
      </c>
    </row>
    <row r="21" spans="1:19" x14ac:dyDescent="0.25">
      <c r="A21" s="912">
        <v>1211</v>
      </c>
      <c r="B21" s="913" t="s">
        <v>861</v>
      </c>
      <c r="C21" s="914">
        <v>3211312.81</v>
      </c>
      <c r="D21" s="914">
        <v>4054190.36</v>
      </c>
      <c r="E21" s="914">
        <v>1771359.41</v>
      </c>
      <c r="F21" s="914">
        <v>2169593.98</v>
      </c>
      <c r="G21" s="914">
        <v>4094007.18</v>
      </c>
      <c r="H21" s="914">
        <v>2396601.79</v>
      </c>
      <c r="I21" s="914">
        <v>3164409.58</v>
      </c>
      <c r="J21" s="914">
        <v>3976303</v>
      </c>
      <c r="K21" s="914">
        <v>2106576</v>
      </c>
      <c r="L21" s="914">
        <v>3142075</v>
      </c>
      <c r="M21" s="914">
        <v>4043377</v>
      </c>
      <c r="N21" s="914">
        <v>3285197</v>
      </c>
      <c r="O21" s="915">
        <f t="shared" si="2"/>
        <v>37415003.109999999</v>
      </c>
      <c r="P21" s="909">
        <f>SUM(O17:O21)</f>
        <v>78017523.840000004</v>
      </c>
    </row>
    <row r="22" spans="1:19" x14ac:dyDescent="0.25">
      <c r="A22" s="912">
        <v>1511</v>
      </c>
      <c r="B22" s="913" t="s">
        <v>862</v>
      </c>
      <c r="C22" s="914">
        <v>54410.9</v>
      </c>
      <c r="D22" s="914">
        <v>5407.04</v>
      </c>
      <c r="E22" s="914">
        <v>2640.7</v>
      </c>
      <c r="F22" s="914">
        <v>9896</v>
      </c>
      <c r="G22" s="914">
        <v>17053.3</v>
      </c>
      <c r="H22" s="914">
        <v>5164884.5599999996</v>
      </c>
      <c r="I22" s="914">
        <v>267076.09999999998</v>
      </c>
      <c r="J22" s="914">
        <v>144951</v>
      </c>
      <c r="K22" s="924">
        <v>0</v>
      </c>
      <c r="L22" s="924">
        <v>0</v>
      </c>
      <c r="M22" s="924">
        <v>0</v>
      </c>
      <c r="N22" s="914">
        <v>1025913</v>
      </c>
      <c r="O22" s="915">
        <f t="shared" si="2"/>
        <v>6692232.5999999996</v>
      </c>
    </row>
    <row r="23" spans="1:19" s="923" customFormat="1" x14ac:dyDescent="0.25">
      <c r="A23" s="917"/>
      <c r="B23" s="918" t="s">
        <v>863</v>
      </c>
      <c r="C23" s="919">
        <f t="shared" ref="C23:I23" si="3">SUM(C17:C22)</f>
        <v>5491187.9000000004</v>
      </c>
      <c r="D23" s="919">
        <f t="shared" si="3"/>
        <v>6027654.3300000001</v>
      </c>
      <c r="E23" s="919">
        <f t="shared" si="3"/>
        <v>7190636.0300000003</v>
      </c>
      <c r="F23" s="919">
        <f t="shared" si="3"/>
        <v>4444891.24</v>
      </c>
      <c r="G23" s="919">
        <f t="shared" si="3"/>
        <v>5667759.25</v>
      </c>
      <c r="H23" s="919">
        <f t="shared" si="3"/>
        <v>12738994.439999999</v>
      </c>
      <c r="I23" s="919">
        <f t="shared" si="3"/>
        <v>8709019.25</v>
      </c>
      <c r="J23" s="919">
        <f>SUM(J17:J22)</f>
        <v>5968470</v>
      </c>
      <c r="K23" s="919">
        <f>SUM(K17:K22)</f>
        <v>6659770</v>
      </c>
      <c r="L23" s="919">
        <f>SUM(L17:L22)</f>
        <v>5758751</v>
      </c>
      <c r="M23" s="919">
        <f>SUM(M17:M22)</f>
        <v>6185265</v>
      </c>
      <c r="N23" s="919">
        <f>SUM(N17:N22)</f>
        <v>9867358</v>
      </c>
      <c r="O23" s="920">
        <f t="shared" si="2"/>
        <v>84709756.439999998</v>
      </c>
      <c r="P23" s="921">
        <f>+Q23/Q11*O11</f>
        <v>89269219.231765032</v>
      </c>
      <c r="Q23" s="922">
        <f>SUM(C23:G23)</f>
        <v>28822128.75</v>
      </c>
      <c r="S23" s="922"/>
    </row>
    <row r="24" spans="1:19" x14ac:dyDescent="0.25">
      <c r="O24" s="909">
        <f>+O23-O11</f>
        <v>5289091.2999999821</v>
      </c>
    </row>
    <row r="25" spans="1:19" x14ac:dyDescent="0.25">
      <c r="P25" s="909">
        <f>+P21-P9</f>
        <v>5735142.3900000006</v>
      </c>
    </row>
    <row r="26" spans="1:19" s="923" customFormat="1" ht="19.5" x14ac:dyDescent="0.35">
      <c r="A26" s="1672" t="s">
        <v>865</v>
      </c>
      <c r="B26" s="1673"/>
      <c r="C26" s="1673"/>
      <c r="D26" s="1674"/>
      <c r="E26" s="1674"/>
      <c r="F26" s="1675"/>
      <c r="G26" s="1674"/>
      <c r="H26" s="1674"/>
      <c r="I26" s="1674"/>
      <c r="J26" s="1675"/>
      <c r="K26" s="1674"/>
      <c r="L26" s="1674"/>
      <c r="M26" s="1674"/>
      <c r="N26" s="1674"/>
      <c r="O26" s="1676"/>
      <c r="P26" s="921"/>
      <c r="Q26" s="922"/>
      <c r="S26" s="922"/>
    </row>
    <row r="27" spans="1:19" ht="15.75" x14ac:dyDescent="0.3">
      <c r="A27" s="912"/>
      <c r="B27" s="913"/>
      <c r="C27" s="913"/>
      <c r="D27" s="913"/>
      <c r="E27" s="913"/>
      <c r="F27" s="914"/>
      <c r="G27" s="913"/>
      <c r="H27" s="913"/>
      <c r="I27" s="913"/>
      <c r="J27" s="914"/>
      <c r="K27" s="913"/>
      <c r="L27" s="913"/>
      <c r="M27" s="913"/>
      <c r="N27" s="913"/>
      <c r="O27" s="926" t="s">
        <v>866</v>
      </c>
    </row>
    <row r="28" spans="1:19" x14ac:dyDescent="0.25">
      <c r="A28" s="912"/>
      <c r="B28" s="913"/>
      <c r="C28" s="913">
        <v>1</v>
      </c>
      <c r="D28" s="913">
        <v>2</v>
      </c>
      <c r="E28" s="913">
        <v>3</v>
      </c>
      <c r="F28" s="914">
        <v>4</v>
      </c>
      <c r="G28" s="913">
        <v>5</v>
      </c>
      <c r="H28" s="913">
        <v>6</v>
      </c>
      <c r="I28" s="913">
        <v>7</v>
      </c>
      <c r="J28" s="914">
        <v>8</v>
      </c>
      <c r="K28" s="913">
        <v>9</v>
      </c>
      <c r="L28" s="913">
        <v>10</v>
      </c>
      <c r="M28" s="913">
        <v>11</v>
      </c>
      <c r="N28" s="913">
        <v>12</v>
      </c>
      <c r="O28" s="912" t="s">
        <v>598</v>
      </c>
    </row>
    <row r="29" spans="1:19" x14ac:dyDescent="0.25">
      <c r="A29" s="912">
        <v>1111</v>
      </c>
      <c r="B29" s="913" t="s">
        <v>859</v>
      </c>
      <c r="C29" s="914">
        <v>1885091</v>
      </c>
      <c r="D29" s="914">
        <v>1864557</v>
      </c>
      <c r="E29" s="914">
        <v>1542797</v>
      </c>
      <c r="F29" s="914">
        <v>1300587</v>
      </c>
      <c r="G29" s="914">
        <v>1721366</v>
      </c>
      <c r="H29" s="914">
        <v>1988236</v>
      </c>
      <c r="I29" s="914">
        <v>1843543</v>
      </c>
      <c r="J29" s="914">
        <v>2029526</v>
      </c>
      <c r="K29" s="914">
        <v>1999005</v>
      </c>
      <c r="L29" s="914">
        <v>1901175</v>
      </c>
      <c r="M29" s="914">
        <v>1966740</v>
      </c>
      <c r="N29" s="914">
        <v>2207207.0299999998</v>
      </c>
      <c r="O29" s="915">
        <f t="shared" ref="O29:O35" si="4">SUM(C29:N29)</f>
        <v>22249830.030000001</v>
      </c>
      <c r="Q29" s="922">
        <f>SUM(C29:N29)</f>
        <v>22249830.030000001</v>
      </c>
      <c r="S29" s="910">
        <f>SUM(C29:N29)</f>
        <v>22249830.030000001</v>
      </c>
    </row>
    <row r="30" spans="1:19" x14ac:dyDescent="0.25">
      <c r="A30" s="912">
        <v>1112</v>
      </c>
      <c r="B30" s="913" t="s">
        <v>859</v>
      </c>
      <c r="C30" s="914">
        <v>43685</v>
      </c>
      <c r="D30" s="914">
        <v>22690</v>
      </c>
      <c r="E30" s="914">
        <v>65386</v>
      </c>
      <c r="F30" s="914">
        <v>0</v>
      </c>
      <c r="G30" s="914">
        <v>0</v>
      </c>
      <c r="H30" s="914">
        <v>0</v>
      </c>
      <c r="I30" s="914">
        <v>40310</v>
      </c>
      <c r="J30" s="914">
        <v>0</v>
      </c>
      <c r="K30" s="914">
        <v>81979</v>
      </c>
      <c r="L30" s="914">
        <v>36683</v>
      </c>
      <c r="M30" s="914">
        <v>33441</v>
      </c>
      <c r="N30" s="914">
        <v>172150</v>
      </c>
      <c r="O30" s="915">
        <f t="shared" si="4"/>
        <v>496324</v>
      </c>
      <c r="Q30" s="922">
        <f t="shared" ref="Q30:Q34" si="5">SUM(C30:N30)</f>
        <v>496324</v>
      </c>
      <c r="S30" s="910">
        <f t="shared" ref="S30:S33" si="6">SUM(C30:N30)</f>
        <v>496324</v>
      </c>
    </row>
    <row r="31" spans="1:19" x14ac:dyDescent="0.25">
      <c r="A31" s="912">
        <v>1113</v>
      </c>
      <c r="B31" s="913" t="s">
        <v>859</v>
      </c>
      <c r="C31" s="914">
        <v>123700</v>
      </c>
      <c r="D31" s="914">
        <v>184881</v>
      </c>
      <c r="E31" s="914">
        <v>103538</v>
      </c>
      <c r="F31" s="914">
        <v>123308</v>
      </c>
      <c r="G31" s="914">
        <v>146049</v>
      </c>
      <c r="H31" s="914">
        <v>170979</v>
      </c>
      <c r="I31" s="914">
        <v>211495</v>
      </c>
      <c r="J31" s="914">
        <v>217869</v>
      </c>
      <c r="K31" s="914">
        <v>218784</v>
      </c>
      <c r="L31" s="914">
        <v>196582</v>
      </c>
      <c r="M31" s="914">
        <v>167068</v>
      </c>
      <c r="N31" s="914">
        <v>149223</v>
      </c>
      <c r="O31" s="915">
        <f t="shared" si="4"/>
        <v>2013476</v>
      </c>
      <c r="Q31" s="922">
        <f t="shared" si="5"/>
        <v>2013476</v>
      </c>
      <c r="S31" s="910">
        <f t="shared" si="6"/>
        <v>2013476</v>
      </c>
    </row>
    <row r="32" spans="1:19" x14ac:dyDescent="0.25">
      <c r="A32" s="912">
        <v>1121</v>
      </c>
      <c r="B32" s="913" t="s">
        <v>860</v>
      </c>
      <c r="C32" s="914">
        <v>497847</v>
      </c>
      <c r="D32" s="914">
        <v>101835</v>
      </c>
      <c r="E32" s="914">
        <v>4115502</v>
      </c>
      <c r="F32" s="914">
        <v>1084435</v>
      </c>
      <c r="G32" s="914">
        <v>8844</v>
      </c>
      <c r="H32" s="914">
        <v>3576108</v>
      </c>
      <c r="I32" s="914">
        <v>3544176</v>
      </c>
      <c r="J32" s="914">
        <v>0</v>
      </c>
      <c r="K32" s="914">
        <v>1687374</v>
      </c>
      <c r="L32" s="914">
        <v>1783135</v>
      </c>
      <c r="M32" s="914">
        <v>134977</v>
      </c>
      <c r="N32" s="914">
        <v>2740712</v>
      </c>
      <c r="O32" s="915">
        <f t="shared" si="4"/>
        <v>19274945</v>
      </c>
      <c r="Q32" s="922">
        <f t="shared" si="5"/>
        <v>19274945</v>
      </c>
      <c r="S32" s="910">
        <f t="shared" si="6"/>
        <v>19274945</v>
      </c>
    </row>
    <row r="33" spans="1:20" x14ac:dyDescent="0.25">
      <c r="A33" s="912">
        <v>1211</v>
      </c>
      <c r="B33" s="913" t="s">
        <v>861</v>
      </c>
      <c r="C33" s="914">
        <v>3530714</v>
      </c>
      <c r="D33" s="914">
        <v>5169783</v>
      </c>
      <c r="E33" s="914">
        <v>2459557</v>
      </c>
      <c r="F33" s="914">
        <v>2839921</v>
      </c>
      <c r="G33" s="914">
        <v>4322500</v>
      </c>
      <c r="H33" s="914">
        <v>3469178</v>
      </c>
      <c r="I33" s="914">
        <v>3661077</v>
      </c>
      <c r="J33" s="914">
        <v>4748419</v>
      </c>
      <c r="K33" s="914">
        <v>3053498</v>
      </c>
      <c r="L33" s="914">
        <v>3738236</v>
      </c>
      <c r="M33" s="914">
        <v>4988891</v>
      </c>
      <c r="N33" s="914">
        <v>4240201</v>
      </c>
      <c r="O33" s="915">
        <f t="shared" si="4"/>
        <v>46221975</v>
      </c>
      <c r="P33" s="909">
        <f>SUM(O29:O33)</f>
        <v>90256550.030000001</v>
      </c>
      <c r="Q33" s="922">
        <f t="shared" si="5"/>
        <v>46221975</v>
      </c>
      <c r="S33" s="910">
        <f t="shared" si="6"/>
        <v>46221975</v>
      </c>
    </row>
    <row r="34" spans="1:20" x14ac:dyDescent="0.25">
      <c r="A34" s="912">
        <v>1511</v>
      </c>
      <c r="B34" s="913" t="s">
        <v>862</v>
      </c>
      <c r="C34" s="914">
        <v>66670</v>
      </c>
      <c r="D34" s="914">
        <v>1344</v>
      </c>
      <c r="E34" s="914">
        <v>67780</v>
      </c>
      <c r="F34" s="914">
        <v>65693</v>
      </c>
      <c r="G34" s="914">
        <v>11723</v>
      </c>
      <c r="H34" s="914">
        <v>5247506</v>
      </c>
      <c r="I34" s="914">
        <v>374695</v>
      </c>
      <c r="J34" s="914">
        <v>141588</v>
      </c>
      <c r="K34" s="914">
        <v>183478</v>
      </c>
      <c r="L34" s="914">
        <v>45619</v>
      </c>
      <c r="M34" s="914">
        <v>39131</v>
      </c>
      <c r="N34" s="914">
        <v>1323329</v>
      </c>
      <c r="O34" s="915">
        <f t="shared" si="4"/>
        <v>7568556</v>
      </c>
      <c r="Q34" s="922">
        <f t="shared" si="5"/>
        <v>7568556</v>
      </c>
    </row>
    <row r="35" spans="1:20" s="923" customFormat="1" x14ac:dyDescent="0.25">
      <c r="A35" s="917"/>
      <c r="B35" s="918" t="s">
        <v>863</v>
      </c>
      <c r="C35" s="919">
        <f t="shared" ref="C35:L35" si="7">SUM(C29:C34)</f>
        <v>6147707</v>
      </c>
      <c r="D35" s="919">
        <f t="shared" si="7"/>
        <v>7345090</v>
      </c>
      <c r="E35" s="919">
        <f t="shared" si="7"/>
        <v>8354560</v>
      </c>
      <c r="F35" s="919">
        <f t="shared" si="7"/>
        <v>5413944</v>
      </c>
      <c r="G35" s="919">
        <f t="shared" si="7"/>
        <v>6210482</v>
      </c>
      <c r="H35" s="919">
        <f t="shared" si="7"/>
        <v>14452007</v>
      </c>
      <c r="I35" s="919">
        <f t="shared" si="7"/>
        <v>9675296</v>
      </c>
      <c r="J35" s="919">
        <f t="shared" si="7"/>
        <v>7137402</v>
      </c>
      <c r="K35" s="919">
        <f t="shared" si="7"/>
        <v>7224118</v>
      </c>
      <c r="L35" s="919">
        <f t="shared" si="7"/>
        <v>7701430</v>
      </c>
      <c r="M35" s="919">
        <f>SUM(M29:M34)</f>
        <v>7330248</v>
      </c>
      <c r="N35" s="919">
        <f>SUM(N29:N34)</f>
        <v>10832822.029999999</v>
      </c>
      <c r="O35" s="920">
        <f t="shared" si="4"/>
        <v>97825106.030000001</v>
      </c>
      <c r="P35" s="921">
        <f>+Q35/Q23*O23</f>
        <v>287513145.79838157</v>
      </c>
      <c r="Q35" s="922">
        <f>SUM(C35:N35)</f>
        <v>97825106.030000001</v>
      </c>
      <c r="R35" s="927" t="s">
        <v>868</v>
      </c>
      <c r="S35" s="922">
        <f>SUM(S29:S34)</f>
        <v>90256550.030000001</v>
      </c>
    </row>
    <row r="36" spans="1:20" x14ac:dyDescent="0.25">
      <c r="O36" s="909">
        <f>+O35-O23</f>
        <v>13115349.590000004</v>
      </c>
    </row>
    <row r="38" spans="1:20" s="923" customFormat="1" ht="19.5" x14ac:dyDescent="0.35">
      <c r="A38" s="1672" t="s">
        <v>867</v>
      </c>
      <c r="B38" s="1673"/>
      <c r="C38" s="1673"/>
      <c r="D38" s="1674"/>
      <c r="E38" s="1674"/>
      <c r="F38" s="1675"/>
      <c r="G38" s="1674"/>
      <c r="H38" s="1674"/>
      <c r="I38" s="1674"/>
      <c r="J38" s="1675"/>
      <c r="K38" s="1674"/>
      <c r="L38" s="1674"/>
      <c r="M38" s="1674"/>
      <c r="N38" s="1674"/>
      <c r="O38" s="1676"/>
      <c r="P38" s="921"/>
      <c r="Q38" s="922"/>
      <c r="S38" s="922"/>
    </row>
    <row r="39" spans="1:20" ht="15.75" x14ac:dyDescent="0.3">
      <c r="A39" s="912"/>
      <c r="B39" s="913"/>
      <c r="C39" s="913"/>
      <c r="D39" s="913"/>
      <c r="E39" s="913"/>
      <c r="F39" s="914"/>
      <c r="G39" s="913"/>
      <c r="H39" s="913"/>
      <c r="I39" s="913"/>
      <c r="J39" s="914"/>
      <c r="K39" s="913"/>
      <c r="L39" s="913"/>
      <c r="M39" s="913"/>
      <c r="N39" s="913"/>
      <c r="O39" s="928" t="s">
        <v>879</v>
      </c>
    </row>
    <row r="40" spans="1:20" x14ac:dyDescent="0.25">
      <c r="A40" s="912"/>
      <c r="B40" s="913"/>
      <c r="C40" s="913">
        <v>1</v>
      </c>
      <c r="D40" s="913">
        <v>2</v>
      </c>
      <c r="E40" s="913">
        <v>3</v>
      </c>
      <c r="F40" s="914">
        <v>4</v>
      </c>
      <c r="G40" s="913">
        <v>5</v>
      </c>
      <c r="H40" s="913">
        <v>6</v>
      </c>
      <c r="I40" s="913">
        <v>7</v>
      </c>
      <c r="J40" s="914">
        <v>8</v>
      </c>
      <c r="K40" s="913">
        <v>9</v>
      </c>
      <c r="L40" s="913">
        <v>10</v>
      </c>
      <c r="M40" s="913">
        <v>11</v>
      </c>
      <c r="N40" s="913">
        <v>12</v>
      </c>
      <c r="O40" s="929" t="s">
        <v>598</v>
      </c>
    </row>
    <row r="41" spans="1:20" s="936" customFormat="1" x14ac:dyDescent="0.25">
      <c r="A41" s="930">
        <v>1111</v>
      </c>
      <c r="B41" s="931" t="s">
        <v>859</v>
      </c>
      <c r="C41" s="932">
        <v>2221592</v>
      </c>
      <c r="D41" s="932">
        <v>2090648</v>
      </c>
      <c r="E41" s="932">
        <v>1765746</v>
      </c>
      <c r="F41" s="932">
        <v>1608710</v>
      </c>
      <c r="G41" s="932">
        <f>672642+1294076</f>
        <v>1966718</v>
      </c>
      <c r="H41" s="932">
        <v>2171969</v>
      </c>
      <c r="I41" s="932">
        <v>2241119</v>
      </c>
      <c r="J41" s="932">
        <v>2203671</v>
      </c>
      <c r="K41" s="932">
        <v>2142940</v>
      </c>
      <c r="L41" s="932">
        <v>2126690</v>
      </c>
      <c r="M41" s="932">
        <v>2197066</v>
      </c>
      <c r="N41" s="932">
        <v>2520796</v>
      </c>
      <c r="O41" s="933">
        <f t="shared" ref="O41:O46" si="8">SUM(C41:N41)</f>
        <v>25257665</v>
      </c>
      <c r="P41" s="934"/>
      <c r="Q41" s="935">
        <f t="shared" ref="Q41:Q45" si="9">+O41/S29*O29</f>
        <v>25257665</v>
      </c>
      <c r="S41" s="935">
        <f>+O41/12*12</f>
        <v>25257665</v>
      </c>
    </row>
    <row r="42" spans="1:20" s="936" customFormat="1" x14ac:dyDescent="0.25">
      <c r="A42" s="930">
        <v>1112</v>
      </c>
      <c r="B42" s="931" t="s">
        <v>859</v>
      </c>
      <c r="C42" s="932">
        <v>59178</v>
      </c>
      <c r="D42" s="932">
        <v>31741</v>
      </c>
      <c r="E42" s="932">
        <v>68423</v>
      </c>
      <c r="F42" s="932">
        <v>0</v>
      </c>
      <c r="G42" s="932">
        <v>0</v>
      </c>
      <c r="H42" s="932">
        <v>0</v>
      </c>
      <c r="I42" s="932">
        <v>134425</v>
      </c>
      <c r="J42" s="932">
        <v>0</v>
      </c>
      <c r="K42" s="932">
        <v>91581</v>
      </c>
      <c r="L42" s="932">
        <v>61781</v>
      </c>
      <c r="M42" s="932">
        <v>27478</v>
      </c>
      <c r="N42" s="932">
        <v>242174</v>
      </c>
      <c r="O42" s="933">
        <f t="shared" si="8"/>
        <v>716781</v>
      </c>
      <c r="P42" s="934"/>
      <c r="Q42" s="935">
        <f t="shared" si="9"/>
        <v>716781</v>
      </c>
      <c r="S42" s="935">
        <f t="shared" ref="S42:S45" si="10">+O42/12*12</f>
        <v>716781</v>
      </c>
    </row>
    <row r="43" spans="1:20" s="936" customFormat="1" x14ac:dyDescent="0.25">
      <c r="A43" s="930">
        <v>1113</v>
      </c>
      <c r="B43" s="931" t="s">
        <v>859</v>
      </c>
      <c r="C43" s="932">
        <v>169413</v>
      </c>
      <c r="D43" s="932">
        <v>194915</v>
      </c>
      <c r="E43" s="932">
        <v>120912</v>
      </c>
      <c r="F43" s="932">
        <v>142248</v>
      </c>
      <c r="G43" s="932">
        <v>164618</v>
      </c>
      <c r="H43" s="932">
        <v>194534</v>
      </c>
      <c r="I43" s="932">
        <v>245870</v>
      </c>
      <c r="J43" s="932">
        <v>228899</v>
      </c>
      <c r="K43" s="932">
        <v>256677</v>
      </c>
      <c r="L43" s="932">
        <v>220176</v>
      </c>
      <c r="M43" s="932">
        <v>190892</v>
      </c>
      <c r="N43" s="932">
        <v>176514</v>
      </c>
      <c r="O43" s="933">
        <f t="shared" si="8"/>
        <v>2305668</v>
      </c>
      <c r="P43" s="934"/>
      <c r="Q43" s="935">
        <f t="shared" si="9"/>
        <v>2305668</v>
      </c>
      <c r="S43" s="935">
        <f t="shared" si="10"/>
        <v>2305668</v>
      </c>
    </row>
    <row r="44" spans="1:20" s="936" customFormat="1" x14ac:dyDescent="0.25">
      <c r="A44" s="930">
        <v>1121</v>
      </c>
      <c r="B44" s="931" t="s">
        <v>860</v>
      </c>
      <c r="C44" s="932">
        <v>1317681</v>
      </c>
      <c r="D44" s="932">
        <v>124783</v>
      </c>
      <c r="E44" s="932">
        <v>5529969</v>
      </c>
      <c r="F44" s="932">
        <v>1159811</v>
      </c>
      <c r="G44" s="932">
        <v>83404</v>
      </c>
      <c r="H44" s="932">
        <v>3001242</v>
      </c>
      <c r="I44" s="932">
        <v>4406282</v>
      </c>
      <c r="J44" s="932">
        <v>0</v>
      </c>
      <c r="K44" s="932">
        <v>2261737</v>
      </c>
      <c r="L44" s="932">
        <v>1830916</v>
      </c>
      <c r="M44" s="932">
        <v>75894</v>
      </c>
      <c r="N44" s="932">
        <v>3652548</v>
      </c>
      <c r="O44" s="933">
        <f t="shared" si="8"/>
        <v>23444267</v>
      </c>
      <c r="P44" s="934"/>
      <c r="Q44" s="935">
        <f t="shared" si="9"/>
        <v>23444267</v>
      </c>
      <c r="S44" s="935">
        <f t="shared" si="10"/>
        <v>23444267</v>
      </c>
    </row>
    <row r="45" spans="1:20" s="936" customFormat="1" x14ac:dyDescent="0.25">
      <c r="A45" s="930">
        <v>1211</v>
      </c>
      <c r="B45" s="931" t="s">
        <v>861</v>
      </c>
      <c r="C45" s="932">
        <v>4109246</v>
      </c>
      <c r="D45" s="932">
        <v>4855494</v>
      </c>
      <c r="E45" s="932">
        <v>2236449</v>
      </c>
      <c r="F45" s="932">
        <v>2964576</v>
      </c>
      <c r="G45" s="932">
        <v>4826267</v>
      </c>
      <c r="H45" s="932">
        <v>3523009</v>
      </c>
      <c r="I45" s="932">
        <v>3854253</v>
      </c>
      <c r="J45" s="932">
        <v>4823254</v>
      </c>
      <c r="K45" s="932">
        <v>3794778</v>
      </c>
      <c r="L45" s="932">
        <v>3603666</v>
      </c>
      <c r="M45" s="932">
        <v>5375294</v>
      </c>
      <c r="N45" s="932">
        <v>4355223</v>
      </c>
      <c r="O45" s="933">
        <f t="shared" si="8"/>
        <v>48321509</v>
      </c>
      <c r="P45" s="934">
        <f>SUM(O41:O45)</f>
        <v>100045890</v>
      </c>
      <c r="Q45" s="935">
        <f t="shared" si="9"/>
        <v>48321508.999999993</v>
      </c>
      <c r="S45" s="935">
        <f t="shared" si="10"/>
        <v>48321509</v>
      </c>
    </row>
    <row r="46" spans="1:20" x14ac:dyDescent="0.25">
      <c r="A46" s="912">
        <v>1511</v>
      </c>
      <c r="B46" s="913" t="s">
        <v>862</v>
      </c>
      <c r="C46" s="914">
        <v>107981</v>
      </c>
      <c r="D46" s="914">
        <v>3820</v>
      </c>
      <c r="E46" s="914">
        <v>1291</v>
      </c>
      <c r="F46" s="914">
        <v>15458</v>
      </c>
      <c r="G46" s="914">
        <v>400309</v>
      </c>
      <c r="H46" s="914">
        <v>5061179</v>
      </c>
      <c r="I46" s="914">
        <v>295537</v>
      </c>
      <c r="J46" s="914">
        <v>191474</v>
      </c>
      <c r="K46" s="914">
        <v>75455</v>
      </c>
      <c r="L46" s="914">
        <v>207901</v>
      </c>
      <c r="M46" s="914">
        <v>865</v>
      </c>
      <c r="N46" s="914">
        <v>1167255</v>
      </c>
      <c r="O46" s="915">
        <f t="shared" si="8"/>
        <v>7528525</v>
      </c>
      <c r="Q46" s="937"/>
    </row>
    <row r="47" spans="1:20" s="923" customFormat="1" x14ac:dyDescent="0.25">
      <c r="A47" s="917"/>
      <c r="B47" s="918" t="s">
        <v>863</v>
      </c>
      <c r="C47" s="919">
        <f>SUM(C41:C46)</f>
        <v>7985091</v>
      </c>
      <c r="D47" s="919">
        <f>SUM(D41:D46)</f>
        <v>7301401</v>
      </c>
      <c r="E47" s="919">
        <f>SUM(E41:E46)</f>
        <v>9722790</v>
      </c>
      <c r="F47" s="919">
        <f>SUM(F41:F46)</f>
        <v>5890803</v>
      </c>
      <c r="G47" s="919">
        <f>SUM(G41:G46)</f>
        <v>7441316</v>
      </c>
      <c r="H47" s="919">
        <f t="shared" ref="H47:N47" si="11">SUM(H41:H46)</f>
        <v>13951933</v>
      </c>
      <c r="I47" s="919">
        <f t="shared" si="11"/>
        <v>11177486</v>
      </c>
      <c r="J47" s="919">
        <f t="shared" si="11"/>
        <v>7447298</v>
      </c>
      <c r="K47" s="919">
        <f t="shared" si="11"/>
        <v>8623168</v>
      </c>
      <c r="L47" s="919">
        <f t="shared" si="11"/>
        <v>8051130</v>
      </c>
      <c r="M47" s="919">
        <f t="shared" si="11"/>
        <v>7867489</v>
      </c>
      <c r="N47" s="919">
        <f t="shared" si="11"/>
        <v>12114510</v>
      </c>
      <c r="O47" s="920">
        <f>SUM(O41:O46)</f>
        <v>107574415</v>
      </c>
      <c r="P47" s="921">
        <f>+O47/Q35*O35</f>
        <v>107574415</v>
      </c>
      <c r="Q47" s="927">
        <f>SUM(Q41:Q46)</f>
        <v>100045890</v>
      </c>
      <c r="R47" s="927" t="s">
        <v>870</v>
      </c>
      <c r="S47" s="922">
        <f>SUM(S41:S46)</f>
        <v>100045890</v>
      </c>
      <c r="T47" s="922"/>
    </row>
    <row r="48" spans="1:20" x14ac:dyDescent="0.25">
      <c r="C48" s="910"/>
      <c r="D48" s="910"/>
      <c r="E48" s="910"/>
      <c r="G48" s="910"/>
      <c r="H48" s="910"/>
      <c r="I48" s="910"/>
      <c r="K48" s="910"/>
      <c r="O48" s="909">
        <f>+O47-O35</f>
        <v>9749308.9699999988</v>
      </c>
      <c r="P48" s="909">
        <f>+P45-P33</f>
        <v>9789339.9699999988</v>
      </c>
    </row>
    <row r="50" spans="1:20" s="923" customFormat="1" ht="19.5" x14ac:dyDescent="0.35">
      <c r="A50" s="1672" t="s">
        <v>874</v>
      </c>
      <c r="B50" s="1673"/>
      <c r="C50" s="1673"/>
      <c r="D50" s="1674"/>
      <c r="E50" s="1674"/>
      <c r="F50" s="1675"/>
      <c r="G50" s="1674"/>
      <c r="H50" s="1674"/>
      <c r="I50" s="1674"/>
      <c r="J50" s="1675"/>
      <c r="K50" s="1674"/>
      <c r="L50" s="1674"/>
      <c r="M50" s="1674"/>
      <c r="N50" s="1674"/>
      <c r="O50" s="1676"/>
      <c r="P50" s="921"/>
      <c r="Q50" s="922"/>
      <c r="S50" s="922"/>
    </row>
    <row r="51" spans="1:20" ht="15.75" x14ac:dyDescent="0.3">
      <c r="A51" s="912"/>
      <c r="B51" s="913"/>
      <c r="C51" s="913"/>
      <c r="D51" s="913"/>
      <c r="E51" s="913"/>
      <c r="F51" s="914"/>
      <c r="G51" s="913"/>
      <c r="H51" s="913"/>
      <c r="I51" s="913"/>
      <c r="J51" s="914"/>
      <c r="K51" s="913"/>
      <c r="L51" s="913"/>
      <c r="M51" s="913"/>
      <c r="N51" s="913"/>
      <c r="O51" s="928" t="s">
        <v>880</v>
      </c>
    </row>
    <row r="52" spans="1:20" x14ac:dyDescent="0.25">
      <c r="A52" s="912"/>
      <c r="B52" s="913"/>
      <c r="C52" s="913">
        <v>1</v>
      </c>
      <c r="D52" s="913">
        <v>2</v>
      </c>
      <c r="E52" s="913">
        <v>3</v>
      </c>
      <c r="F52" s="914">
        <v>4</v>
      </c>
      <c r="G52" s="913">
        <v>5</v>
      </c>
      <c r="H52" s="913">
        <v>6</v>
      </c>
      <c r="I52" s="913">
        <v>7</v>
      </c>
      <c r="J52" s="914">
        <v>8</v>
      </c>
      <c r="K52" s="913">
        <v>9</v>
      </c>
      <c r="L52" s="913">
        <v>10</v>
      </c>
      <c r="M52" s="913">
        <v>11</v>
      </c>
      <c r="N52" s="913">
        <v>12</v>
      </c>
      <c r="O52" s="929" t="s">
        <v>598</v>
      </c>
    </row>
    <row r="53" spans="1:20" s="936" customFormat="1" x14ac:dyDescent="0.25">
      <c r="A53" s="930">
        <v>1111</v>
      </c>
      <c r="B53" s="931" t="s">
        <v>859</v>
      </c>
      <c r="C53" s="932">
        <v>2392990</v>
      </c>
      <c r="D53" s="932">
        <v>2212283</v>
      </c>
      <c r="E53" s="932">
        <v>2036690</v>
      </c>
      <c r="F53" s="932">
        <v>1687823</v>
      </c>
      <c r="G53" s="932">
        <v>422959</v>
      </c>
      <c r="H53" s="932">
        <v>1455221</v>
      </c>
      <c r="I53" s="932">
        <v>2131732</v>
      </c>
      <c r="J53" s="932">
        <v>2210124</v>
      </c>
      <c r="K53" s="932">
        <v>2502326</v>
      </c>
      <c r="L53" s="932">
        <v>2300218</v>
      </c>
      <c r="M53" s="932">
        <v>2271939</v>
      </c>
      <c r="N53" s="932">
        <v>2651925</v>
      </c>
      <c r="O53" s="933">
        <f t="shared" ref="O53:O58" si="12">SUM(C53:N53)</f>
        <v>24276230</v>
      </c>
      <c r="P53" s="934"/>
      <c r="Q53" s="935"/>
      <c r="S53" s="938">
        <f>+O53</f>
        <v>24276230</v>
      </c>
      <c r="T53" s="3070" t="s">
        <v>708</v>
      </c>
    </row>
    <row r="54" spans="1:20" s="936" customFormat="1" x14ac:dyDescent="0.25">
      <c r="A54" s="930">
        <v>1112</v>
      </c>
      <c r="B54" s="931" t="s">
        <v>859</v>
      </c>
      <c r="C54" s="932">
        <v>44391</v>
      </c>
      <c r="D54" s="932">
        <v>30650</v>
      </c>
      <c r="E54" s="932">
        <v>91891</v>
      </c>
      <c r="F54" s="932">
        <v>0</v>
      </c>
      <c r="G54" s="932">
        <v>0</v>
      </c>
      <c r="H54" s="932">
        <v>0</v>
      </c>
      <c r="I54" s="932">
        <v>0</v>
      </c>
      <c r="J54" s="932">
        <v>0</v>
      </c>
      <c r="K54" s="932">
        <v>0</v>
      </c>
      <c r="L54" s="932">
        <v>21529</v>
      </c>
      <c r="M54" s="932">
        <v>18783</v>
      </c>
      <c r="N54" s="932">
        <v>180475</v>
      </c>
      <c r="O54" s="933">
        <f t="shared" si="12"/>
        <v>387719</v>
      </c>
      <c r="P54" s="934"/>
      <c r="Q54" s="935"/>
      <c r="S54" s="938">
        <f t="shared" ref="S54:S57" si="13">+O54</f>
        <v>387719</v>
      </c>
      <c r="T54" s="3070"/>
    </row>
    <row r="55" spans="1:20" s="936" customFormat="1" x14ac:dyDescent="0.25">
      <c r="A55" s="930">
        <v>1113</v>
      </c>
      <c r="B55" s="931" t="s">
        <v>859</v>
      </c>
      <c r="C55" s="932">
        <v>184051</v>
      </c>
      <c r="D55" s="932">
        <v>216056</v>
      </c>
      <c r="E55" s="932">
        <v>148871</v>
      </c>
      <c r="F55" s="932">
        <v>143189</v>
      </c>
      <c r="G55" s="932">
        <v>159890</v>
      </c>
      <c r="H55" s="932">
        <v>183708</v>
      </c>
      <c r="I55" s="932">
        <v>215854</v>
      </c>
      <c r="J55" s="932">
        <v>216046</v>
      </c>
      <c r="K55" s="932">
        <v>281945</v>
      </c>
      <c r="L55" s="932">
        <v>217318</v>
      </c>
      <c r="M55" s="932">
        <v>204478</v>
      </c>
      <c r="N55" s="932">
        <v>196038</v>
      </c>
      <c r="O55" s="933">
        <f t="shared" si="12"/>
        <v>2367444</v>
      </c>
      <c r="P55" s="934"/>
      <c r="Q55" s="935"/>
      <c r="S55" s="938">
        <f t="shared" si="13"/>
        <v>2367444</v>
      </c>
      <c r="T55" s="3070"/>
    </row>
    <row r="56" spans="1:20" s="936" customFormat="1" x14ac:dyDescent="0.25">
      <c r="A56" s="930">
        <v>1121</v>
      </c>
      <c r="B56" s="931" t="s">
        <v>860</v>
      </c>
      <c r="C56" s="932">
        <v>457854</v>
      </c>
      <c r="D56" s="932">
        <v>183111</v>
      </c>
      <c r="E56" s="932">
        <v>3831646</v>
      </c>
      <c r="F56" s="932">
        <v>665053</v>
      </c>
      <c r="G56" s="932">
        <v>0</v>
      </c>
      <c r="H56" s="932">
        <v>1604852</v>
      </c>
      <c r="I56" s="932">
        <v>2942838</v>
      </c>
      <c r="J56" s="932">
        <v>0</v>
      </c>
      <c r="K56" s="932">
        <v>3466217</v>
      </c>
      <c r="L56" s="932">
        <v>763358</v>
      </c>
      <c r="M56" s="932">
        <v>188678</v>
      </c>
      <c r="N56" s="932">
        <v>3623578</v>
      </c>
      <c r="O56" s="933">
        <f t="shared" si="12"/>
        <v>17727185</v>
      </c>
      <c r="P56" s="934"/>
      <c r="Q56" s="935"/>
      <c r="S56" s="938">
        <f t="shared" si="13"/>
        <v>17727185</v>
      </c>
      <c r="T56" s="3070"/>
    </row>
    <row r="57" spans="1:20" s="936" customFormat="1" x14ac:dyDescent="0.25">
      <c r="A57" s="930">
        <v>1211</v>
      </c>
      <c r="B57" s="931" t="s">
        <v>861</v>
      </c>
      <c r="C57" s="932">
        <v>4301581</v>
      </c>
      <c r="D57" s="932">
        <v>5298856</v>
      </c>
      <c r="E57" s="932">
        <v>2759327</v>
      </c>
      <c r="F57" s="932">
        <v>2761943</v>
      </c>
      <c r="G57" s="932">
        <v>3979818</v>
      </c>
      <c r="H57" s="932">
        <v>2613828</v>
      </c>
      <c r="I57" s="932">
        <v>3738138</v>
      </c>
      <c r="J57" s="932">
        <v>5118357</v>
      </c>
      <c r="K57" s="932">
        <v>4252393</v>
      </c>
      <c r="L57" s="932">
        <v>3854172</v>
      </c>
      <c r="M57" s="932">
        <v>5516304</v>
      </c>
      <c r="N57" s="932">
        <v>4373030</v>
      </c>
      <c r="O57" s="933">
        <f t="shared" si="12"/>
        <v>48567747</v>
      </c>
      <c r="P57" s="934">
        <f>SUM(O53:O57)</f>
        <v>93326325</v>
      </c>
      <c r="Q57" s="935"/>
      <c r="S57" s="938">
        <f t="shared" si="13"/>
        <v>48567747</v>
      </c>
      <c r="T57" s="3070"/>
    </row>
    <row r="58" spans="1:20" x14ac:dyDescent="0.25">
      <c r="A58" s="912">
        <v>1511</v>
      </c>
      <c r="B58" s="913" t="s">
        <v>862</v>
      </c>
      <c r="C58" s="914">
        <v>76228</v>
      </c>
      <c r="D58" s="914">
        <v>40911</v>
      </c>
      <c r="E58" s="914">
        <v>3822</v>
      </c>
      <c r="F58" s="914">
        <v>0</v>
      </c>
      <c r="G58" s="914">
        <v>845</v>
      </c>
      <c r="H58" s="914">
        <v>5331235</v>
      </c>
      <c r="I58" s="914">
        <v>400798</v>
      </c>
      <c r="J58" s="914">
        <v>78267</v>
      </c>
      <c r="K58" s="914">
        <v>90783</v>
      </c>
      <c r="L58" s="914">
        <v>29346</v>
      </c>
      <c r="M58" s="914">
        <v>35057</v>
      </c>
      <c r="N58" s="914">
        <v>1384019</v>
      </c>
      <c r="O58" s="915">
        <f t="shared" si="12"/>
        <v>7471311</v>
      </c>
      <c r="Q58" s="937"/>
    </row>
    <row r="59" spans="1:20" s="923" customFormat="1" x14ac:dyDescent="0.25">
      <c r="A59" s="917"/>
      <c r="B59" s="918" t="s">
        <v>863</v>
      </c>
      <c r="C59" s="919">
        <f>SUM(C53:C58)</f>
        <v>7457095</v>
      </c>
      <c r="D59" s="919">
        <f>SUM(D53:D58)</f>
        <v>7981867</v>
      </c>
      <c r="E59" s="919">
        <f>SUM(E53:E58)</f>
        <v>8872247</v>
      </c>
      <c r="F59" s="919">
        <f>SUM(F53:F58)</f>
        <v>5258008</v>
      </c>
      <c r="G59" s="919">
        <f>SUM(G53:G58)</f>
        <v>4563512</v>
      </c>
      <c r="H59" s="919">
        <f t="shared" ref="H59:N59" si="14">SUM(H53:H58)</f>
        <v>11188844</v>
      </c>
      <c r="I59" s="919">
        <f t="shared" si="14"/>
        <v>9429360</v>
      </c>
      <c r="J59" s="919">
        <f t="shared" si="14"/>
        <v>7622794</v>
      </c>
      <c r="K59" s="919">
        <f t="shared" si="14"/>
        <v>10593664</v>
      </c>
      <c r="L59" s="919">
        <f t="shared" si="14"/>
        <v>7185941</v>
      </c>
      <c r="M59" s="919">
        <f t="shared" si="14"/>
        <v>8235239</v>
      </c>
      <c r="N59" s="919">
        <f t="shared" si="14"/>
        <v>12409065</v>
      </c>
      <c r="O59" s="920">
        <f>SUM(O53:O58)</f>
        <v>100797636</v>
      </c>
      <c r="P59" s="921">
        <f>+O59/Q35*O35</f>
        <v>100797635.99999999</v>
      </c>
      <c r="Q59" s="927">
        <f>+Q35</f>
        <v>97825106.030000001</v>
      </c>
      <c r="R59" s="927" t="s">
        <v>875</v>
      </c>
      <c r="S59" s="922">
        <f>SUM(S53:S58)</f>
        <v>93326325</v>
      </c>
    </row>
    <row r="60" spans="1:20" x14ac:dyDescent="0.25">
      <c r="O60" s="909">
        <f>+O59-O47</f>
        <v>-6776779</v>
      </c>
    </row>
    <row r="61" spans="1:20" ht="9" customHeight="1" x14ac:dyDescent="0.25"/>
    <row r="62" spans="1:20" s="923" customFormat="1" ht="19.5" x14ac:dyDescent="0.35">
      <c r="A62" s="1672" t="s">
        <v>1161</v>
      </c>
      <c r="B62" s="1673"/>
      <c r="C62" s="1673"/>
      <c r="D62" s="1674"/>
      <c r="E62" s="1674"/>
      <c r="F62" s="1675"/>
      <c r="G62" s="1674"/>
      <c r="H62" s="1674"/>
      <c r="I62" s="1674"/>
      <c r="J62" s="1675"/>
      <c r="K62" s="1674"/>
      <c r="L62" s="1674"/>
      <c r="M62" s="1674"/>
      <c r="N62" s="1674"/>
      <c r="O62" s="1676"/>
      <c r="P62" s="921"/>
      <c r="Q62" s="922"/>
      <c r="S62" s="922"/>
    </row>
    <row r="63" spans="1:20" ht="15.75" x14ac:dyDescent="0.3">
      <c r="A63" s="912"/>
      <c r="B63" s="913"/>
      <c r="C63" s="913"/>
      <c r="D63" s="913"/>
      <c r="E63" s="913"/>
      <c r="F63" s="914"/>
      <c r="G63" s="913"/>
      <c r="H63" s="913"/>
      <c r="I63" s="913"/>
      <c r="J63" s="914"/>
      <c r="K63" s="913"/>
      <c r="L63" s="913"/>
      <c r="M63" s="913"/>
      <c r="N63" s="913"/>
      <c r="O63" s="928" t="s">
        <v>1162</v>
      </c>
    </row>
    <row r="64" spans="1:20" x14ac:dyDescent="0.25">
      <c r="A64" s="912"/>
      <c r="B64" s="913"/>
      <c r="C64" s="913">
        <v>1</v>
      </c>
      <c r="D64" s="913">
        <v>2</v>
      </c>
      <c r="E64" s="913">
        <v>3</v>
      </c>
      <c r="F64" s="914">
        <v>4</v>
      </c>
      <c r="G64" s="913">
        <v>5</v>
      </c>
      <c r="H64" s="913">
        <v>6</v>
      </c>
      <c r="I64" s="913">
        <v>7</v>
      </c>
      <c r="J64" s="914">
        <v>8</v>
      </c>
      <c r="K64" s="913">
        <v>9</v>
      </c>
      <c r="L64" s="913">
        <v>10</v>
      </c>
      <c r="M64" s="913">
        <v>11</v>
      </c>
      <c r="N64" s="913">
        <v>12</v>
      </c>
      <c r="O64" s="929" t="s">
        <v>598</v>
      </c>
    </row>
    <row r="65" spans="1:20" s="936" customFormat="1" x14ac:dyDescent="0.25">
      <c r="A65" s="930">
        <v>1111</v>
      </c>
      <c r="B65" s="931" t="s">
        <v>859</v>
      </c>
      <c r="C65" s="939">
        <v>2671506</v>
      </c>
      <c r="D65" s="939">
        <v>1603704</v>
      </c>
      <c r="E65" s="939">
        <v>1088237</v>
      </c>
      <c r="F65" s="939">
        <v>330807</v>
      </c>
      <c r="G65" s="939">
        <v>785162</v>
      </c>
      <c r="H65" s="939">
        <v>1391677</v>
      </c>
      <c r="I65" s="939">
        <v>1649899</v>
      </c>
      <c r="J65" s="939">
        <v>1567880</v>
      </c>
      <c r="K65" s="939">
        <v>1977558</v>
      </c>
      <c r="L65" s="932">
        <v>1705785</v>
      </c>
      <c r="M65" s="932">
        <v>1655859</v>
      </c>
      <c r="N65" s="932">
        <v>2080934</v>
      </c>
      <c r="O65" s="933">
        <f>SUM(C65:N65)</f>
        <v>18509008</v>
      </c>
      <c r="P65" s="934"/>
      <c r="Q65" s="935"/>
      <c r="S65" s="938">
        <f>+O65</f>
        <v>18509008</v>
      </c>
      <c r="T65" s="3070" t="s">
        <v>708</v>
      </c>
    </row>
    <row r="66" spans="1:20" s="936" customFormat="1" x14ac:dyDescent="0.25">
      <c r="A66" s="930">
        <v>1112</v>
      </c>
      <c r="B66" s="931" t="s">
        <v>859</v>
      </c>
      <c r="C66" s="939">
        <v>53774</v>
      </c>
      <c r="D66" s="939">
        <v>53040</v>
      </c>
      <c r="E66" s="939">
        <v>168811</v>
      </c>
      <c r="F66" s="939">
        <v>0</v>
      </c>
      <c r="G66" s="939">
        <v>0</v>
      </c>
      <c r="H66" s="939">
        <v>0</v>
      </c>
      <c r="I66" s="939">
        <v>151560</v>
      </c>
      <c r="J66" s="939">
        <v>0</v>
      </c>
      <c r="K66" s="939">
        <v>219424</v>
      </c>
      <c r="L66" s="932">
        <v>94781</v>
      </c>
      <c r="M66" s="932">
        <v>76863</v>
      </c>
      <c r="N66" s="932">
        <v>375259</v>
      </c>
      <c r="O66" s="933">
        <f t="shared" ref="O66:O70" si="15">SUM(C66:N66)</f>
        <v>1193512</v>
      </c>
      <c r="P66" s="934"/>
      <c r="Q66" s="935"/>
      <c r="S66" s="938">
        <f t="shared" ref="S66:S69" si="16">+O66</f>
        <v>1193512</v>
      </c>
      <c r="T66" s="3070"/>
    </row>
    <row r="67" spans="1:20" s="936" customFormat="1" x14ac:dyDescent="0.25">
      <c r="A67" s="930">
        <v>1113</v>
      </c>
      <c r="B67" s="931" t="s">
        <v>859</v>
      </c>
      <c r="C67" s="939">
        <v>224007</v>
      </c>
      <c r="D67" s="939">
        <v>242332</v>
      </c>
      <c r="E67" s="939">
        <v>168528</v>
      </c>
      <c r="F67" s="939">
        <v>200673</v>
      </c>
      <c r="G67" s="939">
        <v>202681</v>
      </c>
      <c r="H67" s="939">
        <v>280037</v>
      </c>
      <c r="I67" s="939">
        <v>303644</v>
      </c>
      <c r="J67" s="939">
        <v>259204</v>
      </c>
      <c r="K67" s="939">
        <v>421883</v>
      </c>
      <c r="L67" s="932">
        <v>282828</v>
      </c>
      <c r="M67" s="932">
        <v>243140</v>
      </c>
      <c r="N67" s="932">
        <v>265031</v>
      </c>
      <c r="O67" s="933">
        <f t="shared" si="15"/>
        <v>3093988</v>
      </c>
      <c r="P67" s="934"/>
      <c r="Q67" s="935"/>
      <c r="S67" s="938">
        <f t="shared" si="16"/>
        <v>3093988</v>
      </c>
      <c r="T67" s="3070"/>
    </row>
    <row r="68" spans="1:20" s="936" customFormat="1" x14ac:dyDescent="0.25">
      <c r="A68" s="930">
        <v>1121</v>
      </c>
      <c r="B68" s="931" t="s">
        <v>860</v>
      </c>
      <c r="C68" s="939">
        <v>1056126</v>
      </c>
      <c r="D68" s="939">
        <v>157442</v>
      </c>
      <c r="E68" s="939">
        <v>4056777</v>
      </c>
      <c r="F68" s="939">
        <v>1118622</v>
      </c>
      <c r="G68" s="939">
        <v>189041</v>
      </c>
      <c r="H68" s="939">
        <v>4689450</v>
      </c>
      <c r="I68" s="939">
        <v>5335942</v>
      </c>
      <c r="J68" s="939">
        <v>0</v>
      </c>
      <c r="K68" s="939">
        <v>4097543</v>
      </c>
      <c r="L68" s="932">
        <v>809359</v>
      </c>
      <c r="M68" s="932">
        <v>127239</v>
      </c>
      <c r="N68" s="932">
        <v>4473331</v>
      </c>
      <c r="O68" s="933">
        <f t="shared" si="15"/>
        <v>26110872</v>
      </c>
      <c r="P68" s="934"/>
      <c r="Q68" s="935"/>
      <c r="S68" s="938">
        <f t="shared" si="16"/>
        <v>26110872</v>
      </c>
      <c r="T68" s="3070"/>
    </row>
    <row r="69" spans="1:20" s="936" customFormat="1" x14ac:dyDescent="0.25">
      <c r="A69" s="930">
        <v>1211</v>
      </c>
      <c r="B69" s="931" t="s">
        <v>861</v>
      </c>
      <c r="C69" s="939">
        <v>4378852</v>
      </c>
      <c r="D69" s="939">
        <v>5724354</v>
      </c>
      <c r="E69" s="939">
        <v>2225770</v>
      </c>
      <c r="F69" s="939">
        <v>3377201</v>
      </c>
      <c r="G69" s="939">
        <v>5610104</v>
      </c>
      <c r="H69" s="939">
        <v>4008935</v>
      </c>
      <c r="I69" s="939">
        <v>4829729</v>
      </c>
      <c r="J69" s="939">
        <v>6077285</v>
      </c>
      <c r="K69" s="939">
        <v>4853417</v>
      </c>
      <c r="L69" s="932">
        <v>4775925</v>
      </c>
      <c r="M69" s="932">
        <v>6607348</v>
      </c>
      <c r="N69" s="932">
        <v>5873295</v>
      </c>
      <c r="O69" s="933">
        <f t="shared" si="15"/>
        <v>58342215</v>
      </c>
      <c r="P69" s="934">
        <f>SUM(O65:O69)</f>
        <v>107249595</v>
      </c>
      <c r="Q69" s="935"/>
      <c r="S69" s="938">
        <f t="shared" si="16"/>
        <v>58342215</v>
      </c>
      <c r="T69" s="3070"/>
    </row>
    <row r="70" spans="1:20" s="947" customFormat="1" x14ac:dyDescent="0.25">
      <c r="A70" s="940">
        <v>1511</v>
      </c>
      <c r="B70" s="941" t="s">
        <v>862</v>
      </c>
      <c r="C70" s="942">
        <v>57371</v>
      </c>
      <c r="D70" s="942">
        <v>3114.4</v>
      </c>
      <c r="E70" s="942">
        <v>51916</v>
      </c>
      <c r="F70" s="942">
        <v>23602</v>
      </c>
      <c r="G70" s="942">
        <v>84337</v>
      </c>
      <c r="H70" s="942">
        <v>5679964</v>
      </c>
      <c r="I70" s="942">
        <v>206300</v>
      </c>
      <c r="J70" s="942">
        <v>123488</v>
      </c>
      <c r="K70" s="942">
        <v>31456</v>
      </c>
      <c r="L70" s="943">
        <v>64189</v>
      </c>
      <c r="M70" s="943">
        <v>175755</v>
      </c>
      <c r="N70" s="943">
        <v>1284763</v>
      </c>
      <c r="O70" s="944">
        <f t="shared" si="15"/>
        <v>7786255.4000000004</v>
      </c>
      <c r="P70" s="945"/>
      <c r="Q70" s="946"/>
      <c r="S70" s="948"/>
    </row>
    <row r="71" spans="1:20" s="923" customFormat="1" x14ac:dyDescent="0.25">
      <c r="A71" s="917"/>
      <c r="B71" s="918" t="s">
        <v>863</v>
      </c>
      <c r="C71" s="919">
        <f>SUM(C65:C70)</f>
        <v>8441636</v>
      </c>
      <c r="D71" s="919">
        <f>SUM(D65:D70)</f>
        <v>7783986.4000000004</v>
      </c>
      <c r="E71" s="919">
        <f>SUM(E65:E70)</f>
        <v>7760039</v>
      </c>
      <c r="F71" s="919">
        <f>SUM(F65:F70)</f>
        <v>5050905</v>
      </c>
      <c r="G71" s="919">
        <f>SUM(G65:G70)</f>
        <v>6871325</v>
      </c>
      <c r="H71" s="919">
        <f t="shared" ref="H71:N71" si="17">SUM(H65:H70)</f>
        <v>16050063</v>
      </c>
      <c r="I71" s="919">
        <f t="shared" si="17"/>
        <v>12477074</v>
      </c>
      <c r="J71" s="919">
        <f t="shared" si="17"/>
        <v>8027857</v>
      </c>
      <c r="K71" s="919">
        <f t="shared" si="17"/>
        <v>11601281</v>
      </c>
      <c r="L71" s="919">
        <f t="shared" si="17"/>
        <v>7732867</v>
      </c>
      <c r="M71" s="919">
        <f t="shared" si="17"/>
        <v>8886204</v>
      </c>
      <c r="N71" s="919">
        <f t="shared" si="17"/>
        <v>14352613</v>
      </c>
      <c r="O71" s="920">
        <f>SUM(O65:O70)</f>
        <v>115035850.40000001</v>
      </c>
      <c r="P71" s="921">
        <f>+O71/Q47*O47</f>
        <v>123692380.67458358</v>
      </c>
      <c r="Q71" s="927">
        <f>+Q47</f>
        <v>100045890</v>
      </c>
      <c r="R71" s="927" t="s">
        <v>875</v>
      </c>
      <c r="S71" s="922">
        <f>SUM(S65:S70)</f>
        <v>107249595</v>
      </c>
    </row>
    <row r="72" spans="1:20" s="936" customFormat="1" x14ac:dyDescent="0.25">
      <c r="A72" s="925"/>
      <c r="B72" s="911"/>
      <c r="C72" s="910">
        <f>+C71-C59</f>
        <v>984541</v>
      </c>
      <c r="D72" s="910">
        <f t="shared" ref="D72:L72" si="18">+D71-D59</f>
        <v>-197880.59999999963</v>
      </c>
      <c r="E72" s="910">
        <f t="shared" si="18"/>
        <v>-1112208</v>
      </c>
      <c r="F72" s="910">
        <f t="shared" si="18"/>
        <v>-207103</v>
      </c>
      <c r="G72" s="910">
        <f t="shared" si="18"/>
        <v>2307813</v>
      </c>
      <c r="H72" s="910">
        <f t="shared" si="18"/>
        <v>4861219</v>
      </c>
      <c r="I72" s="910">
        <f t="shared" si="18"/>
        <v>3047714</v>
      </c>
      <c r="J72" s="910">
        <f t="shared" si="18"/>
        <v>405063</v>
      </c>
      <c r="K72" s="910">
        <f t="shared" si="18"/>
        <v>1007617</v>
      </c>
      <c r="L72" s="910">
        <f t="shared" si="18"/>
        <v>546926</v>
      </c>
      <c r="M72" s="910">
        <f t="shared" ref="M72:O72" si="19">+M71-M59</f>
        <v>650965</v>
      </c>
      <c r="N72" s="910">
        <f t="shared" si="19"/>
        <v>1943548</v>
      </c>
      <c r="O72" s="910">
        <f t="shared" si="19"/>
        <v>14238214.400000006</v>
      </c>
      <c r="P72" s="909">
        <f>+P69-P57</f>
        <v>13923270</v>
      </c>
      <c r="Q72" s="938">
        <f>+Q71-Q47</f>
        <v>0</v>
      </c>
      <c r="S72" s="950">
        <f>+S71/S59</f>
        <v>1.1491890953597499</v>
      </c>
    </row>
    <row r="73" spans="1:20" s="936" customFormat="1" x14ac:dyDescent="0.25">
      <c r="A73" s="949"/>
      <c r="C73" s="950">
        <f>+(C71-C59)/C71</f>
        <v>0.1166291699855336</v>
      </c>
      <c r="D73" s="950">
        <f t="shared" ref="D73:O73" si="20">+(D71-D59)/D71</f>
        <v>-2.5421498680932898E-2</v>
      </c>
      <c r="E73" s="950">
        <f t="shared" si="20"/>
        <v>-0.14332505287666725</v>
      </c>
      <c r="F73" s="950">
        <f t="shared" si="20"/>
        <v>-4.1003146960792172E-2</v>
      </c>
      <c r="G73" s="950">
        <f t="shared" si="20"/>
        <v>0.33586142410670433</v>
      </c>
      <c r="H73" s="950">
        <f t="shared" si="20"/>
        <v>0.3028784996046433</v>
      </c>
      <c r="I73" s="950">
        <f t="shared" si="20"/>
        <v>0.24426512177454426</v>
      </c>
      <c r="J73" s="950">
        <f t="shared" si="20"/>
        <v>5.045717680322407E-2</v>
      </c>
      <c r="K73" s="950">
        <f t="shared" si="20"/>
        <v>8.6853943111971865E-2</v>
      </c>
      <c r="L73" s="950">
        <f t="shared" si="20"/>
        <v>7.0727454642631249E-2</v>
      </c>
      <c r="M73" s="950">
        <f t="shared" ref="M73:N73" si="21">+(M71-M59)/M71</f>
        <v>7.3255689380977526E-2</v>
      </c>
      <c r="N73" s="950">
        <f t="shared" si="21"/>
        <v>0.135414227360551</v>
      </c>
      <c r="O73" s="950">
        <f t="shared" si="20"/>
        <v>0.12377197500162962</v>
      </c>
      <c r="P73" s="934"/>
      <c r="Q73" s="938"/>
      <c r="S73" s="938"/>
    </row>
    <row r="74" spans="1:20" x14ac:dyDescent="0.25">
      <c r="O74" s="909">
        <f>+O71-O59</f>
        <v>14238214.400000006</v>
      </c>
    </row>
    <row r="75" spans="1:20" s="947" customFormat="1" x14ac:dyDescent="0.25">
      <c r="A75" s="3071" t="s">
        <v>708</v>
      </c>
      <c r="B75" s="1702"/>
      <c r="C75" s="1703">
        <f t="shared" ref="C75:O75" si="22">SUM(C65:C69)</f>
        <v>8384265</v>
      </c>
      <c r="D75" s="1703">
        <f t="shared" si="22"/>
        <v>7780872</v>
      </c>
      <c r="E75" s="1703">
        <f t="shared" si="22"/>
        <v>7708123</v>
      </c>
      <c r="F75" s="1703">
        <f t="shared" si="22"/>
        <v>5027303</v>
      </c>
      <c r="G75" s="1703">
        <f t="shared" si="22"/>
        <v>6786988</v>
      </c>
      <c r="H75" s="1703">
        <f t="shared" si="22"/>
        <v>10370099</v>
      </c>
      <c r="I75" s="1703">
        <f t="shared" si="22"/>
        <v>12270774</v>
      </c>
      <c r="J75" s="1703">
        <f t="shared" si="22"/>
        <v>7904369</v>
      </c>
      <c r="K75" s="1703">
        <f t="shared" si="22"/>
        <v>11569825</v>
      </c>
      <c r="L75" s="1703">
        <f t="shared" si="22"/>
        <v>7668678</v>
      </c>
      <c r="M75" s="1703">
        <f t="shared" si="22"/>
        <v>8710449</v>
      </c>
      <c r="N75" s="1703">
        <f t="shared" si="22"/>
        <v>13067850</v>
      </c>
      <c r="O75" s="1703">
        <f t="shared" si="22"/>
        <v>107249595</v>
      </c>
      <c r="P75" s="945"/>
      <c r="Q75" s="948"/>
      <c r="S75" s="948"/>
    </row>
    <row r="76" spans="1:20" s="947" customFormat="1" x14ac:dyDescent="0.25">
      <c r="A76" s="3071"/>
      <c r="B76" s="1702"/>
      <c r="C76" s="1703">
        <f>SUM(C53:C57)</f>
        <v>7380867</v>
      </c>
      <c r="D76" s="1703">
        <f t="shared" ref="D76:O76" si="23">SUM(D53:D58)</f>
        <v>7981867</v>
      </c>
      <c r="E76" s="1703">
        <f t="shared" si="23"/>
        <v>8872247</v>
      </c>
      <c r="F76" s="1703">
        <f t="shared" si="23"/>
        <v>5258008</v>
      </c>
      <c r="G76" s="1703">
        <f t="shared" si="23"/>
        <v>4563512</v>
      </c>
      <c r="H76" s="1703">
        <f t="shared" si="23"/>
        <v>11188844</v>
      </c>
      <c r="I76" s="1703">
        <f t="shared" si="23"/>
        <v>9429360</v>
      </c>
      <c r="J76" s="1703">
        <f t="shared" si="23"/>
        <v>7622794</v>
      </c>
      <c r="K76" s="1703">
        <f t="shared" si="23"/>
        <v>10593664</v>
      </c>
      <c r="L76" s="1703">
        <f t="shared" si="23"/>
        <v>7185941</v>
      </c>
      <c r="M76" s="1703">
        <f t="shared" si="23"/>
        <v>8235239</v>
      </c>
      <c r="N76" s="1703">
        <f t="shared" si="23"/>
        <v>12409065</v>
      </c>
      <c r="O76" s="1703">
        <f t="shared" si="23"/>
        <v>100797636</v>
      </c>
      <c r="P76" s="945"/>
      <c r="Q76" s="948"/>
      <c r="S76" s="948"/>
    </row>
    <row r="77" spans="1:20" s="936" customFormat="1" x14ac:dyDescent="0.25">
      <c r="A77" s="949"/>
      <c r="C77" s="950">
        <f>+(C75-C76)/C75</f>
        <v>0.11967632225365014</v>
      </c>
      <c r="D77" s="950">
        <f t="shared" ref="D77:O77" si="24">+(D75-D76)/D75</f>
        <v>-2.5831937602880498E-2</v>
      </c>
      <c r="E77" s="950">
        <f t="shared" si="24"/>
        <v>-0.15102561285023605</v>
      </c>
      <c r="F77" s="950">
        <f t="shared" si="24"/>
        <v>-4.5890410822661772E-2</v>
      </c>
      <c r="G77" s="950">
        <f t="shared" si="24"/>
        <v>0.32760865349990304</v>
      </c>
      <c r="H77" s="950">
        <f t="shared" si="24"/>
        <v>-7.8952476731417892E-2</v>
      </c>
      <c r="I77" s="950">
        <f t="shared" si="24"/>
        <v>0.23155947619930087</v>
      </c>
      <c r="J77" s="950">
        <f t="shared" si="24"/>
        <v>3.5622704355021885E-2</v>
      </c>
      <c r="K77" s="950">
        <f t="shared" si="24"/>
        <v>8.4371284786070658E-2</v>
      </c>
      <c r="L77" s="950">
        <f t="shared" si="24"/>
        <v>6.2949181071365892E-2</v>
      </c>
      <c r="M77" s="950">
        <f t="shared" si="24"/>
        <v>5.4556315064814682E-2</v>
      </c>
      <c r="N77" s="950">
        <f t="shared" si="24"/>
        <v>5.0412653956083062E-2</v>
      </c>
      <c r="O77" s="950">
        <f t="shared" si="24"/>
        <v>6.0158353045528981E-2</v>
      </c>
      <c r="P77" s="934"/>
      <c r="Q77" s="938"/>
      <c r="S77" s="938"/>
    </row>
    <row r="78" spans="1:20" s="923" customFormat="1" ht="19.5" x14ac:dyDescent="0.35">
      <c r="A78" s="1672" t="s">
        <v>1233</v>
      </c>
      <c r="B78" s="1673"/>
      <c r="C78" s="1673"/>
      <c r="D78" s="1674"/>
      <c r="E78" s="1674"/>
      <c r="F78" s="1675"/>
      <c r="G78" s="1674"/>
      <c r="H78" s="1674"/>
      <c r="I78" s="1674"/>
      <c r="J78" s="1675"/>
      <c r="K78" s="1674"/>
      <c r="L78" s="1674"/>
      <c r="M78" s="1674"/>
      <c r="N78" s="1674"/>
      <c r="O78" s="1676"/>
      <c r="P78" s="921"/>
      <c r="Q78" s="922"/>
      <c r="S78" s="922"/>
    </row>
    <row r="79" spans="1:20" ht="15.75" x14ac:dyDescent="0.3">
      <c r="A79" s="912"/>
      <c r="B79" s="913"/>
      <c r="C79" s="913"/>
      <c r="D79" s="913"/>
      <c r="E79" s="913"/>
      <c r="F79" s="914"/>
      <c r="G79" s="913"/>
      <c r="H79" s="913"/>
      <c r="I79" s="913"/>
      <c r="J79" s="914"/>
      <c r="K79" s="913"/>
      <c r="L79" s="913"/>
      <c r="M79" s="913"/>
      <c r="N79" s="913"/>
      <c r="O79" s="928" t="s">
        <v>1969</v>
      </c>
    </row>
    <row r="80" spans="1:20" x14ac:dyDescent="0.25">
      <c r="A80" s="912"/>
      <c r="B80" s="913"/>
      <c r="C80" s="913">
        <v>1</v>
      </c>
      <c r="D80" s="913">
        <v>2</v>
      </c>
      <c r="E80" s="913">
        <v>3</v>
      </c>
      <c r="F80" s="914">
        <v>4</v>
      </c>
      <c r="G80" s="913">
        <v>5</v>
      </c>
      <c r="H80" s="913">
        <v>6</v>
      </c>
      <c r="I80" s="913">
        <v>7</v>
      </c>
      <c r="J80" s="914">
        <v>8</v>
      </c>
      <c r="K80" s="913">
        <v>9</v>
      </c>
      <c r="L80" s="913">
        <v>10</v>
      </c>
      <c r="M80" s="913">
        <v>11</v>
      </c>
      <c r="N80" s="913">
        <v>12</v>
      </c>
      <c r="O80" s="929" t="s">
        <v>598</v>
      </c>
    </row>
    <row r="81" spans="1:20" s="936" customFormat="1" x14ac:dyDescent="0.25">
      <c r="A81" s="930">
        <v>1111</v>
      </c>
      <c r="B81" s="931" t="s">
        <v>859</v>
      </c>
      <c r="C81" s="939">
        <v>1952101</v>
      </c>
      <c r="D81" s="939">
        <v>1454917</v>
      </c>
      <c r="E81" s="939">
        <v>1083457</v>
      </c>
      <c r="F81" s="939">
        <v>1125303</v>
      </c>
      <c r="G81" s="939">
        <v>1316702</v>
      </c>
      <c r="H81" s="939">
        <v>1773936</v>
      </c>
      <c r="I81" s="939">
        <v>1852259</v>
      </c>
      <c r="J81" s="939">
        <v>1683465</v>
      </c>
      <c r="K81" s="939">
        <v>2041034</v>
      </c>
      <c r="L81" s="939">
        <v>1736865</v>
      </c>
      <c r="M81" s="939">
        <v>1873374</v>
      </c>
      <c r="N81" s="939">
        <v>2271546</v>
      </c>
      <c r="O81" s="933">
        <f>SUM(C81:N81)</f>
        <v>20164959</v>
      </c>
      <c r="P81" s="934"/>
      <c r="Q81" s="935"/>
      <c r="S81" s="938">
        <f>+O81/$O$87*$S$87</f>
        <v>18660758.047935143</v>
      </c>
      <c r="T81" s="3070" t="s">
        <v>708</v>
      </c>
    </row>
    <row r="82" spans="1:20" s="936" customFormat="1" x14ac:dyDescent="0.25">
      <c r="A82" s="930">
        <v>1112</v>
      </c>
      <c r="B82" s="931" t="s">
        <v>859</v>
      </c>
      <c r="C82" s="939">
        <v>98659</v>
      </c>
      <c r="D82" s="939">
        <v>47959</v>
      </c>
      <c r="E82" s="939">
        <v>185926</v>
      </c>
      <c r="F82" s="939">
        <v>0</v>
      </c>
      <c r="G82" s="939">
        <v>0</v>
      </c>
      <c r="H82" s="939">
        <v>0</v>
      </c>
      <c r="I82" s="939">
        <v>592085</v>
      </c>
      <c r="J82" s="939">
        <v>0</v>
      </c>
      <c r="K82" s="939">
        <v>297682</v>
      </c>
      <c r="L82" s="939">
        <v>102004</v>
      </c>
      <c r="M82" s="939">
        <v>75517</v>
      </c>
      <c r="N82" s="939">
        <v>415679</v>
      </c>
      <c r="O82" s="933">
        <f t="shared" ref="O82:O86" si="25">SUM(C82:N82)</f>
        <v>1815511</v>
      </c>
      <c r="P82" s="934"/>
      <c r="Q82" s="935"/>
      <c r="S82" s="938">
        <f t="shared" ref="S82:S85" si="26">+O82/$O$87*$S$87</f>
        <v>1680083.331900887</v>
      </c>
      <c r="T82" s="3070"/>
    </row>
    <row r="83" spans="1:20" s="936" customFormat="1" x14ac:dyDescent="0.25">
      <c r="A83" s="930">
        <v>1113</v>
      </c>
      <c r="B83" s="931" t="s">
        <v>859</v>
      </c>
      <c r="C83" s="939">
        <v>268348</v>
      </c>
      <c r="D83" s="939">
        <v>316162</v>
      </c>
      <c r="E83" s="939">
        <v>216326</v>
      </c>
      <c r="F83" s="939">
        <v>252913</v>
      </c>
      <c r="G83" s="939">
        <v>286345</v>
      </c>
      <c r="H83" s="939">
        <v>313470</v>
      </c>
      <c r="I83" s="939">
        <v>403637</v>
      </c>
      <c r="J83" s="939">
        <v>429952</v>
      </c>
      <c r="K83" s="939">
        <v>455411</v>
      </c>
      <c r="L83" s="939">
        <v>323603</v>
      </c>
      <c r="M83" s="939">
        <v>356122</v>
      </c>
      <c r="N83" s="939">
        <v>413289</v>
      </c>
      <c r="O83" s="933">
        <f t="shared" si="25"/>
        <v>4035578</v>
      </c>
      <c r="P83" s="934"/>
      <c r="Q83" s="935"/>
      <c r="S83" s="938">
        <f t="shared" si="26"/>
        <v>3734544.89253214</v>
      </c>
      <c r="T83" s="3070"/>
    </row>
    <row r="84" spans="1:20" s="936" customFormat="1" x14ac:dyDescent="0.25">
      <c r="A84" s="930">
        <v>1121</v>
      </c>
      <c r="B84" s="931" t="s">
        <v>860</v>
      </c>
      <c r="C84" s="939">
        <v>532243</v>
      </c>
      <c r="D84" s="939">
        <v>217137</v>
      </c>
      <c r="E84" s="939">
        <v>4356589</v>
      </c>
      <c r="F84" s="939">
        <v>1154900</v>
      </c>
      <c r="G84" s="939">
        <v>599542</v>
      </c>
      <c r="H84" s="939">
        <v>4735595</v>
      </c>
      <c r="I84" s="939">
        <v>7344105</v>
      </c>
      <c r="J84" s="939">
        <v>0</v>
      </c>
      <c r="K84" s="939">
        <v>5063566</v>
      </c>
      <c r="L84" s="939">
        <v>896397</v>
      </c>
      <c r="M84" s="939">
        <v>89823</v>
      </c>
      <c r="N84" s="939">
        <v>5451505</v>
      </c>
      <c r="O84" s="933">
        <f t="shared" si="25"/>
        <v>30441402</v>
      </c>
      <c r="P84" s="934"/>
      <c r="Q84" s="935"/>
      <c r="S84" s="938">
        <f t="shared" si="26"/>
        <v>28170631.904678255</v>
      </c>
      <c r="T84" s="3070"/>
    </row>
    <row r="85" spans="1:20" s="936" customFormat="1" x14ac:dyDescent="0.25">
      <c r="A85" s="930">
        <v>1211</v>
      </c>
      <c r="B85" s="931" t="s">
        <v>861</v>
      </c>
      <c r="C85" s="939">
        <v>5359536</v>
      </c>
      <c r="D85" s="939">
        <v>6578858</v>
      </c>
      <c r="E85" s="939">
        <v>3035541</v>
      </c>
      <c r="F85" s="939">
        <v>4686528</v>
      </c>
      <c r="G85" s="939">
        <v>7199459</v>
      </c>
      <c r="H85" s="939">
        <v>4710017</v>
      </c>
      <c r="I85" s="939">
        <v>6143720</v>
      </c>
      <c r="J85" s="939">
        <v>6911230</v>
      </c>
      <c r="K85" s="939">
        <v>5247075</v>
      </c>
      <c r="L85" s="939">
        <v>5682558</v>
      </c>
      <c r="M85" s="939">
        <v>8230766</v>
      </c>
      <c r="N85" s="939">
        <v>5508635</v>
      </c>
      <c r="O85" s="933">
        <f t="shared" si="25"/>
        <v>69293923</v>
      </c>
      <c r="P85" s="934">
        <f>SUM(O81:O85)</f>
        <v>125751373</v>
      </c>
      <c r="Q85" s="935"/>
      <c r="S85" s="938">
        <f t="shared" si="26"/>
        <v>64124957.124646172</v>
      </c>
      <c r="T85" s="3070"/>
    </row>
    <row r="86" spans="1:20" s="947" customFormat="1" x14ac:dyDescent="0.25">
      <c r="A86" s="940">
        <v>1511</v>
      </c>
      <c r="B86" s="941" t="s">
        <v>862</v>
      </c>
      <c r="C86" s="942">
        <v>70782</v>
      </c>
      <c r="D86" s="942">
        <v>57100</v>
      </c>
      <c r="E86" s="942">
        <v>85368</v>
      </c>
      <c r="F86" s="942">
        <v>19561</v>
      </c>
      <c r="G86" s="942">
        <v>0</v>
      </c>
      <c r="H86" s="942">
        <v>5597336</v>
      </c>
      <c r="I86" s="942">
        <v>287417</v>
      </c>
      <c r="J86" s="942">
        <v>158426</v>
      </c>
      <c r="K86" s="942">
        <v>69277</v>
      </c>
      <c r="L86" s="943">
        <v>26816</v>
      </c>
      <c r="M86" s="943">
        <v>7877</v>
      </c>
      <c r="N86" s="943">
        <v>1147617</v>
      </c>
      <c r="O86" s="944">
        <f t="shared" si="25"/>
        <v>7527577</v>
      </c>
      <c r="P86" s="945"/>
      <c r="Q86" s="946"/>
      <c r="S86" s="948">
        <v>7800000</v>
      </c>
    </row>
    <row r="87" spans="1:20" s="923" customFormat="1" x14ac:dyDescent="0.25">
      <c r="A87" s="917"/>
      <c r="B87" s="918" t="s">
        <v>863</v>
      </c>
      <c r="C87" s="919">
        <f>SUM(C81:C86)</f>
        <v>8281669</v>
      </c>
      <c r="D87" s="919">
        <f>SUM(D81:D86)</f>
        <v>8672133</v>
      </c>
      <c r="E87" s="919">
        <f>SUM(E81:E86)</f>
        <v>8963207</v>
      </c>
      <c r="F87" s="919">
        <f>SUM(F81:F86)</f>
        <v>7239205</v>
      </c>
      <c r="G87" s="919">
        <f>SUM(G81:G86)</f>
        <v>9402048</v>
      </c>
      <c r="H87" s="919">
        <f t="shared" ref="H87:N87" si="27">SUM(H81:H86)</f>
        <v>17130354</v>
      </c>
      <c r="I87" s="919">
        <f t="shared" si="27"/>
        <v>16623223</v>
      </c>
      <c r="J87" s="919">
        <f t="shared" si="27"/>
        <v>9183073</v>
      </c>
      <c r="K87" s="919">
        <f t="shared" si="27"/>
        <v>13174045</v>
      </c>
      <c r="L87" s="919">
        <f t="shared" si="27"/>
        <v>8768243</v>
      </c>
      <c r="M87" s="919">
        <f t="shared" si="27"/>
        <v>10633479</v>
      </c>
      <c r="N87" s="919">
        <f t="shared" si="27"/>
        <v>15208271</v>
      </c>
      <c r="O87" s="920">
        <f>SUM(O81:O86)</f>
        <v>133278950</v>
      </c>
      <c r="P87" s="921"/>
      <c r="Q87" s="927"/>
      <c r="R87" s="927"/>
      <c r="S87" s="922">
        <v>123337034.24999999</v>
      </c>
    </row>
    <row r="88" spans="1:20" x14ac:dyDescent="0.25">
      <c r="C88" s="910">
        <f>+C87-C71</f>
        <v>-159967</v>
      </c>
      <c r="D88" s="910">
        <f>+D87-D71</f>
        <v>888146.59999999963</v>
      </c>
      <c r="E88" s="910">
        <f>+E87-E71</f>
        <v>1203168</v>
      </c>
      <c r="F88" s="910">
        <f>+F87-F71</f>
        <v>2188300</v>
      </c>
      <c r="G88" s="910">
        <f>+G87-G71</f>
        <v>2530723</v>
      </c>
      <c r="H88" s="910">
        <f t="shared" ref="H88:J88" si="28">+H87-H71</f>
        <v>1080291</v>
      </c>
      <c r="I88" s="910">
        <f t="shared" si="28"/>
        <v>4146149</v>
      </c>
      <c r="J88" s="910">
        <f t="shared" si="28"/>
        <v>1155216</v>
      </c>
      <c r="K88" s="910">
        <f t="shared" ref="K88:L88" si="29">+K87-K71</f>
        <v>1572764</v>
      </c>
      <c r="L88" s="910">
        <f t="shared" si="29"/>
        <v>1035376</v>
      </c>
      <c r="M88" s="910">
        <f t="shared" ref="M88:O88" si="30">+M87-M71</f>
        <v>1747275</v>
      </c>
      <c r="N88" s="910">
        <f t="shared" si="30"/>
        <v>855658</v>
      </c>
      <c r="O88" s="910">
        <f t="shared" si="30"/>
        <v>18243099.599999994</v>
      </c>
      <c r="P88" s="909">
        <f>+P85-P69</f>
        <v>18501778</v>
      </c>
      <c r="S88" s="910">
        <f>SUM(S81:S85)</f>
        <v>116370975.30169261</v>
      </c>
    </row>
    <row r="89" spans="1:20" x14ac:dyDescent="0.25">
      <c r="C89" s="950">
        <f>+(C87-C71)/C87</f>
        <v>-1.9315792505109779E-2</v>
      </c>
      <c r="D89" s="950">
        <f>+(D87-D71)/D87</f>
        <v>0.10241385827454441</v>
      </c>
      <c r="E89" s="950">
        <f>+(E87-E71)/E87</f>
        <v>0.13423409723774091</v>
      </c>
      <c r="F89" s="950">
        <f>+(F87-F71)/F87</f>
        <v>0.30228457406579867</v>
      </c>
      <c r="G89" s="950">
        <f>+(G87-G71)/G87</f>
        <v>0.26916720697448043</v>
      </c>
      <c r="H89" s="950">
        <f t="shared" ref="H89:J89" si="31">+(H87-H71)/H87</f>
        <v>6.3062969977152841E-2</v>
      </c>
      <c r="I89" s="950">
        <f t="shared" si="31"/>
        <v>0.24941908076430183</v>
      </c>
      <c r="J89" s="950">
        <f t="shared" si="31"/>
        <v>0.12579841192594243</v>
      </c>
      <c r="K89" s="950">
        <f t="shared" ref="K89:L89" si="32">+(K87-K71)/K87</f>
        <v>0.11938353026727934</v>
      </c>
      <c r="L89" s="950">
        <f t="shared" si="32"/>
        <v>0.11808249383599428</v>
      </c>
      <c r="M89" s="950">
        <f t="shared" ref="M89:O89" si="33">+(M87-M71)/M87</f>
        <v>0.16431828190942965</v>
      </c>
      <c r="N89" s="950">
        <f t="shared" si="33"/>
        <v>5.6262674435509467E-2</v>
      </c>
      <c r="O89" s="950">
        <f t="shared" si="33"/>
        <v>0.13687907655334916</v>
      </c>
    </row>
    <row r="90" spans="1:20" x14ac:dyDescent="0.25">
      <c r="C90" s="910"/>
      <c r="J90" s="911"/>
      <c r="O90" s="910">
        <f>+O87-O71</f>
        <v>18243099.599999994</v>
      </c>
    </row>
    <row r="91" spans="1:20" s="947" customFormat="1" x14ac:dyDescent="0.25">
      <c r="A91" s="3071" t="s">
        <v>708</v>
      </c>
      <c r="B91" s="1702"/>
      <c r="C91" s="1703">
        <f>SUM(C81:C85)</f>
        <v>8210887</v>
      </c>
      <c r="D91" s="1703">
        <f>SUM(D81:D85)</f>
        <v>8615033</v>
      </c>
      <c r="E91" s="1703">
        <f>SUM(E81:E85)</f>
        <v>8877839</v>
      </c>
      <c r="F91" s="1703">
        <f>SUM(F81:F85)</f>
        <v>7219644</v>
      </c>
      <c r="G91" s="1703">
        <f>SUM(G81:G85)</f>
        <v>9402048</v>
      </c>
      <c r="H91" s="1703">
        <f t="shared" ref="H91:J91" si="34">SUM(H81:H85)</f>
        <v>11533018</v>
      </c>
      <c r="I91" s="1703">
        <f t="shared" si="34"/>
        <v>16335806</v>
      </c>
      <c r="J91" s="1703">
        <f t="shared" si="34"/>
        <v>9024647</v>
      </c>
      <c r="K91" s="1703">
        <f t="shared" ref="K91:L91" si="35">SUM(K81:K85)</f>
        <v>13104768</v>
      </c>
      <c r="L91" s="1703">
        <f t="shared" si="35"/>
        <v>8741427</v>
      </c>
      <c r="M91" s="1703">
        <f t="shared" ref="M91:O91" si="36">SUM(M81:M85)</f>
        <v>10625602</v>
      </c>
      <c r="N91" s="1703">
        <f t="shared" si="36"/>
        <v>14060654</v>
      </c>
      <c r="O91" s="1703">
        <f t="shared" si="36"/>
        <v>125751373</v>
      </c>
      <c r="P91" s="945"/>
      <c r="Q91" s="948"/>
      <c r="S91" s="948"/>
    </row>
    <row r="92" spans="1:20" s="947" customFormat="1" x14ac:dyDescent="0.25">
      <c r="A92" s="3071"/>
      <c r="B92" s="1702"/>
      <c r="C92" s="1703">
        <f>SUM(C65:C69)</f>
        <v>8384265</v>
      </c>
      <c r="D92" s="1703">
        <f>SUM(D65:D69)</f>
        <v>7780872</v>
      </c>
      <c r="E92" s="1703">
        <f>SUM(E65:E69)</f>
        <v>7708123</v>
      </c>
      <c r="F92" s="1703">
        <f>SUM(F65:F69)</f>
        <v>5027303</v>
      </c>
      <c r="G92" s="1703">
        <f>SUM(G65:G69)</f>
        <v>6786988</v>
      </c>
      <c r="H92" s="1703">
        <f t="shared" ref="H92:J92" si="37">SUM(H65:H69)</f>
        <v>10370099</v>
      </c>
      <c r="I92" s="1703">
        <f t="shared" si="37"/>
        <v>12270774</v>
      </c>
      <c r="J92" s="1703">
        <f t="shared" si="37"/>
        <v>7904369</v>
      </c>
      <c r="K92" s="1703">
        <f t="shared" ref="K92:L92" si="38">SUM(K65:K69)</f>
        <v>11569825</v>
      </c>
      <c r="L92" s="1703">
        <f t="shared" si="38"/>
        <v>7668678</v>
      </c>
      <c r="M92" s="1703">
        <f t="shared" ref="M92:O92" si="39">SUM(M65:M69)</f>
        <v>8710449</v>
      </c>
      <c r="N92" s="1703">
        <f t="shared" si="39"/>
        <v>13067850</v>
      </c>
      <c r="O92" s="1703">
        <f t="shared" si="39"/>
        <v>107249595</v>
      </c>
      <c r="P92" s="945"/>
      <c r="Q92" s="948"/>
      <c r="S92" s="948"/>
    </row>
    <row r="93" spans="1:20" x14ac:dyDescent="0.25">
      <c r="C93" s="950">
        <f>+(C91-C92)/C91</f>
        <v>-2.1115623683531388E-2</v>
      </c>
      <c r="D93" s="950">
        <f>+(D91-D92)/D91</f>
        <v>9.6826210648293512E-2</v>
      </c>
      <c r="E93" s="950">
        <f>+(E91-E92)/E91</f>
        <v>0.13175683857299056</v>
      </c>
      <c r="F93" s="950">
        <f>+(F91-F92)/F91</f>
        <v>0.30366331082252807</v>
      </c>
      <c r="G93" s="950">
        <f>+(G91-G92)/G91</f>
        <v>0.27813727392159665</v>
      </c>
      <c r="H93" s="950">
        <f t="shared" ref="H93:J93" si="40">+(H91-H92)/H91</f>
        <v>0.10083388407093442</v>
      </c>
      <c r="I93" s="950">
        <f t="shared" si="40"/>
        <v>0.24884183859676101</v>
      </c>
      <c r="J93" s="950">
        <f t="shared" si="40"/>
        <v>0.12413538169415379</v>
      </c>
      <c r="K93" s="950">
        <f t="shared" ref="K93:L93" si="41">+(K91-K92)/K91</f>
        <v>0.117128590143679</v>
      </c>
      <c r="L93" s="950">
        <f t="shared" si="41"/>
        <v>0.12272012338488898</v>
      </c>
      <c r="M93" s="950">
        <f t="shared" ref="M93:O93" si="42">+(M91-M92)/M91</f>
        <v>0.18023948196064563</v>
      </c>
      <c r="N93" s="950">
        <f t="shared" si="42"/>
        <v>7.0608664433389798E-2</v>
      </c>
      <c r="O93" s="950">
        <f t="shared" si="42"/>
        <v>0.14712982895224533</v>
      </c>
    </row>
    <row r="94" spans="1:20" s="923" customFormat="1" ht="19.5" x14ac:dyDescent="0.35">
      <c r="A94" s="1672" t="s">
        <v>1568</v>
      </c>
      <c r="B94" s="1673"/>
      <c r="C94" s="1673"/>
      <c r="D94" s="1674"/>
      <c r="E94" s="1674"/>
      <c r="F94" s="1675"/>
      <c r="G94" s="1674"/>
      <c r="H94" s="1674"/>
      <c r="I94" s="1674"/>
      <c r="J94" s="1675"/>
      <c r="K94" s="1674"/>
      <c r="L94" s="1674"/>
      <c r="M94" s="1674"/>
      <c r="N94" s="1674"/>
      <c r="O94" s="1676"/>
      <c r="P94" s="921"/>
      <c r="Q94" s="922"/>
      <c r="S94" s="922"/>
    </row>
    <row r="95" spans="1:20" ht="15.75" x14ac:dyDescent="0.3">
      <c r="A95" s="912"/>
      <c r="B95" s="913"/>
      <c r="C95" s="913"/>
      <c r="D95" s="913"/>
      <c r="E95" s="913"/>
      <c r="F95" s="914"/>
      <c r="G95" s="913"/>
      <c r="H95" s="913"/>
      <c r="I95" s="913"/>
      <c r="J95" s="914"/>
      <c r="K95" s="913"/>
      <c r="L95" s="913"/>
      <c r="M95" s="913"/>
      <c r="N95" s="913"/>
      <c r="O95" s="928" t="s">
        <v>1968</v>
      </c>
    </row>
    <row r="96" spans="1:20" x14ac:dyDescent="0.25">
      <c r="A96" s="912"/>
      <c r="B96" s="913"/>
      <c r="C96" s="913">
        <v>1</v>
      </c>
      <c r="D96" s="913">
        <v>2</v>
      </c>
      <c r="E96" s="913">
        <v>3</v>
      </c>
      <c r="F96" s="914">
        <v>4</v>
      </c>
      <c r="G96" s="913">
        <v>5</v>
      </c>
      <c r="H96" s="913">
        <v>6</v>
      </c>
      <c r="I96" s="913">
        <v>7</v>
      </c>
      <c r="J96" s="914">
        <v>8</v>
      </c>
      <c r="K96" s="913">
        <v>9</v>
      </c>
      <c r="L96" s="913">
        <v>10</v>
      </c>
      <c r="M96" s="913">
        <v>11</v>
      </c>
      <c r="N96" s="913">
        <v>12</v>
      </c>
      <c r="O96" s="929" t="s">
        <v>598</v>
      </c>
    </row>
    <row r="97" spans="1:20" s="936" customFormat="1" x14ac:dyDescent="0.25">
      <c r="A97" s="930">
        <v>1111</v>
      </c>
      <c r="B97" s="931" t="s">
        <v>859</v>
      </c>
      <c r="C97" s="939">
        <v>2099475</v>
      </c>
      <c r="D97" s="939">
        <v>2010173</v>
      </c>
      <c r="E97" s="939">
        <v>1612252</v>
      </c>
      <c r="F97" s="939">
        <v>1398703</v>
      </c>
      <c r="G97" s="939">
        <v>1766083</v>
      </c>
      <c r="H97" s="939">
        <v>2111254</v>
      </c>
      <c r="I97" s="939">
        <v>2109462</v>
      </c>
      <c r="J97" s="939">
        <v>2081832</v>
      </c>
      <c r="K97" s="939">
        <v>2282012</v>
      </c>
      <c r="L97" s="939">
        <v>1926736</v>
      </c>
      <c r="M97" s="939">
        <v>2230343</v>
      </c>
      <c r="N97" s="939">
        <v>2537458</v>
      </c>
      <c r="O97" s="933">
        <f>SUM(C97:N97)</f>
        <v>24165783</v>
      </c>
      <c r="P97" s="934"/>
      <c r="Q97" s="935">
        <f>+SUM(C97:D97)</f>
        <v>4109648</v>
      </c>
      <c r="S97" s="938">
        <f>+Q97/2*12</f>
        <v>24657888</v>
      </c>
      <c r="T97" s="3070"/>
    </row>
    <row r="98" spans="1:20" s="936" customFormat="1" x14ac:dyDescent="0.25">
      <c r="A98" s="930">
        <v>1112</v>
      </c>
      <c r="B98" s="931" t="s">
        <v>859</v>
      </c>
      <c r="C98" s="939">
        <v>110222</v>
      </c>
      <c r="D98" s="939">
        <v>71655</v>
      </c>
      <c r="E98" s="939">
        <v>171492</v>
      </c>
      <c r="F98" s="939">
        <v>0</v>
      </c>
      <c r="G98" s="939">
        <v>0</v>
      </c>
      <c r="H98" s="939">
        <v>0</v>
      </c>
      <c r="I98" s="939">
        <v>582901</v>
      </c>
      <c r="J98" s="939">
        <v>0</v>
      </c>
      <c r="K98" s="939">
        <v>319028</v>
      </c>
      <c r="L98" s="939">
        <v>135428</v>
      </c>
      <c r="M98" s="939">
        <v>116889</v>
      </c>
      <c r="N98" s="939">
        <v>485658</v>
      </c>
      <c r="O98" s="933">
        <f t="shared" ref="O98:O102" si="43">SUM(C98:N98)</f>
        <v>1993273</v>
      </c>
      <c r="P98" s="934"/>
      <c r="Q98" s="935">
        <f t="shared" ref="Q98:Q102" si="44">+SUM(C98:D98)</f>
        <v>181877</v>
      </c>
      <c r="S98" s="938">
        <f t="shared" ref="S98:S102" si="45">+Q98/2*12</f>
        <v>1091262</v>
      </c>
      <c r="T98" s="3070"/>
    </row>
    <row r="99" spans="1:20" s="936" customFormat="1" x14ac:dyDescent="0.25">
      <c r="A99" s="930">
        <v>1113</v>
      </c>
      <c r="B99" s="931" t="s">
        <v>859</v>
      </c>
      <c r="C99" s="939">
        <v>431456</v>
      </c>
      <c r="D99" s="939">
        <v>445138</v>
      </c>
      <c r="E99" s="939">
        <v>348840</v>
      </c>
      <c r="F99" s="939">
        <v>369832</v>
      </c>
      <c r="G99" s="939">
        <v>399993</v>
      </c>
      <c r="H99" s="939">
        <v>460482</v>
      </c>
      <c r="I99" s="939">
        <v>562490</v>
      </c>
      <c r="J99" s="939">
        <v>543599</v>
      </c>
      <c r="K99" s="939">
        <v>770010</v>
      </c>
      <c r="L99" s="939">
        <v>454779</v>
      </c>
      <c r="M99" s="939">
        <v>490755</v>
      </c>
      <c r="N99" s="939">
        <v>472154</v>
      </c>
      <c r="O99" s="933">
        <f t="shared" si="43"/>
        <v>5749528</v>
      </c>
      <c r="P99" s="934"/>
      <c r="Q99" s="935">
        <f t="shared" si="44"/>
        <v>876594</v>
      </c>
      <c r="S99" s="938">
        <f t="shared" si="45"/>
        <v>5259564</v>
      </c>
      <c r="T99" s="3070"/>
    </row>
    <row r="100" spans="1:20" s="936" customFormat="1" x14ac:dyDescent="0.25">
      <c r="A100" s="930">
        <v>1121</v>
      </c>
      <c r="B100" s="931" t="s">
        <v>860</v>
      </c>
      <c r="C100" s="939">
        <v>824058</v>
      </c>
      <c r="D100" s="939">
        <v>315545</v>
      </c>
      <c r="E100" s="939">
        <v>5559315</v>
      </c>
      <c r="F100" s="939">
        <v>1284674</v>
      </c>
      <c r="G100" s="939">
        <v>722850</v>
      </c>
      <c r="H100" s="939">
        <v>5798278</v>
      </c>
      <c r="I100" s="939">
        <v>12162397</v>
      </c>
      <c r="J100" s="939">
        <v>0</v>
      </c>
      <c r="K100" s="939">
        <v>6004349</v>
      </c>
      <c r="L100" s="939">
        <v>1306597</v>
      </c>
      <c r="M100" s="939">
        <v>1122643</v>
      </c>
      <c r="N100" s="939">
        <v>6645872</v>
      </c>
      <c r="O100" s="933">
        <f t="shared" si="43"/>
        <v>41746578</v>
      </c>
      <c r="P100" s="934"/>
      <c r="Q100" s="935">
        <f t="shared" si="44"/>
        <v>1139603</v>
      </c>
      <c r="S100" s="938">
        <f t="shared" si="45"/>
        <v>6837618</v>
      </c>
      <c r="T100" s="3070"/>
    </row>
    <row r="101" spans="1:20" s="936" customFormat="1" x14ac:dyDescent="0.25">
      <c r="A101" s="930">
        <v>1211</v>
      </c>
      <c r="B101" s="931" t="s">
        <v>861</v>
      </c>
      <c r="C101" s="939">
        <v>6350753</v>
      </c>
      <c r="D101" s="939">
        <v>7057253</v>
      </c>
      <c r="E101" s="939">
        <v>4179948</v>
      </c>
      <c r="F101" s="939">
        <v>4655684</v>
      </c>
      <c r="G101" s="939">
        <v>7702224</v>
      </c>
      <c r="H101" s="939">
        <v>4915172</v>
      </c>
      <c r="I101" s="939">
        <v>6262349</v>
      </c>
      <c r="J101" s="939">
        <v>7410450</v>
      </c>
      <c r="K101" s="939">
        <v>5116589</v>
      </c>
      <c r="L101" s="939">
        <v>6255794</v>
      </c>
      <c r="M101" s="939">
        <v>7575056</v>
      </c>
      <c r="N101" s="939">
        <v>7497395</v>
      </c>
      <c r="O101" s="933">
        <f t="shared" si="43"/>
        <v>74978667</v>
      </c>
      <c r="P101" s="934">
        <f>SUM(O97:O101)</f>
        <v>148633829</v>
      </c>
      <c r="Q101" s="935">
        <f t="shared" si="44"/>
        <v>13408006</v>
      </c>
      <c r="S101" s="938">
        <f t="shared" si="45"/>
        <v>80448036</v>
      </c>
      <c r="T101" s="3070"/>
    </row>
    <row r="102" spans="1:20" s="947" customFormat="1" x14ac:dyDescent="0.25">
      <c r="A102" s="940">
        <v>1511</v>
      </c>
      <c r="B102" s="941" t="s">
        <v>862</v>
      </c>
      <c r="C102" s="942">
        <v>200751</v>
      </c>
      <c r="D102" s="942">
        <v>10029</v>
      </c>
      <c r="E102" s="942">
        <v>0</v>
      </c>
      <c r="F102" s="942">
        <v>0</v>
      </c>
      <c r="G102" s="942">
        <v>0</v>
      </c>
      <c r="H102" s="942">
        <v>5886083</v>
      </c>
      <c r="I102" s="942">
        <v>273417</v>
      </c>
      <c r="J102" s="942">
        <v>55789</v>
      </c>
      <c r="K102" s="942">
        <v>8745</v>
      </c>
      <c r="L102" s="943">
        <v>57033</v>
      </c>
      <c r="M102" s="943">
        <v>188089</v>
      </c>
      <c r="N102" s="943">
        <v>1246444</v>
      </c>
      <c r="O102" s="944">
        <f t="shared" si="43"/>
        <v>7926380</v>
      </c>
      <c r="P102" s="945"/>
      <c r="Q102" s="935">
        <f t="shared" si="44"/>
        <v>210780</v>
      </c>
      <c r="S102" s="938">
        <f t="shared" si="45"/>
        <v>1264680</v>
      </c>
    </row>
    <row r="103" spans="1:20" s="923" customFormat="1" x14ac:dyDescent="0.25">
      <c r="A103" s="917"/>
      <c r="B103" s="918" t="s">
        <v>863</v>
      </c>
      <c r="C103" s="919">
        <f>SUM(C97:C102)</f>
        <v>10016715</v>
      </c>
      <c r="D103" s="919">
        <f>SUM(D97:D102)</f>
        <v>9909793</v>
      </c>
      <c r="E103" s="919">
        <f>SUM(E97:E102)</f>
        <v>11871847</v>
      </c>
      <c r="F103" s="919">
        <f>SUM(F97:F102)</f>
        <v>7708893</v>
      </c>
      <c r="G103" s="919">
        <f>SUM(G97:G102)</f>
        <v>10591150</v>
      </c>
      <c r="H103" s="919">
        <f t="shared" ref="H103:N103" si="46">SUM(H97:H102)</f>
        <v>19171269</v>
      </c>
      <c r="I103" s="919">
        <f t="shared" si="46"/>
        <v>21953016</v>
      </c>
      <c r="J103" s="919">
        <f t="shared" si="46"/>
        <v>10091670</v>
      </c>
      <c r="K103" s="919">
        <f t="shared" si="46"/>
        <v>14500733</v>
      </c>
      <c r="L103" s="919">
        <f t="shared" si="46"/>
        <v>10136367</v>
      </c>
      <c r="M103" s="919">
        <f t="shared" si="46"/>
        <v>11723775</v>
      </c>
      <c r="N103" s="919">
        <f t="shared" si="46"/>
        <v>18884981</v>
      </c>
      <c r="O103" s="920">
        <f>SUM(O97:O102)</f>
        <v>156560209</v>
      </c>
      <c r="P103" s="921"/>
      <c r="Q103" s="927"/>
      <c r="R103" s="927"/>
      <c r="S103" s="922"/>
    </row>
    <row r="104" spans="1:20" x14ac:dyDescent="0.25">
      <c r="C104" s="910">
        <f>+C103-C87</f>
        <v>1735046</v>
      </c>
      <c r="D104" s="910">
        <f t="shared" ref="D104:K104" si="47">+D103-D87</f>
        <v>1237660</v>
      </c>
      <c r="E104" s="910">
        <f t="shared" si="47"/>
        <v>2908640</v>
      </c>
      <c r="F104" s="910">
        <f t="shared" si="47"/>
        <v>469688</v>
      </c>
      <c r="G104" s="910">
        <f t="shared" si="47"/>
        <v>1189102</v>
      </c>
      <c r="H104" s="910">
        <f t="shared" si="47"/>
        <v>2040915</v>
      </c>
      <c r="I104" s="910">
        <f t="shared" si="47"/>
        <v>5329793</v>
      </c>
      <c r="J104" s="910">
        <f t="shared" si="47"/>
        <v>908597</v>
      </c>
      <c r="K104" s="910">
        <f t="shared" si="47"/>
        <v>1326688</v>
      </c>
      <c r="L104" s="910">
        <f t="shared" ref="L104:M104" si="48">+L103-L87</f>
        <v>1368124</v>
      </c>
      <c r="M104" s="910">
        <f t="shared" si="48"/>
        <v>1090296</v>
      </c>
      <c r="N104" s="910">
        <f t="shared" ref="N104" si="49">+N103-N87</f>
        <v>3676710</v>
      </c>
      <c r="O104" s="1671">
        <f>SUM(C104:N104)</f>
        <v>23281259</v>
      </c>
      <c r="P104" s="909">
        <f>+P101-P85</f>
        <v>22882456</v>
      </c>
    </row>
    <row r="105" spans="1:20" x14ac:dyDescent="0.25">
      <c r="C105" s="950">
        <f>+(C103-C87)/C103</f>
        <v>0.17321507100880879</v>
      </c>
      <c r="D105" s="950">
        <f t="shared" ref="D105:K105" si="50">+(D103-D87)/D103</f>
        <v>0.12489261884683162</v>
      </c>
      <c r="E105" s="950">
        <f t="shared" si="50"/>
        <v>0.24500315746993706</v>
      </c>
      <c r="F105" s="950">
        <f t="shared" si="50"/>
        <v>6.0928073589813739E-2</v>
      </c>
      <c r="G105" s="950">
        <f t="shared" si="50"/>
        <v>0.11227317146863183</v>
      </c>
      <c r="H105" s="950">
        <f t="shared" si="50"/>
        <v>0.10645695910896666</v>
      </c>
      <c r="I105" s="950">
        <f t="shared" si="50"/>
        <v>0.24278181184762951</v>
      </c>
      <c r="J105" s="950">
        <f t="shared" si="50"/>
        <v>9.0034355067099892E-2</v>
      </c>
      <c r="K105" s="950">
        <f t="shared" si="50"/>
        <v>9.1491099105127996E-2</v>
      </c>
      <c r="L105" s="950">
        <f t="shared" ref="L105:M105" si="51">+(L103-L87)/L103</f>
        <v>0.13497182965060361</v>
      </c>
      <c r="M105" s="950">
        <f t="shared" si="51"/>
        <v>9.2998714151371897E-2</v>
      </c>
      <c r="N105" s="950">
        <f t="shared" ref="N105:O105" si="52">+(N103-N87)/N103</f>
        <v>0.19468963193555769</v>
      </c>
      <c r="O105" s="950">
        <f t="shared" si="52"/>
        <v>0.14870482831304857</v>
      </c>
    </row>
    <row r="106" spans="1:20" x14ac:dyDescent="0.25">
      <c r="C106" s="950"/>
      <c r="D106" s="950"/>
      <c r="E106" s="950"/>
      <c r="F106" s="950"/>
      <c r="G106" s="950"/>
      <c r="H106" s="950"/>
      <c r="O106" s="1671">
        <f>+O103-O87</f>
        <v>23281259</v>
      </c>
    </row>
    <row r="107" spans="1:20" s="947" customFormat="1" x14ac:dyDescent="0.25">
      <c r="A107" s="3071" t="s">
        <v>708</v>
      </c>
      <c r="B107" s="1702"/>
      <c r="C107" s="1703">
        <f>SUM(C97:C101)</f>
        <v>9815964</v>
      </c>
      <c r="D107" s="1703">
        <f t="shared" ref="D107:N107" si="53">SUM(D97:D101)</f>
        <v>9899764</v>
      </c>
      <c r="E107" s="1703">
        <f t="shared" si="53"/>
        <v>11871847</v>
      </c>
      <c r="F107" s="1703">
        <f t="shared" si="53"/>
        <v>7708893</v>
      </c>
      <c r="G107" s="1703">
        <f t="shared" si="53"/>
        <v>10591150</v>
      </c>
      <c r="H107" s="1703">
        <f t="shared" si="53"/>
        <v>13285186</v>
      </c>
      <c r="I107" s="1703">
        <f t="shared" si="53"/>
        <v>21679599</v>
      </c>
      <c r="J107" s="1703">
        <f t="shared" si="53"/>
        <v>10035881</v>
      </c>
      <c r="K107" s="1703">
        <f t="shared" si="53"/>
        <v>14491988</v>
      </c>
      <c r="L107" s="1703">
        <f t="shared" si="53"/>
        <v>10079334</v>
      </c>
      <c r="M107" s="1703">
        <f t="shared" si="53"/>
        <v>11535686</v>
      </c>
      <c r="N107" s="1703">
        <f t="shared" si="53"/>
        <v>17638537</v>
      </c>
      <c r="O107" s="1703">
        <f t="shared" ref="O107" si="54">SUM(O97:O101)</f>
        <v>148633829</v>
      </c>
      <c r="P107" s="945"/>
      <c r="Q107" s="948"/>
      <c r="S107" s="948"/>
    </row>
    <row r="108" spans="1:20" s="947" customFormat="1" x14ac:dyDescent="0.25">
      <c r="A108" s="3071"/>
      <c r="B108" s="1702"/>
      <c r="C108" s="1703">
        <f>SUM(C81:C85)</f>
        <v>8210887</v>
      </c>
      <c r="D108" s="1703">
        <f t="shared" ref="D108:N108" si="55">SUM(D81:D85)</f>
        <v>8615033</v>
      </c>
      <c r="E108" s="1703">
        <f t="shared" si="55"/>
        <v>8877839</v>
      </c>
      <c r="F108" s="1703">
        <f t="shared" si="55"/>
        <v>7219644</v>
      </c>
      <c r="G108" s="1703">
        <f t="shared" si="55"/>
        <v>9402048</v>
      </c>
      <c r="H108" s="1703">
        <f t="shared" si="55"/>
        <v>11533018</v>
      </c>
      <c r="I108" s="1703">
        <f t="shared" si="55"/>
        <v>16335806</v>
      </c>
      <c r="J108" s="1703">
        <f t="shared" si="55"/>
        <v>9024647</v>
      </c>
      <c r="K108" s="1703">
        <f t="shared" si="55"/>
        <v>13104768</v>
      </c>
      <c r="L108" s="1703">
        <f t="shared" si="55"/>
        <v>8741427</v>
      </c>
      <c r="M108" s="1703">
        <f t="shared" si="55"/>
        <v>10625602</v>
      </c>
      <c r="N108" s="1703">
        <f t="shared" si="55"/>
        <v>14060654</v>
      </c>
      <c r="O108" s="1703">
        <f t="shared" ref="O108" si="56">SUM(O81:O85)</f>
        <v>125751373</v>
      </c>
      <c r="P108" s="945"/>
      <c r="Q108" s="948"/>
      <c r="S108" s="948"/>
    </row>
    <row r="109" spans="1:20" x14ac:dyDescent="0.25">
      <c r="C109" s="950">
        <f>+(C107-C108)/C107</f>
        <v>0.16351700148859552</v>
      </c>
      <c r="D109" s="950">
        <f>+(D107-D108)/D107</f>
        <v>0.12977390168088856</v>
      </c>
      <c r="E109" s="950">
        <f>+(E107-E108)/E107</f>
        <v>0.25219395094967112</v>
      </c>
      <c r="F109" s="950">
        <f>+(F107-F108)/F107</f>
        <v>6.3465532599816854E-2</v>
      </c>
      <c r="G109" s="950">
        <f>+(G107-G108)/G107</f>
        <v>0.11227317146863183</v>
      </c>
      <c r="H109" s="950">
        <f t="shared" ref="H109:O109" si="57">+(H107-H108)/H107</f>
        <v>0.13188885725800151</v>
      </c>
      <c r="I109" s="950">
        <f t="shared" si="57"/>
        <v>0.2464894761199227</v>
      </c>
      <c r="J109" s="950">
        <f t="shared" si="57"/>
        <v>0.10076185638311176</v>
      </c>
      <c r="K109" s="950">
        <f t="shared" si="57"/>
        <v>9.5723236867157224E-2</v>
      </c>
      <c r="L109" s="950">
        <f t="shared" si="57"/>
        <v>0.13273763921306705</v>
      </c>
      <c r="M109" s="950">
        <f t="shared" si="57"/>
        <v>7.889292409658169E-2</v>
      </c>
      <c r="N109" s="950">
        <f t="shared" si="57"/>
        <v>0.20284465769468296</v>
      </c>
      <c r="O109" s="950">
        <f t="shared" si="57"/>
        <v>0.15395187053951223</v>
      </c>
    </row>
    <row r="110" spans="1:20" s="923" customFormat="1" ht="19.5" x14ac:dyDescent="0.35">
      <c r="A110" s="1672" t="s">
        <v>2314</v>
      </c>
      <c r="B110" s="1673"/>
      <c r="C110" s="1673"/>
      <c r="D110" s="1674"/>
      <c r="E110" s="1674"/>
      <c r="F110" s="1675"/>
      <c r="G110" s="1674"/>
      <c r="H110" s="1674"/>
      <c r="I110" s="1674"/>
      <c r="J110" s="1675"/>
      <c r="K110" s="1674"/>
      <c r="L110" s="1674"/>
      <c r="M110" s="1674"/>
      <c r="N110" s="1674"/>
      <c r="O110" s="1676"/>
      <c r="P110" s="921"/>
      <c r="Q110" s="922"/>
      <c r="S110" s="922"/>
    </row>
    <row r="111" spans="1:20" ht="15.75" x14ac:dyDescent="0.3">
      <c r="A111" s="912"/>
      <c r="B111" s="913"/>
      <c r="C111" s="913"/>
      <c r="D111" s="913"/>
      <c r="E111" s="913"/>
      <c r="F111" s="914"/>
      <c r="G111" s="913"/>
      <c r="H111" s="913"/>
      <c r="I111" s="913"/>
      <c r="J111" s="914"/>
      <c r="K111" s="913"/>
      <c r="L111" s="913"/>
      <c r="M111" s="913"/>
      <c r="N111" s="913"/>
      <c r="O111" s="928" t="s">
        <v>2357</v>
      </c>
    </row>
    <row r="112" spans="1:20" x14ac:dyDescent="0.25">
      <c r="A112" s="912"/>
      <c r="B112" s="913"/>
      <c r="C112" s="913">
        <v>1</v>
      </c>
      <c r="D112" s="913">
        <v>2</v>
      </c>
      <c r="E112" s="913">
        <v>3</v>
      </c>
      <c r="F112" s="914">
        <v>4</v>
      </c>
      <c r="G112" s="913">
        <v>5</v>
      </c>
      <c r="H112" s="913">
        <v>6</v>
      </c>
      <c r="I112" s="913">
        <v>7</v>
      </c>
      <c r="J112" s="914">
        <v>8</v>
      </c>
      <c r="K112" s="913">
        <v>9</v>
      </c>
      <c r="L112" s="913">
        <v>10</v>
      </c>
      <c r="M112" s="913">
        <v>11</v>
      </c>
      <c r="N112" s="913">
        <v>12</v>
      </c>
      <c r="O112" s="929" t="s">
        <v>598</v>
      </c>
    </row>
    <row r="113" spans="1:21" s="936" customFormat="1" x14ac:dyDescent="0.25">
      <c r="A113" s="930">
        <v>1111</v>
      </c>
      <c r="B113" s="931" t="s">
        <v>859</v>
      </c>
      <c r="C113" s="939">
        <v>2334071</v>
      </c>
      <c r="D113" s="939">
        <v>2163965</v>
      </c>
      <c r="E113" s="939">
        <v>1840838</v>
      </c>
      <c r="F113" s="939">
        <v>1656188</v>
      </c>
      <c r="G113" s="939">
        <v>2083747</v>
      </c>
      <c r="H113" s="939">
        <v>2284358</v>
      </c>
      <c r="I113" s="939">
        <v>2403953</v>
      </c>
      <c r="J113" s="939">
        <v>2384733</v>
      </c>
      <c r="K113" s="939">
        <v>2167613</v>
      </c>
      <c r="L113" s="932">
        <v>2290321</v>
      </c>
      <c r="M113" s="932">
        <v>2350853</v>
      </c>
      <c r="N113" s="932">
        <v>854035</v>
      </c>
      <c r="O113" s="933">
        <f>SUM(C113:N113)</f>
        <v>24814675</v>
      </c>
      <c r="P113" s="934"/>
      <c r="Q113" s="935">
        <f>+SUM(C113:D113)</f>
        <v>4498036</v>
      </c>
      <c r="S113" s="938">
        <v>27863123</v>
      </c>
      <c r="T113" s="3070"/>
      <c r="U113" s="938">
        <f>+S113-O113</f>
        <v>3048448</v>
      </c>
    </row>
    <row r="114" spans="1:21" s="936" customFormat="1" x14ac:dyDescent="0.25">
      <c r="A114" s="930">
        <v>1112</v>
      </c>
      <c r="B114" s="931" t="s">
        <v>859</v>
      </c>
      <c r="C114" s="939">
        <v>110026</v>
      </c>
      <c r="D114" s="939">
        <v>84337</v>
      </c>
      <c r="E114" s="939">
        <v>168327</v>
      </c>
      <c r="F114" s="939">
        <v>0</v>
      </c>
      <c r="G114" s="939">
        <v>0</v>
      </c>
      <c r="H114" s="939">
        <v>0</v>
      </c>
      <c r="I114" s="939">
        <v>556599</v>
      </c>
      <c r="J114" s="939">
        <v>0</v>
      </c>
      <c r="K114" s="939">
        <v>239984</v>
      </c>
      <c r="L114" s="932">
        <v>181406</v>
      </c>
      <c r="M114" s="932">
        <v>108971</v>
      </c>
      <c r="N114" s="932">
        <v>33206</v>
      </c>
      <c r="O114" s="933">
        <f t="shared" ref="O114:O118" si="58">SUM(C114:N114)</f>
        <v>1482856</v>
      </c>
      <c r="P114" s="934"/>
      <c r="Q114" s="935">
        <f t="shared" ref="Q114:Q118" si="59">+SUM(C114:D114)</f>
        <v>194363</v>
      </c>
      <c r="S114" s="938">
        <v>2369138</v>
      </c>
      <c r="T114" s="3070"/>
      <c r="U114" s="938">
        <f t="shared" ref="U114:U117" si="60">+S114-O114</f>
        <v>886282</v>
      </c>
    </row>
    <row r="115" spans="1:21" s="936" customFormat="1" x14ac:dyDescent="0.25">
      <c r="A115" s="930">
        <v>1113</v>
      </c>
      <c r="B115" s="931" t="s">
        <v>859</v>
      </c>
      <c r="C115" s="939">
        <v>484736</v>
      </c>
      <c r="D115" s="939">
        <v>493571</v>
      </c>
      <c r="E115" s="939">
        <v>418711</v>
      </c>
      <c r="F115" s="939">
        <v>365681</v>
      </c>
      <c r="G115" s="939">
        <v>442203</v>
      </c>
      <c r="H115" s="939">
        <v>480918</v>
      </c>
      <c r="I115" s="939">
        <v>801421</v>
      </c>
      <c r="J115" s="939">
        <v>551316</v>
      </c>
      <c r="K115" s="939">
        <v>629613</v>
      </c>
      <c r="L115" s="932">
        <v>480686</v>
      </c>
      <c r="M115" s="932">
        <v>437176</v>
      </c>
      <c r="N115" s="932">
        <v>277797</v>
      </c>
      <c r="O115" s="933">
        <f t="shared" si="58"/>
        <v>5863829</v>
      </c>
      <c r="P115" s="934"/>
      <c r="Q115" s="935">
        <f t="shared" si="59"/>
        <v>978307</v>
      </c>
      <c r="S115" s="938">
        <f>4995791+1094834</f>
        <v>6090625</v>
      </c>
      <c r="T115" s="3070"/>
      <c r="U115" s="938">
        <f t="shared" si="60"/>
        <v>226796</v>
      </c>
    </row>
    <row r="116" spans="1:21" s="936" customFormat="1" x14ac:dyDescent="0.25">
      <c r="A116" s="930">
        <v>1121</v>
      </c>
      <c r="B116" s="931" t="s">
        <v>860</v>
      </c>
      <c r="C116" s="939">
        <v>684751</v>
      </c>
      <c r="D116" s="939">
        <v>294727</v>
      </c>
      <c r="E116" s="939">
        <v>6698213</v>
      </c>
      <c r="F116" s="939">
        <v>1017925</v>
      </c>
      <c r="G116" s="939">
        <v>865229</v>
      </c>
      <c r="H116" s="939">
        <v>5227801</v>
      </c>
      <c r="I116" s="939">
        <v>8576460</v>
      </c>
      <c r="J116" s="939">
        <v>0</v>
      </c>
      <c r="K116" s="939">
        <v>3500111</v>
      </c>
      <c r="L116" s="932">
        <v>3338890</v>
      </c>
      <c r="M116" s="932">
        <v>387177</v>
      </c>
      <c r="N116" s="932">
        <v>116899</v>
      </c>
      <c r="O116" s="933">
        <f t="shared" si="58"/>
        <v>30708183</v>
      </c>
      <c r="P116" s="934"/>
      <c r="Q116" s="935">
        <f t="shared" si="59"/>
        <v>979478</v>
      </c>
      <c r="S116" s="938">
        <v>39502801</v>
      </c>
      <c r="T116" s="3070"/>
      <c r="U116" s="938">
        <f t="shared" si="60"/>
        <v>8794618</v>
      </c>
    </row>
    <row r="117" spans="1:21" s="936" customFormat="1" x14ac:dyDescent="0.25">
      <c r="A117" s="930">
        <v>1211</v>
      </c>
      <c r="B117" s="931" t="s">
        <v>861</v>
      </c>
      <c r="C117" s="939">
        <v>6530216</v>
      </c>
      <c r="D117" s="939">
        <v>7354208</v>
      </c>
      <c r="E117" s="939">
        <v>4446900</v>
      </c>
      <c r="F117" s="939">
        <v>4967089</v>
      </c>
      <c r="G117" s="939">
        <v>6754083</v>
      </c>
      <c r="H117" s="939">
        <v>5790172</v>
      </c>
      <c r="I117" s="939">
        <v>6044136</v>
      </c>
      <c r="J117" s="939">
        <v>7056351</v>
      </c>
      <c r="K117" s="939">
        <v>5574659</v>
      </c>
      <c r="L117" s="932">
        <v>5745394</v>
      </c>
      <c r="M117" s="932">
        <v>7942810</v>
      </c>
      <c r="N117" s="932">
        <v>6274298</v>
      </c>
      <c r="O117" s="933">
        <f t="shared" si="58"/>
        <v>74480316</v>
      </c>
      <c r="P117" s="934"/>
      <c r="Q117" s="935">
        <f t="shared" si="59"/>
        <v>13884424</v>
      </c>
      <c r="S117" s="938">
        <v>77563518</v>
      </c>
      <c r="T117" s="3070"/>
      <c r="U117" s="938">
        <f t="shared" si="60"/>
        <v>3083202</v>
      </c>
    </row>
    <row r="118" spans="1:21" s="947" customFormat="1" x14ac:dyDescent="0.25">
      <c r="A118" s="940">
        <v>1511</v>
      </c>
      <c r="B118" s="941" t="s">
        <v>862</v>
      </c>
      <c r="C118" s="942">
        <v>23927</v>
      </c>
      <c r="D118" s="942">
        <v>58575</v>
      </c>
      <c r="E118" s="942">
        <v>16582</v>
      </c>
      <c r="F118" s="942">
        <v>12512</v>
      </c>
      <c r="G118" s="942">
        <v>6220</v>
      </c>
      <c r="H118" s="942">
        <v>9061938</v>
      </c>
      <c r="I118" s="942">
        <v>1912647</v>
      </c>
      <c r="J118" s="942">
        <v>86957</v>
      </c>
      <c r="K118" s="942">
        <v>116595</v>
      </c>
      <c r="L118" s="943">
        <v>31174</v>
      </c>
      <c r="M118" s="943">
        <v>53937</v>
      </c>
      <c r="N118" s="943">
        <v>2094386</v>
      </c>
      <c r="O118" s="944">
        <f t="shared" si="58"/>
        <v>13475450</v>
      </c>
      <c r="P118" s="945"/>
      <c r="Q118" s="935">
        <f t="shared" si="59"/>
        <v>82502</v>
      </c>
      <c r="S118" s="938">
        <f t="shared" ref="S118" si="61">+Q118/2*12</f>
        <v>495012</v>
      </c>
    </row>
    <row r="119" spans="1:21" s="923" customFormat="1" x14ac:dyDescent="0.25">
      <c r="A119" s="917"/>
      <c r="B119" s="918" t="s">
        <v>863</v>
      </c>
      <c r="C119" s="919">
        <f>SUM(C113:C118)</f>
        <v>10167727</v>
      </c>
      <c r="D119" s="919">
        <f>SUM(D113:D118)</f>
        <v>10449383</v>
      </c>
      <c r="E119" s="919">
        <f>SUM(E113:E118)</f>
        <v>13589571</v>
      </c>
      <c r="F119" s="919">
        <f>SUM(F113:F118)</f>
        <v>8019395</v>
      </c>
      <c r="G119" s="919">
        <f>SUM(G113:G118)</f>
        <v>10151482</v>
      </c>
      <c r="H119" s="919">
        <f t="shared" ref="H119:N119" si="62">SUM(H113:H118)</f>
        <v>22845187</v>
      </c>
      <c r="I119" s="919">
        <f t="shared" si="62"/>
        <v>20295216</v>
      </c>
      <c r="J119" s="919">
        <f t="shared" si="62"/>
        <v>10079357</v>
      </c>
      <c r="K119" s="919">
        <f t="shared" si="62"/>
        <v>12228575</v>
      </c>
      <c r="L119" s="919">
        <f t="shared" si="62"/>
        <v>12067871</v>
      </c>
      <c r="M119" s="919">
        <f t="shared" si="62"/>
        <v>11280924</v>
      </c>
      <c r="N119" s="919">
        <f t="shared" si="62"/>
        <v>9650621</v>
      </c>
      <c r="O119" s="920">
        <f>SUM(O113:O118)</f>
        <v>150825309</v>
      </c>
      <c r="P119" s="921"/>
      <c r="Q119" s="927"/>
      <c r="R119" s="927"/>
      <c r="S119" s="922"/>
    </row>
    <row r="120" spans="1:21" x14ac:dyDescent="0.25">
      <c r="C120" s="910">
        <f t="shared" ref="C120:H120" si="63">+C119-C103</f>
        <v>151012</v>
      </c>
      <c r="D120" s="910">
        <f t="shared" si="63"/>
        <v>539590</v>
      </c>
      <c r="E120" s="910">
        <f t="shared" si="63"/>
        <v>1717724</v>
      </c>
      <c r="F120" s="910">
        <f t="shared" si="63"/>
        <v>310502</v>
      </c>
      <c r="G120" s="910">
        <f t="shared" si="63"/>
        <v>-439668</v>
      </c>
      <c r="H120" s="910">
        <f t="shared" si="63"/>
        <v>3673918</v>
      </c>
      <c r="I120" s="910">
        <f t="shared" ref="I120:J120" si="64">+I119-I103</f>
        <v>-1657800</v>
      </c>
      <c r="J120" s="910">
        <f t="shared" si="64"/>
        <v>-12313</v>
      </c>
      <c r="K120" s="910">
        <f t="shared" ref="K120:L120" si="65">+K119-K103</f>
        <v>-2272158</v>
      </c>
      <c r="L120" s="910">
        <f t="shared" si="65"/>
        <v>1931504</v>
      </c>
      <c r="M120" s="910">
        <f t="shared" ref="M120:N120" si="66">+M119-M103</f>
        <v>-442851</v>
      </c>
      <c r="N120" s="910">
        <f t="shared" si="66"/>
        <v>-9234360</v>
      </c>
      <c r="O120" s="910"/>
    </row>
    <row r="121" spans="1:21" x14ac:dyDescent="0.25">
      <c r="C121" s="950">
        <f t="shared" ref="C121:H121" si="67">+(C119-C103)/C119</f>
        <v>1.4852090344282453E-2</v>
      </c>
      <c r="D121" s="950">
        <f t="shared" si="67"/>
        <v>5.1638455591110022E-2</v>
      </c>
      <c r="E121" s="950">
        <f t="shared" si="67"/>
        <v>0.12640016377264596</v>
      </c>
      <c r="F121" s="950">
        <f t="shared" si="67"/>
        <v>3.8718880913086333E-2</v>
      </c>
      <c r="G121" s="950">
        <f t="shared" si="67"/>
        <v>-4.3310720543069475E-2</v>
      </c>
      <c r="H121" s="950">
        <f t="shared" si="67"/>
        <v>0.16081803138665487</v>
      </c>
      <c r="I121" s="950">
        <f t="shared" ref="I121:J121" si="68">+(I119-I103)/I119</f>
        <v>-8.1684274757164443E-2</v>
      </c>
      <c r="J121" s="950">
        <f t="shared" si="68"/>
        <v>-1.2216057036178003E-3</v>
      </c>
      <c r="K121" s="950">
        <f t="shared" ref="K121:L121" si="69">+(K119-K103)/K119</f>
        <v>-0.18580725881797347</v>
      </c>
      <c r="L121" s="950">
        <f t="shared" si="69"/>
        <v>0.16005341787296201</v>
      </c>
      <c r="M121" s="950">
        <f t="shared" ref="M121:N121" si="70">+(M119-M103)/M119</f>
        <v>-3.9256624723293942E-2</v>
      </c>
      <c r="N121" s="950">
        <f t="shared" si="70"/>
        <v>-0.95686692079193658</v>
      </c>
      <c r="O121" s="950"/>
    </row>
    <row r="122" spans="1:21" x14ac:dyDescent="0.25">
      <c r="C122" s="910"/>
      <c r="J122" s="911"/>
      <c r="O122" s="909"/>
    </row>
    <row r="123" spans="1:21" s="947" customFormat="1" x14ac:dyDescent="0.25">
      <c r="A123" s="3071" t="s">
        <v>708</v>
      </c>
      <c r="B123" s="1702"/>
      <c r="C123" s="1703">
        <f>SUM(C113:C117)</f>
        <v>10143800</v>
      </c>
      <c r="D123" s="1703">
        <f t="shared" ref="D123:O123" si="71">SUM(D113:D117)</f>
        <v>10390808</v>
      </c>
      <c r="E123" s="1703">
        <f t="shared" si="71"/>
        <v>13572989</v>
      </c>
      <c r="F123" s="1703">
        <f t="shared" si="71"/>
        <v>8006883</v>
      </c>
      <c r="G123" s="1703">
        <f t="shared" si="71"/>
        <v>10145262</v>
      </c>
      <c r="H123" s="1703">
        <f t="shared" si="71"/>
        <v>13783249</v>
      </c>
      <c r="I123" s="1703">
        <f t="shared" si="71"/>
        <v>18382569</v>
      </c>
      <c r="J123" s="1703">
        <f t="shared" si="71"/>
        <v>9992400</v>
      </c>
      <c r="K123" s="1703">
        <f t="shared" si="71"/>
        <v>12111980</v>
      </c>
      <c r="L123" s="1703">
        <f t="shared" si="71"/>
        <v>12036697</v>
      </c>
      <c r="M123" s="1703">
        <f t="shared" si="71"/>
        <v>11226987</v>
      </c>
      <c r="N123" s="1703">
        <f t="shared" si="71"/>
        <v>7556235</v>
      </c>
      <c r="O123" s="1703">
        <f t="shared" si="71"/>
        <v>137349859</v>
      </c>
      <c r="P123" s="945"/>
      <c r="Q123" s="948"/>
      <c r="S123" s="948"/>
    </row>
    <row r="124" spans="1:21" s="947" customFormat="1" x14ac:dyDescent="0.25">
      <c r="A124" s="3071"/>
      <c r="B124" s="1702"/>
      <c r="C124" s="1703">
        <f>SUM(C97:C101)</f>
        <v>9815964</v>
      </c>
      <c r="D124" s="1703">
        <f t="shared" ref="D124:O124" si="72">SUM(D97:D101)</f>
        <v>9899764</v>
      </c>
      <c r="E124" s="1703">
        <f t="shared" si="72"/>
        <v>11871847</v>
      </c>
      <c r="F124" s="1703">
        <f t="shared" si="72"/>
        <v>7708893</v>
      </c>
      <c r="G124" s="1703">
        <f t="shared" si="72"/>
        <v>10591150</v>
      </c>
      <c r="H124" s="1703">
        <f t="shared" si="72"/>
        <v>13285186</v>
      </c>
      <c r="I124" s="1703">
        <f t="shared" si="72"/>
        <v>21679599</v>
      </c>
      <c r="J124" s="1703">
        <f t="shared" si="72"/>
        <v>10035881</v>
      </c>
      <c r="K124" s="1703">
        <f t="shared" si="72"/>
        <v>14491988</v>
      </c>
      <c r="L124" s="1703">
        <f t="shared" si="72"/>
        <v>10079334</v>
      </c>
      <c r="M124" s="1703">
        <f t="shared" si="72"/>
        <v>11535686</v>
      </c>
      <c r="N124" s="1703">
        <f t="shared" si="72"/>
        <v>17638537</v>
      </c>
      <c r="O124" s="1703">
        <f t="shared" si="72"/>
        <v>148633829</v>
      </c>
      <c r="P124" s="945"/>
      <c r="Q124" s="948"/>
      <c r="S124" s="948"/>
    </row>
    <row r="125" spans="1:21" x14ac:dyDescent="0.25">
      <c r="C125" s="950">
        <f>+(C123-C124)/C123</f>
        <v>3.2318854867012359E-2</v>
      </c>
      <c r="D125" s="950">
        <f t="shared" ref="D125:O125" si="73">+(D123-D124)/D123</f>
        <v>4.7257537623638123E-2</v>
      </c>
      <c r="E125" s="950">
        <f t="shared" si="73"/>
        <v>0.12533289461886399</v>
      </c>
      <c r="F125" s="950">
        <f t="shared" si="73"/>
        <v>3.7216729656222025E-2</v>
      </c>
      <c r="G125" s="950">
        <f t="shared" si="73"/>
        <v>-4.395036816200508E-2</v>
      </c>
      <c r="H125" s="950">
        <f t="shared" si="73"/>
        <v>3.613538433499968E-2</v>
      </c>
      <c r="I125" s="950">
        <f t="shared" si="73"/>
        <v>-0.17935632391751119</v>
      </c>
      <c r="J125" s="950">
        <f t="shared" si="73"/>
        <v>-4.3514070693727236E-3</v>
      </c>
      <c r="K125" s="950">
        <f t="shared" si="73"/>
        <v>-0.1965003244721342</v>
      </c>
      <c r="L125" s="950">
        <f t="shared" si="73"/>
        <v>0.16261628916969498</v>
      </c>
      <c r="M125" s="950">
        <f t="shared" si="73"/>
        <v>-2.7496157250382493E-2</v>
      </c>
      <c r="N125" s="950">
        <f t="shared" si="73"/>
        <v>-1.3343023344297789</v>
      </c>
      <c r="O125" s="950">
        <f t="shared" si="73"/>
        <v>-8.2154944185272152E-2</v>
      </c>
    </row>
    <row r="128" spans="1:21" x14ac:dyDescent="0.25">
      <c r="C128" s="910">
        <f>+C113-C97</f>
        <v>234596</v>
      </c>
      <c r="D128" s="910">
        <f t="shared" ref="D128:F128" si="74">+D113-D97</f>
        <v>153792</v>
      </c>
      <c r="E128" s="910">
        <f t="shared" si="74"/>
        <v>228586</v>
      </c>
      <c r="F128" s="910">
        <f t="shared" si="74"/>
        <v>257485</v>
      </c>
      <c r="G128" s="910">
        <f t="shared" ref="G128" si="75">+G113-G97</f>
        <v>317664</v>
      </c>
      <c r="H128" s="910">
        <f>+H113-H97</f>
        <v>173104</v>
      </c>
      <c r="I128" s="910">
        <f t="shared" ref="I128:K128" si="76">+I113-I97</f>
        <v>294491</v>
      </c>
      <c r="J128" s="910">
        <f t="shared" si="76"/>
        <v>302901</v>
      </c>
      <c r="K128" s="910">
        <f t="shared" si="76"/>
        <v>-114399</v>
      </c>
      <c r="L128" s="910">
        <f t="shared" ref="L128:M128" si="77">+L113-L97</f>
        <v>363585</v>
      </c>
      <c r="M128" s="910">
        <f t="shared" si="77"/>
        <v>120510</v>
      </c>
      <c r="O128" s="933">
        <f>SUM(C128:N128)</f>
        <v>2332315</v>
      </c>
      <c r="P128" s="909">
        <f>+O128/4*12</f>
        <v>6996945</v>
      </c>
    </row>
    <row r="129" spans="3:16" x14ac:dyDescent="0.25">
      <c r="C129" s="910">
        <f>+C116-C100</f>
        <v>-139307</v>
      </c>
      <c r="D129" s="910">
        <f t="shared" ref="D129:F129" si="78">+D116-D100</f>
        <v>-20818</v>
      </c>
      <c r="E129" s="910">
        <f t="shared" si="78"/>
        <v>1138898</v>
      </c>
      <c r="F129" s="910">
        <f t="shared" si="78"/>
        <v>-266749</v>
      </c>
      <c r="G129" s="910">
        <f t="shared" ref="G129:H129" si="79">+G116-G100</f>
        <v>142379</v>
      </c>
      <c r="H129" s="910">
        <f t="shared" si="79"/>
        <v>-570477</v>
      </c>
      <c r="I129" s="910">
        <f t="shared" ref="I129:K129" si="80">+I116-I100</f>
        <v>-3585937</v>
      </c>
      <c r="J129" s="910">
        <f t="shared" si="80"/>
        <v>0</v>
      </c>
      <c r="K129" s="910">
        <f t="shared" si="80"/>
        <v>-2504238</v>
      </c>
      <c r="L129" s="910">
        <f t="shared" ref="L129:M129" si="81">+L116-L100</f>
        <v>2032293</v>
      </c>
      <c r="M129" s="910">
        <f t="shared" si="81"/>
        <v>-735466</v>
      </c>
      <c r="O129" s="933">
        <f t="shared" ref="O129:O130" si="82">SUM(C129:N129)</f>
        <v>-4509422</v>
      </c>
      <c r="P129" s="909">
        <f t="shared" ref="P129:P130" si="83">+O129/4*12</f>
        <v>-13528266</v>
      </c>
    </row>
    <row r="130" spans="3:16" x14ac:dyDescent="0.25">
      <c r="C130" s="910">
        <f>+C117-C101</f>
        <v>179463</v>
      </c>
      <c r="D130" s="910">
        <f t="shared" ref="D130:F130" si="84">+D117-D101</f>
        <v>296955</v>
      </c>
      <c r="E130" s="910">
        <f t="shared" si="84"/>
        <v>266952</v>
      </c>
      <c r="F130" s="910">
        <f t="shared" si="84"/>
        <v>311405</v>
      </c>
      <c r="G130" s="910">
        <f t="shared" ref="G130:H130" si="85">+G117-G101</f>
        <v>-948141</v>
      </c>
      <c r="H130" s="910">
        <f t="shared" si="85"/>
        <v>875000</v>
      </c>
      <c r="I130" s="910">
        <f t="shared" ref="I130:K130" si="86">+I117-I101</f>
        <v>-218213</v>
      </c>
      <c r="J130" s="910">
        <f t="shared" si="86"/>
        <v>-354099</v>
      </c>
      <c r="K130" s="910">
        <f t="shared" si="86"/>
        <v>458070</v>
      </c>
      <c r="L130" s="910">
        <f t="shared" ref="L130:M130" si="87">+L117-L101</f>
        <v>-510400</v>
      </c>
      <c r="M130" s="910">
        <f t="shared" si="87"/>
        <v>367754</v>
      </c>
      <c r="O130" s="933">
        <f t="shared" si="82"/>
        <v>724746</v>
      </c>
      <c r="P130" s="909">
        <f t="shared" si="83"/>
        <v>2174238</v>
      </c>
    </row>
    <row r="131" spans="3:16" x14ac:dyDescent="0.25">
      <c r="O131" s="1671">
        <f>SUM(O128:O130)</f>
        <v>-1452361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3" bestFit="1" customWidth="1"/>
    <col min="6" max="6" width="11.7109375" style="190" bestFit="1" customWidth="1"/>
    <col min="7" max="7" width="12.85546875" style="283" bestFit="1" customWidth="1"/>
    <col min="8" max="8" width="11.7109375" style="190" bestFit="1" customWidth="1"/>
    <col min="9" max="9" width="12.85546875" style="283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43">
        <v>2020</v>
      </c>
      <c r="D2" s="3072" t="s">
        <v>1099</v>
      </c>
      <c r="E2" s="3073"/>
      <c r="F2" s="3074" t="s">
        <v>1100</v>
      </c>
      <c r="G2" s="3075"/>
      <c r="H2" s="3072" t="s">
        <v>1106</v>
      </c>
      <c r="I2" s="3076"/>
      <c r="J2" s="306"/>
    </row>
    <row r="3" spans="1:10" ht="14.25" thickBot="1" x14ac:dyDescent="0.3">
      <c r="C3" s="831"/>
      <c r="D3" s="832" t="s">
        <v>1101</v>
      </c>
      <c r="E3" s="833" t="s">
        <v>5</v>
      </c>
      <c r="F3" s="834" t="s">
        <v>1101</v>
      </c>
      <c r="G3" s="835" t="s">
        <v>5</v>
      </c>
      <c r="H3" s="832" t="s">
        <v>1101</v>
      </c>
      <c r="I3" s="835" t="s">
        <v>5</v>
      </c>
    </row>
    <row r="4" spans="1:10" x14ac:dyDescent="0.25">
      <c r="A4" s="854" t="s">
        <v>1105</v>
      </c>
      <c r="B4" s="828">
        <v>1111</v>
      </c>
      <c r="C4" s="836">
        <f>26454054+966490</f>
        <v>27420544</v>
      </c>
      <c r="D4" s="440">
        <f>21863903+804307</f>
        <v>22668210</v>
      </c>
      <c r="E4" s="365">
        <f>+D4-C4</f>
        <v>-4752334</v>
      </c>
      <c r="F4" s="362">
        <f>21163243+773192</f>
        <v>21936435</v>
      </c>
      <c r="G4" s="837">
        <f>+F4-C4</f>
        <v>-5484109</v>
      </c>
      <c r="H4" s="440">
        <f>+C4/1.2</f>
        <v>22850453.333333336</v>
      </c>
      <c r="I4" s="837">
        <f>+H4-C4</f>
        <v>-4570090.6666666642</v>
      </c>
    </row>
    <row r="5" spans="1:10" x14ac:dyDescent="0.25">
      <c r="A5" s="857" t="s">
        <v>1104</v>
      </c>
      <c r="B5" s="829">
        <v>1112</v>
      </c>
      <c r="C5" s="838">
        <v>525261</v>
      </c>
      <c r="D5" s="207">
        <v>47751</v>
      </c>
      <c r="E5" s="371">
        <f t="shared" ref="E5:E8" si="0">+D5-C5</f>
        <v>-477510</v>
      </c>
      <c r="F5" s="234">
        <v>420209</v>
      </c>
      <c r="G5" s="439">
        <f t="shared" ref="G5:G8" si="1">+F5-C5</f>
        <v>-105052</v>
      </c>
      <c r="H5" s="207">
        <f t="shared" ref="H5:H8" si="2">+C5/1.2</f>
        <v>437717.5</v>
      </c>
      <c r="I5" s="439">
        <f t="shared" ref="I5:I8" si="3">+H5-C5</f>
        <v>-87543.5</v>
      </c>
    </row>
    <row r="6" spans="1:10" x14ac:dyDescent="0.25">
      <c r="A6" s="855" t="s">
        <v>1102</v>
      </c>
      <c r="B6" s="829">
        <v>1121</v>
      </c>
      <c r="C6" s="838">
        <v>21296946</v>
      </c>
      <c r="D6" s="207">
        <v>14993814</v>
      </c>
      <c r="E6" s="371">
        <f t="shared" si="0"/>
        <v>-6303132</v>
      </c>
      <c r="F6" s="234">
        <v>17037557</v>
      </c>
      <c r="G6" s="439">
        <f t="shared" si="1"/>
        <v>-4259389</v>
      </c>
      <c r="H6" s="207">
        <f t="shared" si="2"/>
        <v>17747455</v>
      </c>
      <c r="I6" s="439">
        <f t="shared" si="3"/>
        <v>-3549491</v>
      </c>
    </row>
    <row r="7" spans="1:10" x14ac:dyDescent="0.25">
      <c r="A7" s="857" t="s">
        <v>1103</v>
      </c>
      <c r="B7" s="829">
        <v>1113</v>
      </c>
      <c r="C7" s="838">
        <f>2292048</f>
        <v>2292048</v>
      </c>
      <c r="D7" s="207">
        <f>1384779</f>
        <v>1384779</v>
      </c>
      <c r="E7" s="371">
        <f t="shared" si="0"/>
        <v>-907269</v>
      </c>
      <c r="F7" s="234">
        <f>1833638</f>
        <v>1833638</v>
      </c>
      <c r="G7" s="439">
        <f t="shared" si="1"/>
        <v>-458410</v>
      </c>
      <c r="H7" s="207">
        <f t="shared" si="2"/>
        <v>1910040</v>
      </c>
      <c r="I7" s="439">
        <f t="shared" si="3"/>
        <v>-382008</v>
      </c>
    </row>
    <row r="8" spans="1:10" ht="14.25" thickBot="1" x14ac:dyDescent="0.3">
      <c r="A8" s="856" t="s">
        <v>16</v>
      </c>
      <c r="B8" s="830">
        <v>1211</v>
      </c>
      <c r="C8" s="839">
        <v>53337867</v>
      </c>
      <c r="D8" s="441">
        <v>48419514</v>
      </c>
      <c r="E8" s="394">
        <f t="shared" si="0"/>
        <v>-4918353</v>
      </c>
      <c r="F8" s="391">
        <v>42670294</v>
      </c>
      <c r="G8" s="840">
        <f t="shared" si="1"/>
        <v>-10667573</v>
      </c>
      <c r="H8" s="441">
        <f t="shared" si="2"/>
        <v>44448222.5</v>
      </c>
      <c r="I8" s="840">
        <f t="shared" si="3"/>
        <v>-8889644.5</v>
      </c>
    </row>
    <row r="9" spans="1:10" s="841" customFormat="1" ht="14.25" thickBot="1" x14ac:dyDescent="0.3">
      <c r="C9" s="858">
        <f t="shared" ref="C9:I9" si="4">SUM(C4:C8)</f>
        <v>104872666</v>
      </c>
      <c r="D9" s="859">
        <f t="shared" si="4"/>
        <v>87514068</v>
      </c>
      <c r="E9" s="860">
        <f t="shared" si="4"/>
        <v>-17358598</v>
      </c>
      <c r="F9" s="861">
        <f t="shared" si="4"/>
        <v>83898133</v>
      </c>
      <c r="G9" s="862">
        <f>SUM(G4:G8)</f>
        <v>-20974533</v>
      </c>
      <c r="H9" s="859">
        <f>SUM(H4:H8)</f>
        <v>87393888.333333343</v>
      </c>
      <c r="I9" s="862">
        <f t="shared" si="4"/>
        <v>-17478777.666666664</v>
      </c>
      <c r="J9" s="842"/>
    </row>
    <row r="10" spans="1:10" x14ac:dyDescent="0.25">
      <c r="E10" s="863">
        <f>+E9/C9</f>
        <v>-0.16552070870402016</v>
      </c>
      <c r="G10" s="863">
        <f>+G9/C9</f>
        <v>-0.19999999809292537</v>
      </c>
      <c r="H10" s="863"/>
      <c r="I10" s="863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9"/>
  <sheetViews>
    <sheetView workbookViewId="0"/>
  </sheetViews>
  <sheetFormatPr defaultRowHeight="12.75" x14ac:dyDescent="0.2"/>
  <cols>
    <col min="1" max="1" width="7" customWidth="1"/>
    <col min="2" max="2" width="35.5703125" customWidth="1"/>
    <col min="3" max="3" width="39" customWidth="1"/>
    <col min="4" max="4" width="21.28515625" style="33" customWidth="1"/>
    <col min="5" max="5" width="18.28515625" style="33" customWidth="1"/>
    <col min="6" max="6" width="10.28515625" style="33" customWidth="1"/>
    <col min="7" max="7" width="13" style="33" customWidth="1"/>
    <col min="8" max="8" width="12.28515625" style="33" customWidth="1"/>
    <col min="9" max="9" width="14" style="33" customWidth="1"/>
    <col min="10" max="10" width="7" style="33" customWidth="1"/>
    <col min="11" max="11" width="6.7109375" style="33" customWidth="1"/>
  </cols>
  <sheetData>
    <row r="2" spans="1:11" ht="22.5" x14ac:dyDescent="0.4">
      <c r="A2" s="2901" t="s">
        <v>2578</v>
      </c>
      <c r="B2" s="2901"/>
    </row>
    <row r="3" spans="1:11" ht="13.5" thickBot="1" x14ac:dyDescent="0.25"/>
    <row r="4" spans="1:11" ht="37.5" thickBot="1" x14ac:dyDescent="0.3">
      <c r="A4" s="2902"/>
      <c r="B4" s="2903" t="s">
        <v>2579</v>
      </c>
      <c r="C4" s="2904" t="s">
        <v>2580</v>
      </c>
      <c r="D4" s="2905" t="s">
        <v>2581</v>
      </c>
      <c r="E4" s="2905" t="s">
        <v>2582</v>
      </c>
      <c r="F4" s="2905" t="s">
        <v>2583</v>
      </c>
      <c r="G4" s="2905" t="s">
        <v>2584</v>
      </c>
      <c r="H4" s="2905" t="s">
        <v>2585</v>
      </c>
      <c r="I4" s="2906" t="s">
        <v>2586</v>
      </c>
      <c r="J4" s="2907" t="s">
        <v>2</v>
      </c>
      <c r="K4" s="2908" t="s">
        <v>2587</v>
      </c>
    </row>
    <row r="5" spans="1:11" ht="18.75" x14ac:dyDescent="0.3">
      <c r="A5" s="2909">
        <v>2020</v>
      </c>
      <c r="J5" s="2909">
        <v>2020</v>
      </c>
    </row>
    <row r="6" spans="1:11" x14ac:dyDescent="0.2">
      <c r="A6" s="2910" t="s">
        <v>2506</v>
      </c>
      <c r="B6" s="2910" t="s">
        <v>2588</v>
      </c>
      <c r="C6" s="2910" t="s">
        <v>2589</v>
      </c>
      <c r="D6" s="2911" t="s">
        <v>2590</v>
      </c>
      <c r="E6" s="2912">
        <v>44090</v>
      </c>
      <c r="F6" s="2911" t="s">
        <v>2591</v>
      </c>
      <c r="G6" s="2912">
        <v>44074</v>
      </c>
      <c r="H6" s="2911" t="s">
        <v>2592</v>
      </c>
      <c r="I6" s="2912">
        <v>44095</v>
      </c>
      <c r="K6" s="33">
        <v>1348</v>
      </c>
    </row>
    <row r="7" spans="1:11" x14ac:dyDescent="0.2">
      <c r="A7" s="2910"/>
      <c r="B7" s="2910" t="s">
        <v>2593</v>
      </c>
      <c r="C7" s="2910" t="s">
        <v>2594</v>
      </c>
      <c r="D7" s="2911"/>
      <c r="E7" s="2911"/>
      <c r="F7" s="2911"/>
      <c r="G7" s="2911"/>
      <c r="H7" s="2911"/>
      <c r="I7" s="2911"/>
    </row>
    <row r="8" spans="1:11" s="1392" customFormat="1" x14ac:dyDescent="0.2">
      <c r="A8" s="2913"/>
      <c r="B8" s="2913"/>
      <c r="C8" s="2913"/>
      <c r="D8" s="2914"/>
      <c r="E8" s="2914"/>
      <c r="F8" s="2914"/>
      <c r="G8" s="2914"/>
      <c r="H8" s="2914"/>
      <c r="I8" s="2914"/>
      <c r="J8" s="2915"/>
      <c r="K8" s="2915"/>
    </row>
    <row r="9" spans="1:11" x14ac:dyDescent="0.2">
      <c r="A9" s="2913" t="s">
        <v>2507</v>
      </c>
      <c r="B9" s="2913" t="s">
        <v>2595</v>
      </c>
      <c r="C9" s="2913" t="s">
        <v>2596</v>
      </c>
      <c r="D9" s="2914" t="s">
        <v>2597</v>
      </c>
      <c r="E9" s="2914"/>
      <c r="F9" s="2914" t="s">
        <v>2591</v>
      </c>
      <c r="G9" s="2916">
        <v>44033</v>
      </c>
      <c r="H9" s="2914" t="s">
        <v>2598</v>
      </c>
      <c r="I9" s="2914" t="s">
        <v>2599</v>
      </c>
      <c r="K9" s="2915" t="s">
        <v>2600</v>
      </c>
    </row>
    <row r="10" spans="1:11" x14ac:dyDescent="0.2">
      <c r="A10" s="2913"/>
      <c r="B10" s="2913"/>
      <c r="C10" s="2913"/>
      <c r="D10" s="2914"/>
      <c r="E10" s="2914"/>
      <c r="F10" s="2914"/>
      <c r="G10" s="2916"/>
      <c r="H10" s="2914"/>
      <c r="I10" s="2914"/>
      <c r="K10" s="2915"/>
    </row>
    <row r="11" spans="1:11" x14ac:dyDescent="0.2">
      <c r="A11" s="2913" t="s">
        <v>2508</v>
      </c>
      <c r="B11" s="2913" t="s">
        <v>2601</v>
      </c>
      <c r="C11" s="2913" t="s">
        <v>2602</v>
      </c>
      <c r="D11" s="2914" t="s">
        <v>2597</v>
      </c>
      <c r="E11" s="2914"/>
      <c r="F11" s="2914" t="s">
        <v>2603</v>
      </c>
      <c r="G11" s="2916"/>
      <c r="H11" s="2914"/>
      <c r="I11" s="2917" t="s">
        <v>2604</v>
      </c>
      <c r="K11" s="2915" t="s">
        <v>2600</v>
      </c>
    </row>
    <row r="12" spans="1:11" x14ac:dyDescent="0.2">
      <c r="A12" s="2913"/>
      <c r="B12" s="2913" t="s">
        <v>2605</v>
      </c>
      <c r="C12" s="2913" t="s">
        <v>2606</v>
      </c>
      <c r="D12" s="2914"/>
      <c r="E12" s="2914"/>
      <c r="F12" s="2914"/>
      <c r="G12" s="2916"/>
      <c r="H12" s="2914"/>
      <c r="I12" s="2914"/>
      <c r="K12" s="2915"/>
    </row>
    <row r="13" spans="1:11" x14ac:dyDescent="0.2">
      <c r="A13" s="2913"/>
      <c r="B13" s="2913" t="s">
        <v>2607</v>
      </c>
      <c r="C13" s="2913" t="s">
        <v>2608</v>
      </c>
      <c r="D13" s="2914"/>
      <c r="E13" s="2914"/>
      <c r="F13" s="2914"/>
      <c r="G13" s="2914"/>
      <c r="H13" s="2914"/>
      <c r="I13" s="2914"/>
    </row>
    <row r="14" spans="1:11" x14ac:dyDescent="0.2">
      <c r="A14" s="2913"/>
      <c r="B14" s="2913" t="s">
        <v>2609</v>
      </c>
      <c r="C14" s="2913" t="s">
        <v>2610</v>
      </c>
      <c r="D14" s="2914"/>
      <c r="E14" s="2914"/>
      <c r="F14" s="2914"/>
      <c r="G14" s="2914"/>
      <c r="H14" s="2914"/>
      <c r="I14" s="2914"/>
    </row>
    <row r="15" spans="1:11" x14ac:dyDescent="0.2">
      <c r="A15" s="2913"/>
      <c r="B15" s="2913"/>
      <c r="C15" s="2913"/>
      <c r="D15" s="2914"/>
      <c r="E15" s="2914"/>
      <c r="F15" s="2914"/>
      <c r="G15" s="2914"/>
      <c r="H15" s="2914"/>
      <c r="I15" s="2914"/>
    </row>
    <row r="16" spans="1:11" x14ac:dyDescent="0.2">
      <c r="A16" s="2913" t="s">
        <v>2509</v>
      </c>
      <c r="B16" s="2913" t="s">
        <v>2611</v>
      </c>
      <c r="C16" s="2913" t="s">
        <v>2612</v>
      </c>
      <c r="D16" s="2914" t="s">
        <v>2597</v>
      </c>
      <c r="E16" s="2914"/>
      <c r="F16" s="2914" t="s">
        <v>2603</v>
      </c>
      <c r="G16" s="2914"/>
      <c r="H16" s="2914"/>
      <c r="I16" s="2917" t="s">
        <v>2613</v>
      </c>
      <c r="K16" s="33" t="s">
        <v>2600</v>
      </c>
    </row>
    <row r="17" spans="1:11" x14ac:dyDescent="0.2">
      <c r="A17" s="2913"/>
      <c r="B17" s="2913" t="s">
        <v>2614</v>
      </c>
      <c r="C17" s="2918" t="s">
        <v>2615</v>
      </c>
      <c r="D17" s="2914"/>
      <c r="E17" s="2914"/>
      <c r="F17" s="2914"/>
      <c r="G17" s="2914"/>
      <c r="H17" s="2914"/>
      <c r="I17" s="2914"/>
    </row>
    <row r="18" spans="1:11" x14ac:dyDescent="0.2">
      <c r="A18" s="2913"/>
      <c r="B18" s="2913"/>
      <c r="C18" s="2913"/>
      <c r="D18" s="2914"/>
      <c r="E18" s="2914"/>
      <c r="F18" s="2914"/>
      <c r="G18" s="2914"/>
      <c r="H18" s="2914"/>
      <c r="I18" s="2914"/>
    </row>
    <row r="19" spans="1:11" ht="16.5" thickBot="1" x14ac:dyDescent="0.3">
      <c r="A19" s="2913"/>
      <c r="B19" s="2913"/>
      <c r="C19" s="2913"/>
      <c r="D19" s="2914"/>
      <c r="E19" s="2914"/>
      <c r="F19" s="2914"/>
      <c r="G19" s="2914"/>
      <c r="H19" s="2914"/>
      <c r="I19" s="2914"/>
      <c r="J19" s="2919" t="s">
        <v>2616</v>
      </c>
    </row>
    <row r="20" spans="1:11" ht="37.5" thickBot="1" x14ac:dyDescent="0.3">
      <c r="A20" s="2902"/>
      <c r="B20" s="2903" t="s">
        <v>2579</v>
      </c>
      <c r="C20" s="2904" t="s">
        <v>2580</v>
      </c>
      <c r="D20" s="2905" t="s">
        <v>2581</v>
      </c>
      <c r="E20" s="2905" t="s">
        <v>2582</v>
      </c>
      <c r="F20" s="2905" t="s">
        <v>2583</v>
      </c>
      <c r="G20" s="2905" t="s">
        <v>2584</v>
      </c>
      <c r="H20" s="2905" t="s">
        <v>2585</v>
      </c>
      <c r="I20" s="2906" t="s">
        <v>2586</v>
      </c>
      <c r="J20" s="2907" t="s">
        <v>2</v>
      </c>
      <c r="K20" s="2908" t="s">
        <v>2587</v>
      </c>
    </row>
    <row r="21" spans="1:11" ht="18.75" x14ac:dyDescent="0.3">
      <c r="A21" s="2920">
        <v>2021</v>
      </c>
      <c r="B21" s="2921"/>
      <c r="C21" s="2921"/>
      <c r="D21" s="2922"/>
      <c r="E21" s="2922"/>
      <c r="F21" s="2922"/>
      <c r="G21" s="2922"/>
      <c r="H21" s="2922"/>
      <c r="I21" s="2922"/>
      <c r="J21" s="2909">
        <v>2021</v>
      </c>
    </row>
    <row r="22" spans="1:11" x14ac:dyDescent="0.2">
      <c r="A22" s="2923" t="s">
        <v>2506</v>
      </c>
      <c r="B22" s="2923" t="s">
        <v>2617</v>
      </c>
      <c r="C22" s="2923" t="s">
        <v>2618</v>
      </c>
      <c r="D22" s="2924" t="s">
        <v>2619</v>
      </c>
      <c r="E22" s="2925">
        <v>44263</v>
      </c>
      <c r="F22" s="2924" t="s">
        <v>2620</v>
      </c>
      <c r="G22" s="2925">
        <v>44243</v>
      </c>
      <c r="H22" s="2924" t="s">
        <v>2621</v>
      </c>
      <c r="I22" s="2925">
        <v>44265</v>
      </c>
      <c r="K22" s="33">
        <v>1348</v>
      </c>
    </row>
    <row r="23" spans="1:11" x14ac:dyDescent="0.2">
      <c r="A23" s="2923"/>
      <c r="B23" s="2923" t="s">
        <v>2622</v>
      </c>
      <c r="C23" s="2923" t="s">
        <v>2606</v>
      </c>
      <c r="D23" s="2924"/>
      <c r="E23" s="2924"/>
      <c r="F23" s="2924"/>
      <c r="G23" s="2924"/>
      <c r="H23" s="2924"/>
      <c r="I23" s="2924"/>
    </row>
    <row r="24" spans="1:11" x14ac:dyDescent="0.2">
      <c r="A24" s="2923"/>
      <c r="B24" s="2923"/>
      <c r="C24" s="2923"/>
      <c r="D24" s="2924"/>
      <c r="E24" s="2924"/>
      <c r="F24" s="2924"/>
      <c r="G24" s="2924"/>
      <c r="H24" s="2924"/>
      <c r="I24" s="2924"/>
    </row>
    <row r="25" spans="1:11" x14ac:dyDescent="0.2">
      <c r="A25" s="2923" t="s">
        <v>2507</v>
      </c>
      <c r="B25" s="2923" t="s">
        <v>2623</v>
      </c>
      <c r="C25" s="2923" t="s">
        <v>2624</v>
      </c>
      <c r="D25" s="2924" t="s">
        <v>2625</v>
      </c>
      <c r="E25" s="2925">
        <v>44377</v>
      </c>
      <c r="F25" s="2924" t="s">
        <v>2626</v>
      </c>
      <c r="G25" s="2925">
        <v>44362</v>
      </c>
      <c r="H25" s="2924" t="s">
        <v>2627</v>
      </c>
      <c r="I25" s="2925">
        <v>44385</v>
      </c>
      <c r="K25" s="33">
        <v>1348</v>
      </c>
    </row>
    <row r="26" spans="1:11" x14ac:dyDescent="0.2">
      <c r="A26" s="2923"/>
      <c r="B26" s="2923"/>
      <c r="C26" s="2923"/>
      <c r="D26" s="2924"/>
      <c r="E26" s="2924"/>
      <c r="F26" s="2924"/>
      <c r="G26" s="2924"/>
      <c r="H26" s="2924"/>
      <c r="I26" s="2924"/>
    </row>
    <row r="27" spans="1:11" x14ac:dyDescent="0.2">
      <c r="A27" s="2923" t="s">
        <v>2508</v>
      </c>
      <c r="B27" s="2923" t="s">
        <v>2628</v>
      </c>
      <c r="C27" s="2923" t="s">
        <v>2629</v>
      </c>
      <c r="D27" s="2924" t="s">
        <v>2630</v>
      </c>
      <c r="E27" s="2925">
        <v>44411</v>
      </c>
      <c r="F27" s="2924" t="s">
        <v>2631</v>
      </c>
      <c r="G27" s="2925">
        <v>44404</v>
      </c>
      <c r="H27" s="2924" t="s">
        <v>2632</v>
      </c>
      <c r="I27" s="2925">
        <v>44441</v>
      </c>
      <c r="K27" s="33">
        <v>1348</v>
      </c>
    </row>
    <row r="28" spans="1:11" x14ac:dyDescent="0.2">
      <c r="A28" s="2923"/>
      <c r="B28" s="2923"/>
      <c r="C28" s="2923"/>
      <c r="D28" s="2924"/>
      <c r="E28" s="2924"/>
      <c r="F28" s="2924"/>
      <c r="G28" s="2924"/>
      <c r="H28" s="2924"/>
      <c r="I28" s="2924"/>
    </row>
    <row r="29" spans="1:11" x14ac:dyDescent="0.2">
      <c r="A29" s="2923" t="s">
        <v>2509</v>
      </c>
      <c r="B29" s="2923" t="s">
        <v>2633</v>
      </c>
      <c r="C29" s="2923" t="s">
        <v>2634</v>
      </c>
      <c r="D29" s="2924" t="s">
        <v>2635</v>
      </c>
      <c r="E29" s="2925">
        <v>44411</v>
      </c>
      <c r="F29" s="2924" t="s">
        <v>2591</v>
      </c>
      <c r="G29" s="2925">
        <v>44404</v>
      </c>
      <c r="H29" s="2924" t="s">
        <v>2636</v>
      </c>
      <c r="I29" s="2925">
        <v>44445</v>
      </c>
      <c r="K29" s="33">
        <v>1348</v>
      </c>
    </row>
    <row r="30" spans="1:11" x14ac:dyDescent="0.2">
      <c r="A30" s="2923"/>
      <c r="B30" s="2923"/>
      <c r="C30" s="2923"/>
      <c r="D30" s="2924"/>
      <c r="E30" s="2924"/>
      <c r="F30" s="2924"/>
      <c r="G30" s="2924"/>
      <c r="H30" s="2924"/>
      <c r="I30" s="2924"/>
    </row>
    <row r="31" spans="1:11" x14ac:dyDescent="0.2">
      <c r="A31" s="2923" t="s">
        <v>2510</v>
      </c>
      <c r="B31" s="2923" t="s">
        <v>2637</v>
      </c>
      <c r="C31" s="2923" t="s">
        <v>2638</v>
      </c>
      <c r="D31" s="2924" t="s">
        <v>2639</v>
      </c>
      <c r="E31" s="2925">
        <v>44414</v>
      </c>
      <c r="F31" s="2924" t="s">
        <v>2591</v>
      </c>
      <c r="G31" s="2925">
        <v>44404</v>
      </c>
      <c r="H31" s="2924" t="s">
        <v>2640</v>
      </c>
      <c r="I31" s="2925">
        <v>44441</v>
      </c>
      <c r="K31" s="33">
        <v>1348</v>
      </c>
    </row>
    <row r="32" spans="1:11" x14ac:dyDescent="0.2">
      <c r="A32" s="2923"/>
      <c r="B32" s="2923" t="s">
        <v>2641</v>
      </c>
      <c r="C32" s="2923" t="s">
        <v>2642</v>
      </c>
      <c r="D32" s="2924"/>
      <c r="E32" s="2924"/>
      <c r="F32" s="2924"/>
      <c r="G32" s="2924"/>
      <c r="H32" s="2924"/>
      <c r="I32" s="2924"/>
    </row>
    <row r="33" spans="1:11" x14ac:dyDescent="0.2">
      <c r="A33" s="2923"/>
      <c r="B33" s="2923"/>
      <c r="C33" s="2923"/>
      <c r="D33" s="2924"/>
      <c r="E33" s="2924"/>
      <c r="F33" s="2924"/>
      <c r="G33" s="2924"/>
      <c r="H33" s="2924"/>
      <c r="I33" s="2924"/>
    </row>
    <row r="34" spans="1:11" x14ac:dyDescent="0.2">
      <c r="A34" s="2923" t="s">
        <v>2511</v>
      </c>
      <c r="B34" s="2923" t="s">
        <v>2643</v>
      </c>
      <c r="C34" s="2923" t="s">
        <v>2602</v>
      </c>
      <c r="D34" s="2924" t="s">
        <v>2644</v>
      </c>
      <c r="E34" s="2925">
        <v>44454</v>
      </c>
      <c r="F34" s="2924" t="s">
        <v>2620</v>
      </c>
      <c r="G34" s="2925">
        <v>44432</v>
      </c>
      <c r="H34" s="2924" t="s">
        <v>2645</v>
      </c>
      <c r="I34" s="2925">
        <v>44473</v>
      </c>
      <c r="K34" s="33">
        <v>1348</v>
      </c>
    </row>
    <row r="35" spans="1:11" x14ac:dyDescent="0.2">
      <c r="A35" s="2923"/>
      <c r="B35" s="2923" t="s">
        <v>2646</v>
      </c>
      <c r="C35" s="2923" t="s">
        <v>2606</v>
      </c>
      <c r="D35" s="2924"/>
      <c r="E35" s="2924"/>
      <c r="F35" s="2924"/>
      <c r="G35" s="2924"/>
      <c r="H35" s="2924"/>
      <c r="I35" s="2924"/>
    </row>
    <row r="36" spans="1:11" x14ac:dyDescent="0.2">
      <c r="A36" s="2923"/>
      <c r="B36" s="2923"/>
      <c r="C36" s="2923"/>
      <c r="D36" s="2924"/>
      <c r="E36" s="2924"/>
      <c r="F36" s="2924"/>
      <c r="G36" s="2924"/>
      <c r="H36" s="2924"/>
      <c r="I36" s="2924"/>
    </row>
    <row r="37" spans="1:11" x14ac:dyDescent="0.2">
      <c r="A37" s="2923" t="s">
        <v>2512</v>
      </c>
      <c r="B37" s="2923" t="s">
        <v>2647</v>
      </c>
      <c r="C37" s="2923" t="s">
        <v>2648</v>
      </c>
      <c r="D37" s="2924" t="s">
        <v>2649</v>
      </c>
      <c r="E37" s="2925">
        <v>44515</v>
      </c>
      <c r="F37" s="2924" t="s">
        <v>2620</v>
      </c>
      <c r="G37" s="2925">
        <v>44488</v>
      </c>
      <c r="H37" s="2924" t="s">
        <v>2650</v>
      </c>
      <c r="I37" s="2925">
        <v>44546</v>
      </c>
      <c r="K37" s="33">
        <v>1348</v>
      </c>
    </row>
    <row r="38" spans="1:11" x14ac:dyDescent="0.2">
      <c r="A38" s="2923"/>
      <c r="B38" s="2923"/>
      <c r="C38" s="2923"/>
      <c r="D38" s="2924"/>
      <c r="E38" s="2924"/>
      <c r="F38" s="2924"/>
      <c r="G38" s="2924"/>
      <c r="H38" s="2924"/>
      <c r="I38" s="2924"/>
    </row>
    <row r="39" spans="1:11" x14ac:dyDescent="0.2">
      <c r="A39" s="2923" t="s">
        <v>2513</v>
      </c>
      <c r="B39" s="2923" t="s">
        <v>2651</v>
      </c>
      <c r="C39" s="2923" t="s">
        <v>2652</v>
      </c>
      <c r="D39" s="2924" t="s">
        <v>2653</v>
      </c>
      <c r="E39" s="2925">
        <v>44540</v>
      </c>
      <c r="F39" s="2924" t="s">
        <v>2620</v>
      </c>
      <c r="G39" s="2925">
        <v>44530</v>
      </c>
      <c r="H39" s="2924" t="s">
        <v>2654</v>
      </c>
      <c r="I39" s="2925">
        <v>44566</v>
      </c>
      <c r="K39" s="33">
        <v>1348</v>
      </c>
    </row>
    <row r="40" spans="1:11" x14ac:dyDescent="0.2">
      <c r="A40" s="2923"/>
      <c r="B40" s="2923"/>
      <c r="C40" s="2923"/>
      <c r="D40" s="2924"/>
      <c r="E40" s="2924"/>
      <c r="F40" s="2924"/>
      <c r="G40" s="2924"/>
      <c r="H40" s="2924"/>
      <c r="I40" s="2924"/>
    </row>
    <row r="41" spans="1:11" x14ac:dyDescent="0.2">
      <c r="A41" s="2923" t="s">
        <v>2514</v>
      </c>
      <c r="B41" s="2923" t="s">
        <v>2655</v>
      </c>
      <c r="C41" s="2923" t="s">
        <v>2656</v>
      </c>
      <c r="D41" s="2925" t="s">
        <v>2657</v>
      </c>
      <c r="E41" s="2925">
        <v>44540</v>
      </c>
      <c r="F41" s="2924" t="s">
        <v>2620</v>
      </c>
      <c r="G41" s="2925">
        <v>44530</v>
      </c>
      <c r="H41" s="2924" t="s">
        <v>2658</v>
      </c>
      <c r="I41" s="2925">
        <v>44565</v>
      </c>
      <c r="K41" s="33">
        <v>1348</v>
      </c>
    </row>
    <row r="42" spans="1:11" x14ac:dyDescent="0.2">
      <c r="A42" s="2923"/>
      <c r="B42" s="2923"/>
      <c r="C42" s="2923"/>
      <c r="D42" s="2925"/>
      <c r="E42" s="2925"/>
      <c r="F42" s="2924"/>
      <c r="G42" s="2925"/>
      <c r="H42" s="2924"/>
      <c r="I42" s="2925"/>
    </row>
    <row r="43" spans="1:11" x14ac:dyDescent="0.2">
      <c r="A43" s="2913" t="s">
        <v>2515</v>
      </c>
      <c r="B43" s="2913" t="s">
        <v>2659</v>
      </c>
      <c r="C43" s="2913" t="s">
        <v>2660</v>
      </c>
      <c r="D43" s="2916" t="s">
        <v>2597</v>
      </c>
      <c r="E43" s="2916"/>
      <c r="F43" s="2914" t="s">
        <v>2591</v>
      </c>
      <c r="G43" s="2916">
        <v>44299</v>
      </c>
      <c r="H43" s="2914" t="s">
        <v>2661</v>
      </c>
      <c r="I43" s="2916" t="s">
        <v>2599</v>
      </c>
      <c r="K43" s="33" t="s">
        <v>2600</v>
      </c>
    </row>
    <row r="44" spans="1:11" x14ac:dyDescent="0.2">
      <c r="A44" s="2913"/>
      <c r="B44" s="2913"/>
      <c r="C44" s="2913"/>
      <c r="D44" s="2916"/>
      <c r="E44" s="2916"/>
      <c r="F44" s="2914"/>
      <c r="G44" s="2916"/>
      <c r="H44" s="2914"/>
      <c r="I44" s="2916"/>
    </row>
    <row r="45" spans="1:11" x14ac:dyDescent="0.2">
      <c r="A45" s="2913" t="s">
        <v>2516</v>
      </c>
      <c r="B45" s="2913" t="s">
        <v>2662</v>
      </c>
      <c r="C45" s="2913" t="s">
        <v>2663</v>
      </c>
      <c r="D45" s="2914" t="s">
        <v>2597</v>
      </c>
      <c r="E45" s="2914"/>
      <c r="F45" s="2914" t="s">
        <v>2664</v>
      </c>
      <c r="G45" s="2916">
        <v>44361</v>
      </c>
      <c r="H45" s="2914" t="s">
        <v>2665</v>
      </c>
      <c r="I45" s="2916" t="s">
        <v>2666</v>
      </c>
      <c r="K45" s="33" t="s">
        <v>2600</v>
      </c>
    </row>
    <row r="46" spans="1:11" x14ac:dyDescent="0.2">
      <c r="A46" s="2913"/>
      <c r="B46" s="2913"/>
      <c r="C46" s="2913"/>
      <c r="D46" s="2914"/>
      <c r="E46" s="2914"/>
      <c r="F46" s="2914"/>
      <c r="G46" s="2916"/>
      <c r="H46" s="2914"/>
      <c r="I46" s="2916"/>
    </row>
    <row r="47" spans="1:11" x14ac:dyDescent="0.2">
      <c r="A47" s="2913" t="s">
        <v>2517</v>
      </c>
      <c r="B47" s="2913" t="s">
        <v>2667</v>
      </c>
      <c r="C47" s="2913" t="s">
        <v>2668</v>
      </c>
      <c r="D47" s="2914" t="s">
        <v>2597</v>
      </c>
      <c r="E47" s="2914"/>
      <c r="F47" s="2914" t="s">
        <v>2591</v>
      </c>
      <c r="G47" s="2916">
        <v>44488</v>
      </c>
      <c r="H47" s="2914" t="s">
        <v>2669</v>
      </c>
      <c r="I47" s="2926" t="s">
        <v>2613</v>
      </c>
      <c r="K47" s="33" t="s">
        <v>2600</v>
      </c>
    </row>
    <row r="48" spans="1:11" x14ac:dyDescent="0.2">
      <c r="A48" s="2913"/>
      <c r="B48" s="2913" t="s">
        <v>2670</v>
      </c>
      <c r="C48" s="2913" t="s">
        <v>2606</v>
      </c>
      <c r="D48" s="2914"/>
      <c r="E48" s="2914"/>
      <c r="F48" s="2914"/>
      <c r="G48" s="2916"/>
      <c r="H48" s="2914"/>
      <c r="I48" s="2916"/>
    </row>
    <row r="49" spans="1:11" x14ac:dyDescent="0.2">
      <c r="A49" s="2913"/>
      <c r="B49" s="2913"/>
      <c r="C49" s="2913"/>
      <c r="D49" s="2914"/>
      <c r="E49" s="2914"/>
      <c r="F49" s="2914"/>
      <c r="G49" s="2916"/>
      <c r="H49" s="2914"/>
      <c r="I49" s="2916"/>
    </row>
    <row r="50" spans="1:11" ht="16.5" thickBot="1" x14ac:dyDescent="0.3">
      <c r="A50" s="2913"/>
      <c r="B50" s="2913"/>
      <c r="C50" s="2913"/>
      <c r="D50" s="2916"/>
      <c r="E50" s="2916"/>
      <c r="F50" s="2914"/>
      <c r="G50" s="2916"/>
      <c r="H50" s="2914"/>
      <c r="I50" s="2916"/>
      <c r="J50" s="2919" t="s">
        <v>2671</v>
      </c>
    </row>
    <row r="51" spans="1:11" ht="37.5" thickBot="1" x14ac:dyDescent="0.3">
      <c r="A51" s="2902"/>
      <c r="B51" s="2903" t="s">
        <v>2579</v>
      </c>
      <c r="C51" s="2904" t="s">
        <v>2580</v>
      </c>
      <c r="D51" s="2905" t="s">
        <v>2581</v>
      </c>
      <c r="E51" s="2905" t="s">
        <v>2582</v>
      </c>
      <c r="F51" s="2905" t="s">
        <v>2583</v>
      </c>
      <c r="G51" s="2905" t="s">
        <v>2672</v>
      </c>
      <c r="H51" s="2905" t="s">
        <v>2585</v>
      </c>
      <c r="I51" s="2906" t="s">
        <v>2586</v>
      </c>
      <c r="J51" s="2907" t="s">
        <v>2</v>
      </c>
      <c r="K51" s="2908" t="s">
        <v>2587</v>
      </c>
    </row>
    <row r="52" spans="1:11" ht="18.75" x14ac:dyDescent="0.3">
      <c r="A52" s="2920">
        <v>2022</v>
      </c>
      <c r="B52" s="2921"/>
      <c r="C52" s="2921"/>
      <c r="D52" s="2922"/>
      <c r="E52" s="2922"/>
      <c r="F52" s="2922"/>
      <c r="G52" s="2922"/>
      <c r="H52" s="2922"/>
      <c r="I52" s="2922"/>
      <c r="J52" s="2909">
        <v>2022</v>
      </c>
    </row>
    <row r="53" spans="1:11" x14ac:dyDescent="0.2">
      <c r="A53" s="2927" t="s">
        <v>2506</v>
      </c>
      <c r="B53" s="2927" t="s">
        <v>2673</v>
      </c>
      <c r="C53" s="2927" t="s">
        <v>2674</v>
      </c>
      <c r="D53" s="2928" t="s">
        <v>2675</v>
      </c>
      <c r="E53" s="2929">
        <v>44638</v>
      </c>
      <c r="F53" s="2928" t="s">
        <v>2676</v>
      </c>
      <c r="G53" s="2929">
        <v>44635</v>
      </c>
      <c r="H53" s="2928" t="s">
        <v>2677</v>
      </c>
      <c r="I53" s="2929">
        <v>44670</v>
      </c>
      <c r="K53" s="33">
        <v>1348</v>
      </c>
    </row>
    <row r="54" spans="1:11" x14ac:dyDescent="0.2">
      <c r="A54" s="2927"/>
      <c r="B54" s="2927"/>
      <c r="C54" s="2927"/>
      <c r="D54" s="2928"/>
      <c r="E54" s="2928"/>
      <c r="F54" s="2928"/>
      <c r="G54" s="2928"/>
      <c r="H54" s="2928"/>
      <c r="I54" s="2928"/>
    </row>
    <row r="55" spans="1:11" x14ac:dyDescent="0.2">
      <c r="A55" s="2927" t="s">
        <v>2507</v>
      </c>
      <c r="B55" s="2927" t="s">
        <v>2678</v>
      </c>
      <c r="C55" s="2927" t="s">
        <v>2679</v>
      </c>
      <c r="D55" s="2928" t="s">
        <v>2680</v>
      </c>
      <c r="E55" s="2929">
        <v>44638</v>
      </c>
      <c r="F55" s="2928" t="s">
        <v>2620</v>
      </c>
      <c r="G55" s="2929">
        <v>44635</v>
      </c>
      <c r="H55" s="2928" t="s">
        <v>2681</v>
      </c>
      <c r="I55" s="2929">
        <v>44670</v>
      </c>
      <c r="K55" s="33">
        <v>1348</v>
      </c>
    </row>
    <row r="56" spans="1:11" x14ac:dyDescent="0.2">
      <c r="A56" s="2927"/>
      <c r="B56" s="2927"/>
      <c r="C56" s="2927"/>
      <c r="D56" s="2928"/>
      <c r="E56" s="2928"/>
      <c r="F56" s="2928"/>
      <c r="G56" s="2928"/>
      <c r="H56" s="2928"/>
      <c r="I56" s="2928"/>
    </row>
    <row r="57" spans="1:11" x14ac:dyDescent="0.2">
      <c r="A57" s="2927" t="s">
        <v>2508</v>
      </c>
      <c r="B57" s="2927" t="s">
        <v>2682</v>
      </c>
      <c r="C57" s="2927" t="s">
        <v>2683</v>
      </c>
      <c r="D57" s="2928" t="s">
        <v>2684</v>
      </c>
      <c r="E57" s="2929">
        <v>44638</v>
      </c>
      <c r="F57" s="2928" t="s">
        <v>2620</v>
      </c>
      <c r="G57" s="2929">
        <v>44635</v>
      </c>
      <c r="H57" s="2928" t="s">
        <v>2681</v>
      </c>
      <c r="I57" s="2929">
        <v>44672</v>
      </c>
      <c r="K57" s="33">
        <v>1348</v>
      </c>
    </row>
    <row r="58" spans="1:11" x14ac:dyDescent="0.2">
      <c r="A58" s="2927"/>
      <c r="B58" s="2927"/>
      <c r="C58" s="2927"/>
      <c r="D58" s="2928"/>
      <c r="E58" s="2928"/>
      <c r="F58" s="2928"/>
      <c r="G58" s="2928"/>
      <c r="H58" s="2928"/>
      <c r="I58" s="2928"/>
    </row>
    <row r="59" spans="1:11" x14ac:dyDescent="0.2">
      <c r="A59" s="2927" t="s">
        <v>2509</v>
      </c>
      <c r="B59" s="2927" t="s">
        <v>2685</v>
      </c>
      <c r="C59" s="2927" t="s">
        <v>2679</v>
      </c>
      <c r="D59" s="2928" t="s">
        <v>2686</v>
      </c>
      <c r="E59" s="2929">
        <v>44638</v>
      </c>
      <c r="F59" s="2928" t="s">
        <v>2687</v>
      </c>
      <c r="G59" s="2929">
        <v>44635</v>
      </c>
      <c r="H59" s="2928" t="s">
        <v>2681</v>
      </c>
      <c r="I59" s="2929">
        <v>44670</v>
      </c>
      <c r="K59" s="33">
        <v>1348</v>
      </c>
    </row>
    <row r="60" spans="1:11" x14ac:dyDescent="0.2">
      <c r="A60" s="2927"/>
      <c r="B60" s="2927"/>
      <c r="C60" s="2927"/>
      <c r="D60" s="2928"/>
      <c r="E60" s="2928"/>
      <c r="F60" s="2928"/>
      <c r="G60" s="2928"/>
      <c r="H60" s="2928"/>
      <c r="I60" s="2928"/>
    </row>
    <row r="61" spans="1:11" x14ac:dyDescent="0.2">
      <c r="A61" s="2927" t="s">
        <v>2510</v>
      </c>
      <c r="B61" s="2927" t="s">
        <v>2688</v>
      </c>
      <c r="C61" s="2927" t="s">
        <v>2689</v>
      </c>
      <c r="D61" s="2928" t="s">
        <v>2690</v>
      </c>
      <c r="E61" s="2929">
        <v>44638</v>
      </c>
      <c r="F61" s="2928" t="s">
        <v>2620</v>
      </c>
      <c r="G61" s="2929">
        <v>44635</v>
      </c>
      <c r="H61" s="2928" t="s">
        <v>2691</v>
      </c>
      <c r="I61" s="2929">
        <v>44712</v>
      </c>
      <c r="K61" s="33">
        <v>1348</v>
      </c>
    </row>
    <row r="62" spans="1:11" x14ac:dyDescent="0.2">
      <c r="A62" s="2927"/>
      <c r="B62" s="2927" t="s">
        <v>2692</v>
      </c>
      <c r="C62" s="2927" t="s">
        <v>2606</v>
      </c>
      <c r="D62" s="2928"/>
      <c r="E62" s="2928"/>
      <c r="F62" s="2928"/>
      <c r="G62" s="2928"/>
      <c r="H62" s="2928"/>
      <c r="I62" s="2928"/>
    </row>
    <row r="63" spans="1:11" x14ac:dyDescent="0.2">
      <c r="A63" s="2927"/>
      <c r="B63" s="2927"/>
      <c r="C63" s="2927"/>
      <c r="D63" s="2928"/>
      <c r="E63" s="2928"/>
      <c r="F63" s="2928"/>
      <c r="G63" s="2928"/>
      <c r="H63" s="2928"/>
      <c r="I63" s="2928"/>
    </row>
    <row r="64" spans="1:11" x14ac:dyDescent="0.2">
      <c r="A64" s="2927" t="s">
        <v>2511</v>
      </c>
      <c r="B64" s="2927" t="s">
        <v>2693</v>
      </c>
      <c r="C64" s="2927" t="s">
        <v>2694</v>
      </c>
      <c r="D64" s="2928" t="s">
        <v>2695</v>
      </c>
      <c r="E64" s="2929">
        <v>44649</v>
      </c>
      <c r="F64" s="2928" t="s">
        <v>2591</v>
      </c>
      <c r="G64" s="2929">
        <v>44635</v>
      </c>
      <c r="H64" s="2928" t="s">
        <v>2696</v>
      </c>
      <c r="I64" s="2929">
        <v>44680</v>
      </c>
      <c r="K64" s="33">
        <v>1348</v>
      </c>
    </row>
    <row r="65" spans="1:11" x14ac:dyDescent="0.2">
      <c r="A65" s="2927"/>
      <c r="B65" s="2927" t="s">
        <v>2697</v>
      </c>
      <c r="C65" s="2927" t="s">
        <v>2698</v>
      </c>
      <c r="D65" s="2928"/>
      <c r="E65" s="2928"/>
      <c r="F65" s="2928"/>
      <c r="G65" s="2928"/>
      <c r="H65" s="2928"/>
      <c r="I65" s="2928"/>
    </row>
    <row r="66" spans="1:11" x14ac:dyDescent="0.2">
      <c r="A66" s="2927"/>
      <c r="B66" s="2927"/>
      <c r="C66" s="2927"/>
      <c r="D66" s="2928"/>
      <c r="E66" s="2928"/>
      <c r="F66" s="2928"/>
      <c r="G66" s="2928"/>
      <c r="H66" s="2928"/>
      <c r="I66" s="2928"/>
    </row>
    <row r="67" spans="1:11" x14ac:dyDescent="0.2">
      <c r="A67" s="2927" t="s">
        <v>2512</v>
      </c>
      <c r="B67" s="2927" t="s">
        <v>2699</v>
      </c>
      <c r="C67" s="2927" t="s">
        <v>2700</v>
      </c>
      <c r="D67" s="2928" t="s">
        <v>2701</v>
      </c>
      <c r="E67" s="2929">
        <v>44714</v>
      </c>
      <c r="F67" s="2928" t="s">
        <v>2702</v>
      </c>
      <c r="G67" s="2929">
        <v>44679</v>
      </c>
      <c r="H67" s="2928" t="s">
        <v>2703</v>
      </c>
      <c r="I67" s="2929">
        <v>44837</v>
      </c>
      <c r="K67" s="33">
        <v>1348</v>
      </c>
    </row>
    <row r="68" spans="1:11" x14ac:dyDescent="0.2">
      <c r="A68" s="2927"/>
      <c r="B68" s="2927"/>
      <c r="C68" s="2927"/>
      <c r="D68" s="2930" t="s">
        <v>2704</v>
      </c>
      <c r="E68" s="2929"/>
      <c r="F68" s="2928"/>
      <c r="G68" s="2929"/>
      <c r="H68" s="2928"/>
      <c r="I68" s="2928"/>
    </row>
    <row r="69" spans="1:11" x14ac:dyDescent="0.2">
      <c r="A69" s="2927" t="s">
        <v>2513</v>
      </c>
      <c r="B69" s="2927" t="s">
        <v>2705</v>
      </c>
      <c r="C69" s="2927" t="s">
        <v>2624</v>
      </c>
      <c r="D69" s="2928" t="s">
        <v>2706</v>
      </c>
      <c r="E69" s="2929">
        <v>44797</v>
      </c>
      <c r="F69" s="2928" t="s">
        <v>2707</v>
      </c>
      <c r="G69" s="2929">
        <v>44768</v>
      </c>
      <c r="H69" s="2928" t="s">
        <v>2708</v>
      </c>
      <c r="I69" s="2929">
        <v>44838</v>
      </c>
      <c r="K69" s="33">
        <v>1348</v>
      </c>
    </row>
    <row r="70" spans="1:11" x14ac:dyDescent="0.2">
      <c r="A70" s="2927"/>
      <c r="B70" s="2927"/>
      <c r="C70" s="2927"/>
      <c r="D70" s="2930" t="s">
        <v>2709</v>
      </c>
      <c r="E70" s="2929"/>
      <c r="F70" s="2928"/>
      <c r="G70" s="2929"/>
      <c r="H70" s="2928"/>
      <c r="I70" s="2928"/>
    </row>
    <row r="71" spans="1:11" x14ac:dyDescent="0.2">
      <c r="A71" s="2927"/>
      <c r="B71" s="2927"/>
      <c r="C71" s="2927"/>
      <c r="D71" s="2931"/>
      <c r="E71" s="2929"/>
      <c r="F71" s="2928"/>
      <c r="G71" s="2929"/>
      <c r="H71" s="2928"/>
      <c r="I71" s="2928"/>
    </row>
    <row r="72" spans="1:11" x14ac:dyDescent="0.2">
      <c r="A72" s="2927" t="s">
        <v>2514</v>
      </c>
      <c r="B72" s="2927" t="s">
        <v>2710</v>
      </c>
      <c r="C72" s="2927" t="s">
        <v>2711</v>
      </c>
      <c r="D72" s="2928" t="s">
        <v>2712</v>
      </c>
      <c r="E72" s="2929">
        <v>44817</v>
      </c>
      <c r="F72" s="2928" t="s">
        <v>2591</v>
      </c>
      <c r="G72" s="2929">
        <v>44796</v>
      </c>
      <c r="H72" s="2928" t="s">
        <v>2713</v>
      </c>
      <c r="I72" s="2929">
        <v>44847</v>
      </c>
      <c r="K72" s="33">
        <v>1348</v>
      </c>
    </row>
    <row r="73" spans="1:11" x14ac:dyDescent="0.2">
      <c r="A73" s="2927"/>
      <c r="B73" s="2927" t="s">
        <v>2714</v>
      </c>
      <c r="C73" s="2927" t="s">
        <v>2711</v>
      </c>
      <c r="D73" s="2931"/>
      <c r="E73" s="2929"/>
      <c r="F73" s="2928"/>
      <c r="G73" s="2929"/>
      <c r="H73" s="2928"/>
      <c r="I73" s="2928"/>
    </row>
    <row r="74" spans="1:11" x14ac:dyDescent="0.2">
      <c r="A74" s="2927"/>
      <c r="B74" s="2927"/>
      <c r="C74" s="2927"/>
      <c r="D74" s="2931"/>
      <c r="E74" s="2929"/>
      <c r="F74" s="2928"/>
      <c r="G74" s="2929"/>
      <c r="H74" s="2928"/>
      <c r="I74" s="2928"/>
    </row>
    <row r="75" spans="1:11" x14ac:dyDescent="0.2">
      <c r="A75" s="2927" t="s">
        <v>2515</v>
      </c>
      <c r="B75" s="2927" t="s">
        <v>2715</v>
      </c>
      <c r="C75" s="2927" t="s">
        <v>2716</v>
      </c>
      <c r="D75" s="2928" t="s">
        <v>2717</v>
      </c>
      <c r="E75" s="2929">
        <v>44826</v>
      </c>
      <c r="F75" s="2928" t="s">
        <v>2718</v>
      </c>
      <c r="G75" s="2929">
        <v>44735</v>
      </c>
      <c r="H75" s="2928" t="s">
        <v>2719</v>
      </c>
      <c r="I75" s="2929">
        <v>44830</v>
      </c>
      <c r="K75" s="33">
        <v>1348</v>
      </c>
    </row>
    <row r="76" spans="1:11" x14ac:dyDescent="0.2">
      <c r="A76" s="2927"/>
      <c r="B76" s="2927"/>
      <c r="C76" s="2927"/>
      <c r="D76" s="2930" t="s">
        <v>2704</v>
      </c>
      <c r="E76" s="2929"/>
      <c r="F76" s="2928"/>
      <c r="G76" s="2929"/>
      <c r="H76" s="2928"/>
      <c r="I76" s="2928"/>
    </row>
    <row r="77" spans="1:11" x14ac:dyDescent="0.2">
      <c r="A77" s="2927"/>
      <c r="B77" s="2927"/>
      <c r="C77" s="2927"/>
      <c r="D77" s="2930"/>
      <c r="E77" s="2929"/>
      <c r="F77" s="2928"/>
      <c r="G77" s="2929"/>
      <c r="H77" s="2928"/>
      <c r="I77" s="2928"/>
    </row>
    <row r="78" spans="1:11" x14ac:dyDescent="0.2">
      <c r="A78" s="2927" t="s">
        <v>2516</v>
      </c>
      <c r="B78" s="2927" t="s">
        <v>2720</v>
      </c>
      <c r="C78" s="2927" t="s">
        <v>2721</v>
      </c>
      <c r="D78" s="2928" t="s">
        <v>2722</v>
      </c>
      <c r="E78" s="2929">
        <v>44848</v>
      </c>
      <c r="F78" s="2928" t="s">
        <v>2620</v>
      </c>
      <c r="G78" s="2929">
        <v>44824</v>
      </c>
      <c r="H78" s="2928" t="s">
        <v>2723</v>
      </c>
      <c r="I78" s="2929">
        <v>44879</v>
      </c>
      <c r="K78" s="33">
        <v>1348</v>
      </c>
    </row>
    <row r="79" spans="1:11" x14ac:dyDescent="0.2">
      <c r="A79" s="2927"/>
      <c r="B79" s="2927" t="s">
        <v>2724</v>
      </c>
      <c r="C79" s="2927" t="s">
        <v>2721</v>
      </c>
      <c r="D79" s="2930"/>
      <c r="E79" s="2929"/>
      <c r="F79" s="2928"/>
      <c r="G79" s="2929"/>
      <c r="H79" s="2928"/>
      <c r="I79" s="2928"/>
    </row>
    <row r="80" spans="1:11" x14ac:dyDescent="0.2">
      <c r="A80" s="2927"/>
      <c r="B80" s="2927"/>
      <c r="C80" s="2927"/>
      <c r="D80" s="2928"/>
      <c r="E80" s="2929"/>
      <c r="F80" s="2928"/>
      <c r="G80" s="2929"/>
      <c r="H80" s="2928"/>
      <c r="I80" s="2928"/>
    </row>
    <row r="81" spans="1:11" x14ac:dyDescent="0.2">
      <c r="A81" s="2913" t="s">
        <v>2517</v>
      </c>
      <c r="B81" s="2913" t="s">
        <v>2725</v>
      </c>
      <c r="C81" s="2913" t="s">
        <v>2726</v>
      </c>
      <c r="D81" s="2914" t="s">
        <v>2597</v>
      </c>
      <c r="E81" s="2914"/>
      <c r="F81" s="2914" t="s">
        <v>2620</v>
      </c>
      <c r="G81" s="2916">
        <v>44635</v>
      </c>
      <c r="H81" s="2914" t="s">
        <v>2727</v>
      </c>
      <c r="I81" s="2914" t="s">
        <v>2728</v>
      </c>
      <c r="K81" s="2915" t="s">
        <v>2600</v>
      </c>
    </row>
    <row r="82" spans="1:11" x14ac:dyDescent="0.2">
      <c r="A82" s="2913"/>
      <c r="B82" s="2913" t="s">
        <v>2729</v>
      </c>
      <c r="C82" s="2913" t="s">
        <v>2606</v>
      </c>
      <c r="D82" s="2914"/>
      <c r="E82" s="2914"/>
      <c r="F82" s="2914"/>
      <c r="G82" s="2914"/>
      <c r="H82" s="2914"/>
      <c r="I82" s="2914"/>
    </row>
    <row r="83" spans="1:11" x14ac:dyDescent="0.2">
      <c r="A83" s="2921"/>
      <c r="B83" s="2921"/>
      <c r="C83" s="2921"/>
      <c r="D83" s="2922"/>
      <c r="E83" s="2922"/>
      <c r="F83" s="2922"/>
      <c r="G83" s="2922"/>
      <c r="H83" s="2922"/>
      <c r="I83" s="2922"/>
    </row>
    <row r="84" spans="1:11" x14ac:dyDescent="0.2">
      <c r="A84" s="2921" t="s">
        <v>2730</v>
      </c>
      <c r="B84" s="2921" t="s">
        <v>2731</v>
      </c>
      <c r="C84" s="2921" t="s">
        <v>2732</v>
      </c>
      <c r="D84" s="2922" t="s">
        <v>2597</v>
      </c>
      <c r="E84" s="2922"/>
      <c r="F84" s="2922" t="s">
        <v>2591</v>
      </c>
      <c r="G84" s="2932">
        <v>44635</v>
      </c>
      <c r="H84" s="2922" t="s">
        <v>2733</v>
      </c>
      <c r="I84" s="2922" t="s">
        <v>2728</v>
      </c>
      <c r="K84" s="33" t="s">
        <v>2600</v>
      </c>
    </row>
    <row r="85" spans="1:11" x14ac:dyDescent="0.2">
      <c r="A85" s="2921"/>
      <c r="B85" s="2921"/>
      <c r="C85" s="2921"/>
      <c r="D85" s="2922"/>
      <c r="E85" s="2922"/>
      <c r="F85" s="2922"/>
      <c r="G85" s="2922"/>
      <c r="H85" s="2922"/>
      <c r="I85" s="2922"/>
    </row>
    <row r="86" spans="1:11" ht="15.75" x14ac:dyDescent="0.25">
      <c r="A86" s="2921"/>
      <c r="B86" s="2921"/>
      <c r="C86" s="2921"/>
      <c r="D86" s="2922"/>
      <c r="E86" s="2922"/>
      <c r="F86" s="2922"/>
      <c r="G86" s="2932"/>
      <c r="H86" s="2922"/>
      <c r="I86" s="2922"/>
      <c r="J86" s="2919" t="s">
        <v>2734</v>
      </c>
    </row>
    <row r="87" spans="1:11" x14ac:dyDescent="0.2">
      <c r="A87" s="2921"/>
      <c r="B87" s="2921"/>
      <c r="C87" s="2921"/>
      <c r="D87" s="2922"/>
      <c r="E87" s="2922"/>
      <c r="F87" s="2922"/>
      <c r="G87" s="2922"/>
      <c r="H87" s="2922"/>
      <c r="I87" s="2922"/>
    </row>
    <row r="88" spans="1:11" x14ac:dyDescent="0.2">
      <c r="A88" s="2921"/>
      <c r="B88" s="2921"/>
      <c r="C88" s="2921"/>
      <c r="D88" s="2922"/>
      <c r="E88" s="2922"/>
      <c r="F88" s="2922"/>
      <c r="G88" s="2922"/>
      <c r="H88" s="2922"/>
      <c r="I88" s="2922"/>
    </row>
    <row r="89" spans="1:11" x14ac:dyDescent="0.2">
      <c r="A89" s="2921"/>
      <c r="B89" s="2921"/>
      <c r="C89" s="2921"/>
      <c r="D89" s="2922"/>
      <c r="E89" s="2922"/>
      <c r="F89" s="2922"/>
      <c r="G89" s="2922"/>
      <c r="H89" s="2922"/>
      <c r="I89" s="2922"/>
    </row>
    <row r="90" spans="1:11" x14ac:dyDescent="0.2">
      <c r="A90" s="2921"/>
      <c r="B90" s="2921"/>
      <c r="C90" s="2921"/>
      <c r="D90" s="2922"/>
      <c r="E90" s="2922"/>
      <c r="F90" s="2922"/>
      <c r="G90" s="2922"/>
      <c r="H90" s="2922"/>
      <c r="I90" s="2922"/>
    </row>
    <row r="91" spans="1:11" x14ac:dyDescent="0.2">
      <c r="A91" s="2921"/>
      <c r="B91" s="2921"/>
      <c r="C91" s="2921"/>
      <c r="D91" s="2922"/>
      <c r="E91" s="2922"/>
      <c r="F91" s="2922"/>
      <c r="G91" s="2922"/>
      <c r="H91" s="2922"/>
      <c r="I91" s="2922"/>
    </row>
    <row r="92" spans="1:11" x14ac:dyDescent="0.2">
      <c r="A92" s="2921"/>
      <c r="B92" s="2921"/>
      <c r="C92" s="2921"/>
      <c r="D92" s="2922"/>
      <c r="E92" s="2922"/>
      <c r="F92" s="2922"/>
      <c r="G92" s="2922"/>
      <c r="H92" s="2922"/>
      <c r="I92" s="2922"/>
    </row>
    <row r="93" spans="1:11" x14ac:dyDescent="0.2">
      <c r="A93" s="2921"/>
      <c r="B93" s="2921"/>
      <c r="C93" s="2921"/>
      <c r="D93" s="2922"/>
      <c r="E93" s="2922"/>
      <c r="F93" s="2922"/>
      <c r="G93" s="2922"/>
      <c r="H93" s="2922"/>
      <c r="I93" s="2922"/>
    </row>
    <row r="94" spans="1:11" x14ac:dyDescent="0.2">
      <c r="A94" s="2921"/>
      <c r="B94" s="2921"/>
      <c r="C94" s="2921"/>
      <c r="D94" s="2922"/>
      <c r="E94" s="2922"/>
      <c r="F94" s="2922"/>
      <c r="G94" s="2922"/>
      <c r="H94" s="2922"/>
      <c r="I94" s="2922"/>
    </row>
    <row r="95" spans="1:11" ht="13.5" thickBot="1" x14ac:dyDescent="0.25">
      <c r="A95" s="2933"/>
      <c r="B95" s="2933"/>
      <c r="C95" s="2933"/>
      <c r="D95" s="2934"/>
      <c r="E95" s="2934"/>
      <c r="F95" s="2934"/>
      <c r="G95" s="2934"/>
      <c r="H95" s="2934"/>
      <c r="I95" s="2934"/>
    </row>
    <row r="96" spans="1:11" ht="37.5" thickBot="1" x14ac:dyDescent="0.3">
      <c r="A96" s="2935"/>
      <c r="B96" s="2936" t="s">
        <v>2735</v>
      </c>
      <c r="C96" s="2937" t="s">
        <v>2580</v>
      </c>
      <c r="D96" s="2938" t="s">
        <v>2581</v>
      </c>
      <c r="E96" s="2938" t="s">
        <v>2582</v>
      </c>
      <c r="F96" s="2938" t="s">
        <v>2583</v>
      </c>
      <c r="G96" s="2938" t="s">
        <v>2672</v>
      </c>
      <c r="H96" s="2938" t="s">
        <v>2585</v>
      </c>
      <c r="I96" s="2939" t="s">
        <v>2586</v>
      </c>
      <c r="J96" s="2938" t="s">
        <v>2</v>
      </c>
      <c r="K96" s="2908" t="s">
        <v>2587</v>
      </c>
    </row>
    <row r="97" spans="1:11" ht="18.75" x14ac:dyDescent="0.3">
      <c r="A97" s="2940">
        <v>2023</v>
      </c>
      <c r="B97" s="2941"/>
      <c r="C97" s="2941"/>
      <c r="D97" s="2942"/>
      <c r="E97" s="2942"/>
      <c r="F97" s="2942"/>
      <c r="G97" s="2942"/>
      <c r="H97" s="2942"/>
      <c r="I97" s="2942"/>
      <c r="J97" s="2909" t="s">
        <v>2736</v>
      </c>
    </row>
    <row r="98" spans="1:11" ht="15.75" x14ac:dyDescent="0.25">
      <c r="A98" s="2943" t="s">
        <v>2506</v>
      </c>
      <c r="B98" s="2943" t="s">
        <v>2737</v>
      </c>
      <c r="C98" s="2943" t="s">
        <v>2738</v>
      </c>
      <c r="D98" s="2944" t="s">
        <v>2739</v>
      </c>
      <c r="E98" s="2945">
        <v>44994</v>
      </c>
      <c r="F98" s="2946" t="s">
        <v>2620</v>
      </c>
      <c r="G98" s="2945">
        <v>44984</v>
      </c>
      <c r="H98" s="2944" t="s">
        <v>2740</v>
      </c>
      <c r="I98" s="2947">
        <v>45006</v>
      </c>
      <c r="J98" s="33">
        <v>18</v>
      </c>
      <c r="K98" s="33">
        <v>1348</v>
      </c>
    </row>
    <row r="99" spans="1:11" x14ac:dyDescent="0.2">
      <c r="A99" s="2943"/>
      <c r="B99" s="2943"/>
      <c r="C99" s="2943"/>
      <c r="D99" s="2944"/>
      <c r="E99" s="2944"/>
      <c r="F99" s="2944"/>
      <c r="G99" s="2944"/>
      <c r="H99" s="2944"/>
      <c r="I99" s="2944"/>
    </row>
    <row r="100" spans="1:11" x14ac:dyDescent="0.2">
      <c r="A100" s="2943" t="s">
        <v>2507</v>
      </c>
      <c r="B100" s="2943" t="s">
        <v>2741</v>
      </c>
      <c r="C100" s="2943" t="s">
        <v>2742</v>
      </c>
      <c r="D100" s="2948" t="s">
        <v>2743</v>
      </c>
      <c r="E100" s="2944"/>
      <c r="F100" s="2944" t="s">
        <v>2620</v>
      </c>
      <c r="G100" s="2945">
        <v>44984</v>
      </c>
      <c r="H100" s="2944" t="s">
        <v>2744</v>
      </c>
      <c r="I100" s="2944" t="s">
        <v>2728</v>
      </c>
    </row>
    <row r="101" spans="1:11" ht="15.75" x14ac:dyDescent="0.25">
      <c r="A101" s="2943"/>
      <c r="B101" s="2943"/>
      <c r="C101" s="2943"/>
      <c r="D101" s="2948" t="s">
        <v>2745</v>
      </c>
      <c r="E101" s="2945">
        <v>45092</v>
      </c>
      <c r="F101" s="2946" t="s">
        <v>2746</v>
      </c>
      <c r="G101" s="2945">
        <v>45020</v>
      </c>
      <c r="H101" s="2944" t="s">
        <v>2747</v>
      </c>
      <c r="I101" s="2949">
        <v>45107</v>
      </c>
      <c r="J101" s="33">
        <v>19</v>
      </c>
      <c r="K101" s="33">
        <v>1348</v>
      </c>
    </row>
    <row r="102" spans="1:11" x14ac:dyDescent="0.2">
      <c r="A102" s="2943"/>
      <c r="B102" s="2943"/>
      <c r="C102" s="2943"/>
      <c r="D102" s="2948"/>
      <c r="E102" s="2944"/>
      <c r="F102" s="2944"/>
      <c r="G102" s="2945"/>
      <c r="H102" s="2944"/>
      <c r="I102" s="2944"/>
    </row>
    <row r="103" spans="1:11" x14ac:dyDescent="0.2">
      <c r="A103" s="2943"/>
      <c r="B103" s="2943"/>
      <c r="C103" s="2943"/>
      <c r="D103" s="2944"/>
      <c r="E103" s="2944"/>
      <c r="F103" s="2944"/>
      <c r="G103" s="2944"/>
      <c r="H103" s="2944"/>
      <c r="I103" s="2944"/>
    </row>
    <row r="104" spans="1:11" ht="15.75" x14ac:dyDescent="0.25">
      <c r="A104" s="2943" t="s">
        <v>2508</v>
      </c>
      <c r="B104" s="2943" t="s">
        <v>2748</v>
      </c>
      <c r="C104" s="2943" t="s">
        <v>2749</v>
      </c>
      <c r="D104" s="2944" t="s">
        <v>2750</v>
      </c>
      <c r="E104" s="2945">
        <v>45083</v>
      </c>
      <c r="F104" s="2946" t="s">
        <v>2751</v>
      </c>
      <c r="G104" s="2945">
        <v>45001</v>
      </c>
      <c r="H104" s="2944" t="s">
        <v>2752</v>
      </c>
      <c r="I104" s="2947">
        <v>45138</v>
      </c>
      <c r="J104" s="33">
        <v>20</v>
      </c>
      <c r="K104" s="33">
        <v>1348</v>
      </c>
    </row>
    <row r="105" spans="1:11" x14ac:dyDescent="0.2">
      <c r="A105" s="2943"/>
      <c r="B105" s="2943"/>
      <c r="C105" s="2943"/>
      <c r="D105" s="2948" t="s">
        <v>2704</v>
      </c>
      <c r="E105" s="2944"/>
      <c r="F105" s="2944"/>
      <c r="G105" s="2944"/>
      <c r="H105" s="2944"/>
      <c r="I105" s="2944"/>
    </row>
    <row r="106" spans="1:11" x14ac:dyDescent="0.2">
      <c r="A106" s="2943"/>
      <c r="B106" s="2943"/>
      <c r="C106" s="2943"/>
      <c r="D106" s="2948"/>
      <c r="E106" s="2944"/>
      <c r="F106" s="2944"/>
      <c r="G106" s="2944"/>
      <c r="H106" s="2944"/>
      <c r="I106" s="2944"/>
    </row>
    <row r="107" spans="1:11" ht="15.75" x14ac:dyDescent="0.25">
      <c r="A107" s="2943" t="s">
        <v>2509</v>
      </c>
      <c r="B107" s="2943" t="s">
        <v>2753</v>
      </c>
      <c r="C107" s="2943" t="s">
        <v>2754</v>
      </c>
      <c r="D107" s="2944" t="s">
        <v>2755</v>
      </c>
      <c r="E107" s="2945">
        <v>45125</v>
      </c>
      <c r="F107" s="2946" t="s">
        <v>2756</v>
      </c>
      <c r="G107" s="2945">
        <v>45082</v>
      </c>
      <c r="H107" s="2944" t="s">
        <v>2757</v>
      </c>
      <c r="I107" s="2947">
        <v>45201</v>
      </c>
      <c r="J107" s="33">
        <v>22</v>
      </c>
      <c r="K107" s="33">
        <v>1348</v>
      </c>
    </row>
    <row r="108" spans="1:11" x14ac:dyDescent="0.2">
      <c r="A108" s="2943"/>
      <c r="B108" s="2943"/>
      <c r="C108" s="2943"/>
      <c r="D108" s="2948"/>
      <c r="E108" s="2944"/>
      <c r="F108" s="2944"/>
      <c r="G108" s="2944"/>
      <c r="H108" s="2944"/>
      <c r="I108" s="2944"/>
    </row>
    <row r="109" spans="1:11" ht="15.75" x14ac:dyDescent="0.25">
      <c r="A109" s="2943" t="s">
        <v>2510</v>
      </c>
      <c r="B109" s="2943" t="s">
        <v>2758</v>
      </c>
      <c r="C109" s="2943" t="s">
        <v>2759</v>
      </c>
      <c r="D109" s="2944" t="s">
        <v>2760</v>
      </c>
      <c r="E109" s="2945">
        <v>45099</v>
      </c>
      <c r="F109" s="2946" t="s">
        <v>2761</v>
      </c>
      <c r="G109" s="2945">
        <v>45082</v>
      </c>
      <c r="H109" s="2944" t="s">
        <v>2762</v>
      </c>
      <c r="I109" s="2947">
        <v>45138</v>
      </c>
      <c r="J109" s="33">
        <v>21</v>
      </c>
      <c r="K109" s="33">
        <v>1348</v>
      </c>
    </row>
    <row r="110" spans="1:11" x14ac:dyDescent="0.2">
      <c r="A110" s="2943"/>
      <c r="B110" s="2943"/>
      <c r="C110" s="2943"/>
      <c r="D110" s="2948" t="s">
        <v>2763</v>
      </c>
      <c r="E110" s="2945"/>
      <c r="F110" s="2944"/>
      <c r="G110" s="2945"/>
      <c r="H110" s="2944"/>
      <c r="I110" s="2944"/>
    </row>
    <row r="111" spans="1:11" x14ac:dyDescent="0.2">
      <c r="A111" s="2943"/>
      <c r="B111" s="2943"/>
      <c r="C111" s="2943"/>
      <c r="D111" s="2948"/>
      <c r="E111" s="2944"/>
      <c r="F111" s="2944"/>
      <c r="G111" s="2944"/>
      <c r="H111" s="2944"/>
      <c r="I111" s="2944"/>
    </row>
    <row r="112" spans="1:11" x14ac:dyDescent="0.2">
      <c r="A112" s="2943" t="s">
        <v>2511</v>
      </c>
      <c r="B112" s="2943" t="s">
        <v>2764</v>
      </c>
      <c r="C112" s="2943" t="s">
        <v>2765</v>
      </c>
      <c r="D112" s="2948" t="s">
        <v>2766</v>
      </c>
      <c r="E112" s="2944"/>
      <c r="F112" s="2944" t="s">
        <v>2620</v>
      </c>
      <c r="G112" s="2945">
        <v>45082</v>
      </c>
      <c r="H112" s="2948" t="s">
        <v>2766</v>
      </c>
      <c r="I112" s="2944" t="s">
        <v>2600</v>
      </c>
    </row>
    <row r="113" spans="1:11" ht="15.75" x14ac:dyDescent="0.25">
      <c r="A113" s="2943"/>
      <c r="B113" s="2943"/>
      <c r="C113" s="2943"/>
      <c r="D113" s="2948" t="s">
        <v>2767</v>
      </c>
      <c r="E113" s="2945">
        <v>45134</v>
      </c>
      <c r="F113" s="2946" t="s">
        <v>2620</v>
      </c>
      <c r="G113" s="2945">
        <v>45099</v>
      </c>
      <c r="H113" s="2944" t="s">
        <v>2768</v>
      </c>
      <c r="I113" s="2947">
        <v>45189</v>
      </c>
      <c r="J113" s="33">
        <v>23</v>
      </c>
      <c r="K113" s="33">
        <v>1348</v>
      </c>
    </row>
    <row r="114" spans="1:11" x14ac:dyDescent="0.2">
      <c r="A114" s="2943"/>
      <c r="B114" s="2943"/>
      <c r="C114" s="2943"/>
      <c r="D114" s="2950"/>
      <c r="E114" s="2944"/>
      <c r="F114" s="2944"/>
      <c r="G114" s="2945"/>
      <c r="H114" s="2944"/>
      <c r="I114" s="2944"/>
    </row>
    <row r="115" spans="1:11" ht="15.75" x14ac:dyDescent="0.25">
      <c r="A115" s="2943" t="s">
        <v>2512</v>
      </c>
      <c r="B115" s="2943" t="s">
        <v>2769</v>
      </c>
      <c r="C115" s="2943" t="s">
        <v>2770</v>
      </c>
      <c r="D115" s="2944" t="s">
        <v>2771</v>
      </c>
      <c r="E115" s="2945">
        <v>45152</v>
      </c>
      <c r="F115" s="2946" t="s">
        <v>2772</v>
      </c>
      <c r="G115" s="2945">
        <v>45099</v>
      </c>
      <c r="H115" s="2944" t="s">
        <v>2773</v>
      </c>
      <c r="I115" s="2947">
        <v>45183</v>
      </c>
      <c r="J115" s="33">
        <v>24</v>
      </c>
      <c r="K115" s="33">
        <v>1348</v>
      </c>
    </row>
    <row r="116" spans="1:11" x14ac:dyDescent="0.2">
      <c r="A116" s="2943"/>
      <c r="B116" s="2943"/>
      <c r="C116" s="2943"/>
      <c r="D116" s="2948" t="s">
        <v>2704</v>
      </c>
      <c r="E116" s="2944"/>
      <c r="F116" s="2944"/>
      <c r="G116" s="2945"/>
      <c r="H116" s="2944"/>
      <c r="I116" s="2944"/>
    </row>
    <row r="117" spans="1:11" x14ac:dyDescent="0.2">
      <c r="A117" s="2943"/>
      <c r="B117" s="2943"/>
      <c r="C117" s="2943"/>
      <c r="D117" s="2948"/>
      <c r="E117" s="2944"/>
      <c r="F117" s="2944"/>
      <c r="G117" s="2945"/>
      <c r="H117" s="2944"/>
      <c r="I117" s="2944"/>
    </row>
    <row r="118" spans="1:11" ht="15" x14ac:dyDescent="0.25">
      <c r="A118" s="2943" t="s">
        <v>2774</v>
      </c>
      <c r="B118" s="2943" t="s">
        <v>2775</v>
      </c>
      <c r="C118" s="2943" t="s">
        <v>2776</v>
      </c>
      <c r="D118" s="2948"/>
      <c r="E118" s="2944"/>
      <c r="F118" s="2946" t="s">
        <v>2591</v>
      </c>
      <c r="G118" s="2945"/>
      <c r="H118" s="2944"/>
      <c r="I118" s="2944"/>
      <c r="K118" s="33">
        <v>1348</v>
      </c>
    </row>
    <row r="119" spans="1:11" x14ac:dyDescent="0.2">
      <c r="A119" s="2943"/>
      <c r="B119" s="2943"/>
      <c r="C119" s="2943"/>
      <c r="D119" s="2948" t="s">
        <v>2704</v>
      </c>
      <c r="E119" s="2944"/>
      <c r="F119" s="2944"/>
      <c r="G119" s="2945"/>
      <c r="H119" s="2944"/>
      <c r="I119" s="2944"/>
    </row>
    <row r="120" spans="1:11" x14ac:dyDescent="0.2">
      <c r="A120" s="2943"/>
      <c r="B120" s="2943"/>
      <c r="C120" s="2943"/>
      <c r="D120" s="2948"/>
      <c r="E120" s="2944"/>
      <c r="F120" s="2944"/>
      <c r="G120" s="2945"/>
      <c r="H120" s="2944"/>
      <c r="I120" s="2944"/>
    </row>
    <row r="121" spans="1:11" ht="15.75" x14ac:dyDescent="0.25">
      <c r="A121" s="2943" t="s">
        <v>2514</v>
      </c>
      <c r="B121" s="2943" t="s">
        <v>2777</v>
      </c>
      <c r="C121" s="2951" t="s">
        <v>2778</v>
      </c>
      <c r="D121" s="2944" t="s">
        <v>2779</v>
      </c>
      <c r="E121" s="2945">
        <v>45043</v>
      </c>
      <c r="F121" s="2946" t="s">
        <v>2780</v>
      </c>
      <c r="G121" s="2945">
        <v>45020</v>
      </c>
      <c r="H121" s="2944" t="s">
        <v>2781</v>
      </c>
      <c r="I121" s="2947">
        <v>45068</v>
      </c>
      <c r="J121" s="33">
        <v>26</v>
      </c>
      <c r="K121" s="33">
        <v>1348</v>
      </c>
    </row>
    <row r="122" spans="1:11" x14ac:dyDescent="0.2">
      <c r="A122" s="2943"/>
      <c r="B122" s="2943" t="s">
        <v>2782</v>
      </c>
      <c r="C122" s="2951" t="s">
        <v>2606</v>
      </c>
      <c r="D122" s="2948" t="s">
        <v>2783</v>
      </c>
      <c r="E122" s="2944"/>
      <c r="F122" s="2944"/>
      <c r="G122" s="2944"/>
      <c r="H122" s="2944"/>
      <c r="I122" s="2944"/>
    </row>
    <row r="123" spans="1:11" x14ac:dyDescent="0.2">
      <c r="A123" s="2943"/>
      <c r="B123" s="2943"/>
      <c r="C123" s="2943"/>
      <c r="D123" s="2948"/>
      <c r="E123" s="2944"/>
      <c r="F123" s="2944"/>
      <c r="G123" s="2945"/>
      <c r="H123" s="2944"/>
      <c r="I123" s="2944"/>
    </row>
    <row r="124" spans="1:11" ht="15.75" x14ac:dyDescent="0.25">
      <c r="A124" s="2943" t="s">
        <v>2515</v>
      </c>
      <c r="B124" s="2943" t="s">
        <v>2784</v>
      </c>
      <c r="C124" s="2943" t="s">
        <v>2785</v>
      </c>
      <c r="D124" s="2944" t="s">
        <v>2786</v>
      </c>
      <c r="E124" s="2945">
        <v>45218</v>
      </c>
      <c r="F124" s="2946" t="s">
        <v>2787</v>
      </c>
      <c r="G124" s="2945">
        <v>45180</v>
      </c>
      <c r="H124" s="2944" t="s">
        <v>2788</v>
      </c>
      <c r="I124" s="2947">
        <v>45238</v>
      </c>
      <c r="J124" s="33">
        <v>25</v>
      </c>
      <c r="K124" s="33">
        <v>1348</v>
      </c>
    </row>
    <row r="125" spans="1:11" x14ac:dyDescent="0.2">
      <c r="A125" s="2943"/>
      <c r="B125" s="2943"/>
      <c r="C125" s="2943"/>
      <c r="D125" s="2948" t="s">
        <v>2783</v>
      </c>
      <c r="E125" s="2952" t="s">
        <v>2789</v>
      </c>
      <c r="F125" s="2944" t="s">
        <v>2790</v>
      </c>
      <c r="G125" s="2945"/>
      <c r="H125" s="2944"/>
      <c r="I125" s="2944"/>
    </row>
    <row r="126" spans="1:11" x14ac:dyDescent="0.2">
      <c r="A126" s="2943"/>
      <c r="B126" s="2943"/>
      <c r="C126" s="2943"/>
      <c r="D126" s="2948"/>
      <c r="E126" s="2944"/>
      <c r="F126" s="2944"/>
      <c r="G126" s="2945"/>
      <c r="H126" s="2944"/>
      <c r="I126" s="2944"/>
    </row>
    <row r="127" spans="1:11" ht="15" x14ac:dyDescent="0.25">
      <c r="A127" s="2943" t="s">
        <v>2516</v>
      </c>
      <c r="B127" s="2943" t="s">
        <v>2791</v>
      </c>
      <c r="C127" s="2943" t="s">
        <v>2792</v>
      </c>
      <c r="D127" s="2944" t="s">
        <v>2793</v>
      </c>
      <c r="E127" s="2945">
        <v>45280</v>
      </c>
      <c r="F127" s="2946" t="s">
        <v>2794</v>
      </c>
      <c r="G127" s="2945">
        <v>45274</v>
      </c>
      <c r="H127" s="2944" t="s">
        <v>2795</v>
      </c>
      <c r="I127" s="2944"/>
      <c r="K127" s="33">
        <v>1348</v>
      </c>
    </row>
    <row r="128" spans="1:11" x14ac:dyDescent="0.2">
      <c r="A128" s="2943"/>
      <c r="B128" s="2943"/>
      <c r="C128" s="2943"/>
      <c r="D128" s="2948" t="s">
        <v>2704</v>
      </c>
      <c r="E128" s="2944" t="s">
        <v>2796</v>
      </c>
      <c r="F128" s="2944"/>
      <c r="G128" s="2945"/>
      <c r="H128" s="2944"/>
      <c r="I128" s="2944"/>
    </row>
    <row r="129" spans="1:11" ht="15.75" x14ac:dyDescent="0.25">
      <c r="A129" s="2943"/>
      <c r="B129" s="2943"/>
      <c r="C129" s="2943"/>
      <c r="D129" s="2948"/>
      <c r="E129" s="2944" t="s">
        <v>2797</v>
      </c>
      <c r="F129" s="2946" t="s">
        <v>2798</v>
      </c>
      <c r="G129" s="2945"/>
      <c r="H129" s="2944"/>
      <c r="I129" s="2947">
        <v>45281</v>
      </c>
      <c r="J129" s="33">
        <v>28</v>
      </c>
      <c r="K129" s="33">
        <v>1348</v>
      </c>
    </row>
    <row r="130" spans="1:11" ht="15" x14ac:dyDescent="0.25">
      <c r="A130" s="2943"/>
      <c r="B130" s="2943"/>
      <c r="C130" s="2943"/>
      <c r="D130" s="2948"/>
      <c r="E130" s="2944" t="s">
        <v>2799</v>
      </c>
      <c r="F130" s="2946" t="s">
        <v>2800</v>
      </c>
      <c r="G130" s="2945"/>
      <c r="H130" s="2944"/>
      <c r="I130" s="2944"/>
    </row>
    <row r="131" spans="1:11" x14ac:dyDescent="0.2">
      <c r="A131" s="2943"/>
      <c r="B131" s="2943"/>
      <c r="C131" s="2943"/>
      <c r="D131" s="2948"/>
      <c r="E131" s="2944"/>
      <c r="F131" s="2944"/>
      <c r="G131" s="2945"/>
      <c r="H131" s="2944"/>
      <c r="I131" s="2944"/>
    </row>
    <row r="132" spans="1:11" ht="15.75" x14ac:dyDescent="0.25">
      <c r="A132" s="2943" t="s">
        <v>2517</v>
      </c>
      <c r="B132" s="2943" t="s">
        <v>2801</v>
      </c>
      <c r="C132" s="2943" t="s">
        <v>2802</v>
      </c>
      <c r="D132" s="2944" t="s">
        <v>2803</v>
      </c>
      <c r="E132" s="2945">
        <v>45261</v>
      </c>
      <c r="F132" s="2946" t="s">
        <v>2591</v>
      </c>
      <c r="G132" s="2945">
        <v>45250</v>
      </c>
      <c r="H132" s="2944" t="s">
        <v>2804</v>
      </c>
      <c r="I132" s="2947">
        <v>45273</v>
      </c>
      <c r="J132" s="33">
        <v>27</v>
      </c>
      <c r="K132" s="33">
        <v>1348</v>
      </c>
    </row>
    <row r="133" spans="1:11" x14ac:dyDescent="0.2">
      <c r="A133" s="2943"/>
      <c r="B133" s="2943"/>
      <c r="C133" s="2943"/>
      <c r="D133" s="2948"/>
      <c r="E133" s="2944"/>
      <c r="F133" s="2944"/>
      <c r="G133" s="2945"/>
      <c r="H133" s="2944"/>
      <c r="I133" s="2944"/>
    </row>
    <row r="134" spans="1:11" ht="15" x14ac:dyDescent="0.25">
      <c r="A134" s="2943" t="s">
        <v>2730</v>
      </c>
      <c r="B134" s="2943" t="s">
        <v>2805</v>
      </c>
      <c r="C134" s="2943" t="s">
        <v>2806</v>
      </c>
      <c r="D134" s="2948"/>
      <c r="E134" s="2944"/>
      <c r="F134" s="2946" t="s">
        <v>2616</v>
      </c>
      <c r="G134" s="2945"/>
      <c r="H134" s="2944"/>
      <c r="I134" s="2944"/>
      <c r="K134" s="33">
        <v>1348</v>
      </c>
    </row>
    <row r="135" spans="1:11" x14ac:dyDescent="0.2">
      <c r="A135" s="2943"/>
      <c r="B135" s="2943" t="s">
        <v>2807</v>
      </c>
      <c r="C135" s="2943" t="s">
        <v>2606</v>
      </c>
      <c r="D135" s="2948"/>
      <c r="E135" s="2944"/>
      <c r="F135" s="2944"/>
      <c r="G135" s="2945"/>
      <c r="H135" s="2944"/>
      <c r="I135" s="2944"/>
    </row>
    <row r="136" spans="1:11" x14ac:dyDescent="0.2">
      <c r="A136" s="2943"/>
      <c r="B136" s="2943"/>
      <c r="C136" s="2943"/>
      <c r="D136" s="2948"/>
      <c r="E136" s="2944"/>
      <c r="F136" s="2944"/>
      <c r="G136" s="2945"/>
      <c r="H136" s="2944"/>
      <c r="I136" s="2944"/>
    </row>
    <row r="137" spans="1:11" ht="15" x14ac:dyDescent="0.25">
      <c r="A137" s="2943" t="s">
        <v>2808</v>
      </c>
      <c r="B137" s="2943" t="s">
        <v>2809</v>
      </c>
      <c r="C137" s="2943" t="s">
        <v>2810</v>
      </c>
      <c r="D137" s="2948"/>
      <c r="E137" s="2944"/>
      <c r="F137" s="2946" t="s">
        <v>2746</v>
      </c>
      <c r="G137" s="2945"/>
      <c r="H137" s="2944"/>
      <c r="I137" s="2944"/>
    </row>
    <row r="138" spans="1:11" ht="15" x14ac:dyDescent="0.25">
      <c r="A138" s="2943"/>
      <c r="B138" s="2943"/>
      <c r="C138" s="2943"/>
      <c r="D138" s="2948"/>
      <c r="E138" s="2944"/>
      <c r="F138" s="2946"/>
      <c r="G138" s="2945"/>
      <c r="H138" s="2944"/>
      <c r="I138" s="2944"/>
    </row>
    <row r="139" spans="1:11" ht="15.75" x14ac:dyDescent="0.25">
      <c r="A139" s="2943" t="s">
        <v>2811</v>
      </c>
      <c r="B139" s="2943" t="s">
        <v>2812</v>
      </c>
      <c r="C139" s="2943" t="s">
        <v>2813</v>
      </c>
      <c r="D139" s="2948" t="s">
        <v>2814</v>
      </c>
      <c r="E139" s="2945">
        <v>42235</v>
      </c>
      <c r="F139" s="2946" t="s">
        <v>2815</v>
      </c>
      <c r="G139" s="2945">
        <v>42201</v>
      </c>
      <c r="H139" s="2944" t="s">
        <v>2816</v>
      </c>
      <c r="I139" s="2947">
        <v>45146</v>
      </c>
      <c r="J139" s="33">
        <v>29</v>
      </c>
      <c r="K139" s="33">
        <v>1348</v>
      </c>
    </row>
    <row r="140" spans="1:11" ht="15.75" x14ac:dyDescent="0.25">
      <c r="A140" s="2943"/>
      <c r="B140" s="2943" t="s">
        <v>2817</v>
      </c>
      <c r="C140" s="2943"/>
      <c r="D140" s="2948" t="s">
        <v>2704</v>
      </c>
      <c r="E140" s="2944"/>
      <c r="F140" s="2946"/>
      <c r="G140" s="2945"/>
      <c r="H140" s="2944"/>
      <c r="I140" s="2947"/>
    </row>
    <row r="141" spans="1:11" ht="15.75" x14ac:dyDescent="0.25">
      <c r="A141" s="2943"/>
      <c r="B141" s="2943"/>
      <c r="C141" s="2943"/>
      <c r="D141" s="2948"/>
      <c r="E141" s="2944"/>
      <c r="F141" s="2946"/>
      <c r="G141" s="2945"/>
      <c r="H141" s="2944"/>
      <c r="I141" s="2947"/>
    </row>
    <row r="142" spans="1:11" ht="15.75" x14ac:dyDescent="0.25">
      <c r="A142" s="2921"/>
      <c r="B142" s="2921"/>
      <c r="C142" s="2921"/>
      <c r="D142" s="2953"/>
      <c r="E142" s="2922"/>
      <c r="F142" s="1167"/>
      <c r="G142" s="2932"/>
      <c r="H142" s="2922"/>
      <c r="I142" s="2954"/>
    </row>
    <row r="143" spans="1:11" x14ac:dyDescent="0.2">
      <c r="A143" s="2921"/>
      <c r="B143" s="2921" t="s">
        <v>2818</v>
      </c>
      <c r="C143" s="824" t="s">
        <v>2819</v>
      </c>
      <c r="D143" s="2922" t="s">
        <v>2597</v>
      </c>
      <c r="E143" s="2922"/>
      <c r="F143" s="2922" t="s">
        <v>2820</v>
      </c>
      <c r="G143" s="2932">
        <v>45001</v>
      </c>
      <c r="H143" s="2922"/>
      <c r="I143" s="2922" t="s">
        <v>2599</v>
      </c>
      <c r="K143" s="33" t="s">
        <v>2600</v>
      </c>
    </row>
    <row r="144" spans="1:11" x14ac:dyDescent="0.2">
      <c r="A144" s="2921"/>
      <c r="B144" s="2921"/>
      <c r="C144" s="2921"/>
      <c r="D144" s="2953" t="s">
        <v>2704</v>
      </c>
      <c r="E144" s="2922"/>
      <c r="F144" s="2922"/>
      <c r="G144" s="2922"/>
      <c r="H144" s="2922"/>
      <c r="I144" s="2922"/>
    </row>
    <row r="145" spans="1:11" x14ac:dyDescent="0.2">
      <c r="A145" s="2921"/>
      <c r="B145" s="2921"/>
      <c r="C145" s="2921"/>
      <c r="D145" s="2922"/>
      <c r="E145" s="2922"/>
      <c r="F145" s="2922"/>
      <c r="G145" s="2922"/>
      <c r="H145" s="2922"/>
      <c r="I145" s="2922"/>
    </row>
    <row r="146" spans="1:11" x14ac:dyDescent="0.2">
      <c r="A146" s="2921"/>
      <c r="B146" s="2921" t="s">
        <v>2821</v>
      </c>
      <c r="C146" s="2921" t="s">
        <v>2822</v>
      </c>
      <c r="D146" s="2922" t="s">
        <v>2597</v>
      </c>
      <c r="E146" s="2922"/>
      <c r="F146" s="2922" t="s">
        <v>2823</v>
      </c>
      <c r="G146" s="2932">
        <v>44984</v>
      </c>
      <c r="H146" s="2922" t="s">
        <v>2824</v>
      </c>
      <c r="I146" s="2922" t="s">
        <v>2728</v>
      </c>
      <c r="K146" s="33" t="s">
        <v>2600</v>
      </c>
    </row>
    <row r="147" spans="1:11" x14ac:dyDescent="0.2">
      <c r="A147" s="2921"/>
      <c r="B147" s="2921" t="s">
        <v>2825</v>
      </c>
      <c r="C147" s="2921" t="s">
        <v>2606</v>
      </c>
      <c r="D147" s="2922"/>
      <c r="E147" s="2922"/>
      <c r="F147" s="2922"/>
      <c r="G147" s="2922"/>
      <c r="H147" s="2922"/>
      <c r="I147" s="2922"/>
    </row>
    <row r="148" spans="1:11" x14ac:dyDescent="0.2">
      <c r="A148" s="2921"/>
      <c r="B148" s="2921"/>
      <c r="C148" s="2921"/>
      <c r="D148" s="2922"/>
      <c r="E148" s="2922"/>
      <c r="F148" s="2922"/>
      <c r="G148" s="2922"/>
      <c r="H148" s="2922"/>
      <c r="I148" s="2922"/>
    </row>
    <row r="149" spans="1:11" ht="13.5" thickBot="1" x14ac:dyDescent="0.25">
      <c r="A149" s="2921"/>
      <c r="B149" s="2921"/>
      <c r="C149" s="2921"/>
      <c r="D149" s="2922"/>
      <c r="E149" s="2922"/>
      <c r="F149" s="2922"/>
      <c r="G149" s="2922"/>
      <c r="H149" s="2922"/>
      <c r="I149" s="2922"/>
    </row>
    <row r="150" spans="1:11" ht="37.5" thickBot="1" x14ac:dyDescent="0.3">
      <c r="A150" s="2935"/>
      <c r="B150" s="2936" t="s">
        <v>2735</v>
      </c>
      <c r="C150" s="2937" t="s">
        <v>2580</v>
      </c>
      <c r="D150" s="2938" t="s">
        <v>2581</v>
      </c>
      <c r="E150" s="2938" t="s">
        <v>2582</v>
      </c>
      <c r="F150" s="2938" t="s">
        <v>2583</v>
      </c>
      <c r="G150" s="2938" t="s">
        <v>2672</v>
      </c>
      <c r="H150" s="2938" t="s">
        <v>2585</v>
      </c>
      <c r="I150" s="2939" t="s">
        <v>2586</v>
      </c>
      <c r="J150" s="2938" t="s">
        <v>2</v>
      </c>
      <c r="K150" s="2908" t="s">
        <v>2587</v>
      </c>
    </row>
    <row r="151" spans="1:11" ht="18.75" x14ac:dyDescent="0.3">
      <c r="A151" s="2940">
        <v>2024</v>
      </c>
      <c r="B151" s="2941"/>
      <c r="C151" s="2941"/>
      <c r="D151" s="2942"/>
      <c r="E151" s="2942"/>
      <c r="F151" s="2942"/>
      <c r="G151" s="2942"/>
      <c r="H151" s="2942"/>
      <c r="I151" s="2942"/>
      <c r="J151" s="2909" t="s">
        <v>2736</v>
      </c>
    </row>
    <row r="152" spans="1:11" x14ac:dyDescent="0.2">
      <c r="A152" s="2921"/>
      <c r="B152" s="2921"/>
      <c r="C152" s="2921"/>
      <c r="D152" s="2922"/>
      <c r="E152" s="2922"/>
      <c r="F152" s="2922"/>
      <c r="G152" s="2922"/>
      <c r="H152" s="2922"/>
      <c r="I152" s="2922"/>
    </row>
    <row r="153" spans="1:11" ht="15" x14ac:dyDescent="0.25">
      <c r="A153" s="2955" t="s">
        <v>2506</v>
      </c>
      <c r="B153" s="2955" t="s">
        <v>2826</v>
      </c>
      <c r="C153" s="2955" t="s">
        <v>2827</v>
      </c>
      <c r="D153" s="2956"/>
      <c r="E153" s="2957"/>
      <c r="F153" s="2958" t="s">
        <v>2828</v>
      </c>
      <c r="G153" s="2959">
        <v>45348</v>
      </c>
      <c r="H153" s="2957"/>
      <c r="I153" s="2960" t="s">
        <v>2829</v>
      </c>
      <c r="K153" s="33">
        <v>1348</v>
      </c>
    </row>
    <row r="154" spans="1:11" ht="15.75" x14ac:dyDescent="0.25">
      <c r="A154" s="2955"/>
      <c r="B154" s="2961" t="s">
        <v>2830</v>
      </c>
      <c r="C154" s="2955" t="s">
        <v>2606</v>
      </c>
      <c r="D154" s="2956"/>
      <c r="E154" s="2957"/>
      <c r="F154" s="2958"/>
      <c r="G154" s="2959"/>
      <c r="H154" s="2957"/>
      <c r="I154" s="2962"/>
    </row>
    <row r="155" spans="1:11" x14ac:dyDescent="0.2">
      <c r="A155" s="2955"/>
      <c r="B155" s="2955"/>
      <c r="C155" s="2955"/>
      <c r="D155" s="2956"/>
      <c r="E155" s="2957"/>
      <c r="F155" s="2957"/>
      <c r="G155" s="2959"/>
      <c r="H155" s="2957"/>
      <c r="I155" s="2957"/>
    </row>
    <row r="156" spans="1:11" x14ac:dyDescent="0.2">
      <c r="A156" s="2955"/>
      <c r="B156" s="2955"/>
      <c r="C156" s="2955"/>
      <c r="D156" s="2957"/>
      <c r="E156" s="2957"/>
      <c r="F156" s="2957"/>
      <c r="G156" s="2957"/>
      <c r="H156" s="2957"/>
      <c r="I156" s="2957"/>
    </row>
    <row r="157" spans="1:11" ht="15.75" x14ac:dyDescent="0.25">
      <c r="A157" s="2955" t="s">
        <v>2507</v>
      </c>
      <c r="B157" s="2955" t="s">
        <v>2831</v>
      </c>
      <c r="C157" s="2955" t="s">
        <v>2832</v>
      </c>
      <c r="D157" s="2957" t="s">
        <v>2833</v>
      </c>
      <c r="E157" s="2959">
        <v>45372</v>
      </c>
      <c r="F157" s="2958" t="s">
        <v>2591</v>
      </c>
      <c r="G157" s="2959">
        <v>45316</v>
      </c>
      <c r="H157" s="2957" t="s">
        <v>2834</v>
      </c>
      <c r="I157" s="2962">
        <v>45401</v>
      </c>
      <c r="J157" s="33">
        <v>30</v>
      </c>
      <c r="K157" s="33">
        <v>1348</v>
      </c>
    </row>
    <row r="158" spans="1:11" x14ac:dyDescent="0.2">
      <c r="A158" s="2955"/>
      <c r="B158" s="2955" t="s">
        <v>2835</v>
      </c>
      <c r="C158" s="2955" t="s">
        <v>2836</v>
      </c>
      <c r="D158" s="2956" t="s">
        <v>2704</v>
      </c>
      <c r="E158" s="2957"/>
      <c r="F158" s="2957"/>
      <c r="G158" s="2957"/>
      <c r="H158" s="2957"/>
      <c r="I158" s="2957"/>
    </row>
    <row r="159" spans="1:11" x14ac:dyDescent="0.2">
      <c r="A159" s="2955"/>
      <c r="B159" s="2955"/>
      <c r="C159" s="2955"/>
      <c r="D159" s="2957"/>
      <c r="E159" s="2957"/>
      <c r="F159" s="2957"/>
      <c r="G159" s="2957"/>
      <c r="H159" s="2957"/>
      <c r="I159" s="2957"/>
    </row>
    <row r="160" spans="1:11" ht="15.75" x14ac:dyDescent="0.25">
      <c r="A160" s="2955" t="s">
        <v>2508</v>
      </c>
      <c r="B160" s="2955" t="s">
        <v>2837</v>
      </c>
      <c r="C160" s="2955" t="s">
        <v>2838</v>
      </c>
      <c r="D160" s="2957" t="s">
        <v>2839</v>
      </c>
      <c r="E160" s="2957"/>
      <c r="F160" s="2958" t="s">
        <v>2591</v>
      </c>
      <c r="G160" s="2959">
        <v>45467</v>
      </c>
      <c r="H160" s="2957" t="s">
        <v>2840</v>
      </c>
      <c r="I160" s="2963"/>
      <c r="K160" s="33">
        <v>1348</v>
      </c>
    </row>
    <row r="161" spans="1:11" ht="15" x14ac:dyDescent="0.25">
      <c r="A161" s="2955"/>
      <c r="B161" s="2955"/>
      <c r="C161" s="2955"/>
      <c r="D161" s="2957"/>
      <c r="E161" s="2957"/>
      <c r="F161" s="2958"/>
      <c r="G161" s="2957"/>
      <c r="H161" s="2957"/>
      <c r="I161" s="2957"/>
    </row>
    <row r="162" spans="1:11" ht="15.75" x14ac:dyDescent="0.25">
      <c r="A162" s="2955" t="s">
        <v>2509</v>
      </c>
      <c r="B162" s="2955" t="s">
        <v>2841</v>
      </c>
      <c r="C162" s="2964" t="s">
        <v>2842</v>
      </c>
      <c r="D162" s="2957" t="s">
        <v>2839</v>
      </c>
      <c r="E162" s="2957"/>
      <c r="F162" s="2958" t="s">
        <v>2591</v>
      </c>
      <c r="G162" s="2959">
        <v>45525</v>
      </c>
      <c r="H162" s="2957" t="s">
        <v>2843</v>
      </c>
      <c r="I162" s="2963"/>
      <c r="K162" s="33">
        <v>1348</v>
      </c>
    </row>
    <row r="163" spans="1:11" x14ac:dyDescent="0.2">
      <c r="A163" s="2955"/>
      <c r="B163" s="2955"/>
      <c r="C163" s="2955"/>
      <c r="D163" s="2957"/>
      <c r="E163" s="2957"/>
      <c r="F163" s="2957"/>
      <c r="G163" s="2957"/>
      <c r="H163" s="2957"/>
      <c r="I163" s="2957"/>
    </row>
    <row r="164" spans="1:11" x14ac:dyDescent="0.2">
      <c r="A164" s="2955"/>
      <c r="B164" s="2955"/>
      <c r="C164" s="2955"/>
      <c r="D164" s="2957"/>
      <c r="E164" s="2957"/>
      <c r="F164" s="2957"/>
      <c r="G164" s="2957"/>
      <c r="H164" s="2957"/>
      <c r="I164" s="2957"/>
    </row>
    <row r="165" spans="1:11" x14ac:dyDescent="0.2">
      <c r="A165" s="2955"/>
      <c r="B165" s="2955"/>
      <c r="C165" s="2955"/>
      <c r="D165" s="2957"/>
      <c r="E165" s="2957"/>
      <c r="F165" s="2957"/>
      <c r="G165" s="2957"/>
      <c r="H165" s="2957"/>
      <c r="I165" s="2957"/>
    </row>
    <row r="166" spans="1:11" x14ac:dyDescent="0.2">
      <c r="A166" s="2955"/>
      <c r="B166" s="2955"/>
      <c r="C166" s="2955"/>
      <c r="D166" s="2957"/>
      <c r="E166" s="2957"/>
      <c r="F166" s="2957"/>
      <c r="G166" s="2957"/>
      <c r="H166" s="2957"/>
      <c r="I166" s="2957"/>
    </row>
    <row r="167" spans="1:11" x14ac:dyDescent="0.2">
      <c r="A167" s="2955"/>
      <c r="B167" s="2955"/>
      <c r="C167" s="2955"/>
      <c r="D167" s="2957"/>
      <c r="E167" s="2957"/>
      <c r="F167" s="2957"/>
      <c r="G167" s="2957"/>
      <c r="H167" s="2957"/>
      <c r="I167" s="2957"/>
    </row>
    <row r="168" spans="1:11" x14ac:dyDescent="0.2">
      <c r="A168" s="2955"/>
      <c r="B168" s="2955"/>
      <c r="C168" s="2955"/>
      <c r="D168" s="2957"/>
      <c r="E168" s="2957"/>
      <c r="F168" s="2957"/>
      <c r="G168" s="2957"/>
      <c r="H168" s="2957"/>
      <c r="I168" s="2957"/>
    </row>
    <row r="169" spans="1:11" x14ac:dyDescent="0.2">
      <c r="A169" s="2921"/>
      <c r="B169" s="2921"/>
      <c r="C169" s="2921"/>
      <c r="D169" s="2922"/>
      <c r="E169" s="2922"/>
      <c r="F169" s="2922"/>
      <c r="G169" s="2922"/>
      <c r="H169" s="2922"/>
      <c r="I169" s="2922"/>
    </row>
    <row r="170" spans="1:11" x14ac:dyDescent="0.2">
      <c r="A170" s="2921"/>
      <c r="B170" s="2921"/>
      <c r="C170" s="2921"/>
      <c r="D170" s="2922"/>
      <c r="E170" s="2922"/>
      <c r="F170" s="2922"/>
      <c r="G170" s="2922"/>
      <c r="H170" s="2922"/>
      <c r="I170" s="2922"/>
    </row>
    <row r="171" spans="1:11" x14ac:dyDescent="0.2">
      <c r="A171" s="2921"/>
      <c r="B171" s="2921"/>
      <c r="C171" s="2921"/>
      <c r="D171" s="2922"/>
      <c r="E171" s="2922"/>
      <c r="F171" s="2922"/>
      <c r="G171" s="2922"/>
      <c r="H171" s="2922"/>
      <c r="I171" s="2922"/>
    </row>
    <row r="172" spans="1:11" x14ac:dyDescent="0.2">
      <c r="A172" s="2921"/>
      <c r="B172" s="2921"/>
      <c r="C172" s="2921"/>
      <c r="D172" s="2922"/>
      <c r="E172" s="2922"/>
      <c r="F172" s="2922"/>
      <c r="G172" s="2922"/>
      <c r="H172" s="2922"/>
      <c r="I172" s="2922"/>
    </row>
    <row r="173" spans="1:11" x14ac:dyDescent="0.2">
      <c r="A173" s="2921"/>
      <c r="B173" s="2921"/>
      <c r="C173" s="2921"/>
      <c r="D173" s="2922"/>
      <c r="E173" s="2922"/>
      <c r="F173" s="2922"/>
      <c r="G173" s="2922"/>
      <c r="H173" s="2922"/>
      <c r="I173" s="2922"/>
    </row>
    <row r="174" spans="1:11" x14ac:dyDescent="0.2">
      <c r="A174" s="2921"/>
      <c r="B174" s="2921"/>
      <c r="C174" s="2921"/>
      <c r="D174" s="2922"/>
      <c r="E174" s="2922"/>
      <c r="F174" s="2922"/>
      <c r="G174" s="2922"/>
      <c r="H174" s="2922"/>
      <c r="I174" s="2922"/>
    </row>
    <row r="175" spans="1:11" x14ac:dyDescent="0.2">
      <c r="A175" s="2921"/>
      <c r="B175" s="2921"/>
      <c r="C175" s="2921"/>
      <c r="D175" s="2922"/>
      <c r="E175" s="2922"/>
      <c r="F175" s="2922"/>
      <c r="G175" s="2922"/>
      <c r="H175" s="2922"/>
      <c r="I175" s="2922"/>
    </row>
    <row r="176" spans="1:11" x14ac:dyDescent="0.2">
      <c r="A176" s="2921"/>
      <c r="B176" s="2921"/>
      <c r="C176" s="2921"/>
      <c r="D176" s="2922"/>
      <c r="E176" s="2922"/>
      <c r="F176" s="2922"/>
      <c r="G176" s="2922"/>
      <c r="H176" s="2922"/>
      <c r="I176" s="2922"/>
    </row>
    <row r="177" spans="1:9" x14ac:dyDescent="0.2">
      <c r="A177" s="2921"/>
      <c r="B177" s="2921"/>
      <c r="C177" s="2921"/>
      <c r="D177" s="2922"/>
      <c r="E177" s="2922"/>
      <c r="F177" s="2922"/>
      <c r="G177" s="2922"/>
      <c r="H177" s="2922"/>
      <c r="I177" s="2922"/>
    </row>
    <row r="178" spans="1:9" x14ac:dyDescent="0.2">
      <c r="A178" s="2921"/>
      <c r="B178" s="2921"/>
      <c r="C178" s="2921"/>
      <c r="D178" s="2922"/>
      <c r="E178" s="2922"/>
      <c r="F178" s="2922"/>
      <c r="G178" s="2922"/>
      <c r="H178" s="2922"/>
      <c r="I178" s="2922"/>
    </row>
    <row r="179" spans="1:9" x14ac:dyDescent="0.2">
      <c r="A179" s="2921"/>
      <c r="B179" s="2921"/>
      <c r="C179" s="2921"/>
      <c r="D179" s="2922"/>
      <c r="E179" s="2922"/>
      <c r="F179" s="2922"/>
      <c r="G179" s="2922"/>
      <c r="H179" s="2922"/>
      <c r="I179" s="2922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61"/>
  <sheetViews>
    <sheetView topLeftCell="A3" zoomScale="86" zoomScaleNormal="86" workbookViewId="0">
      <pane xSplit="3" ySplit="3" topLeftCell="S6" activePane="bottomRight" state="frozen"/>
      <selection activeCell="A3" sqref="A3"/>
      <selection pane="topRight" activeCell="D3" sqref="D3"/>
      <selection pane="bottomLeft" activeCell="A6" sqref="A6"/>
      <selection pane="bottomRight" activeCell="U6" sqref="U6"/>
    </sheetView>
  </sheetViews>
  <sheetFormatPr defaultColWidth="9" defaultRowHeight="13.5" outlineLevelRow="1" outlineLevelCol="1" x14ac:dyDescent="0.25"/>
  <cols>
    <col min="1" max="1" width="7" style="959" customWidth="1"/>
    <col min="2" max="2" width="11" style="959" customWidth="1"/>
    <col min="3" max="3" width="70.28515625" style="959" customWidth="1"/>
    <col min="4" max="8" width="14.28515625" style="959" bestFit="1" customWidth="1"/>
    <col min="9" max="12" width="14.28515625" style="959" hidden="1" customWidth="1" outlineLevel="1"/>
    <col min="13" max="13" width="14.28515625" style="959" bestFit="1" customWidth="1" collapsed="1"/>
    <col min="14" max="17" width="14.28515625" style="959" bestFit="1" customWidth="1"/>
    <col min="18" max="18" width="14" style="959" bestFit="1" customWidth="1"/>
    <col min="19" max="20" width="14.28515625" style="959" bestFit="1" customWidth="1"/>
    <col min="21" max="22" width="14" style="963" bestFit="1" customWidth="1"/>
    <col min="23" max="23" width="14" style="964" bestFit="1" customWidth="1"/>
    <col min="24" max="24" width="12" style="964" customWidth="1"/>
    <col min="25" max="16384" width="9" style="959"/>
  </cols>
  <sheetData>
    <row r="1" spans="1:24" ht="14.25" thickBot="1" x14ac:dyDescent="0.3">
      <c r="A1" s="1302" t="s">
        <v>126</v>
      </c>
      <c r="B1" s="315"/>
      <c r="C1" s="1302"/>
      <c r="D1" s="953"/>
      <c r="E1" s="953"/>
      <c r="F1" s="953"/>
      <c r="G1" s="954"/>
      <c r="H1" s="955">
        <v>6478636.2498681201</v>
      </c>
      <c r="I1" s="955"/>
      <c r="J1" s="955"/>
      <c r="K1" s="955"/>
      <c r="L1" s="955"/>
      <c r="M1" s="956"/>
      <c r="N1" s="956"/>
      <c r="O1" s="956"/>
      <c r="P1" s="956"/>
      <c r="Q1" s="957">
        <v>7740474.0226793224</v>
      </c>
      <c r="R1" s="956"/>
      <c r="S1" s="956"/>
      <c r="T1" s="957">
        <v>6176793.076817017</v>
      </c>
      <c r="U1" s="958"/>
      <c r="V1" s="958"/>
      <c r="W1" s="953"/>
      <c r="X1" s="953"/>
    </row>
    <row r="2" spans="1:24" ht="14.25" thickBot="1" x14ac:dyDescent="0.3">
      <c r="A2" s="2836" t="s">
        <v>475</v>
      </c>
      <c r="B2" s="1303"/>
      <c r="C2" s="315"/>
      <c r="D2" s="1301" t="s">
        <v>2168</v>
      </c>
      <c r="E2" s="956"/>
      <c r="F2" s="956"/>
      <c r="H2" s="958"/>
      <c r="I2" s="958"/>
      <c r="J2" s="958"/>
      <c r="K2" s="958"/>
      <c r="L2" s="958"/>
      <c r="M2" s="956"/>
      <c r="N2" s="956"/>
      <c r="P2" s="958"/>
      <c r="Q2" s="957">
        <f>+P6+N6</f>
        <v>4571566</v>
      </c>
      <c r="R2" s="956"/>
      <c r="S2" s="956">
        <f>+W15/9</f>
        <v>957682.33333333337</v>
      </c>
      <c r="T2" s="961"/>
      <c r="U2" s="958"/>
      <c r="V2" s="958"/>
      <c r="W2" s="953"/>
      <c r="X2" s="953"/>
    </row>
    <row r="3" spans="1:24" s="1300" customFormat="1" ht="14.25" thickBot="1" x14ac:dyDescent="0.3">
      <c r="A3" s="3077" t="s">
        <v>474</v>
      </c>
      <c r="B3" s="3078"/>
      <c r="C3" s="3079"/>
      <c r="D3" s="1295" t="s">
        <v>609</v>
      </c>
      <c r="E3" s="1296" t="s">
        <v>610</v>
      </c>
      <c r="F3" s="1296" t="s">
        <v>611</v>
      </c>
      <c r="G3" s="1296" t="s">
        <v>612</v>
      </c>
      <c r="H3" s="1296" t="s">
        <v>613</v>
      </c>
      <c r="I3" s="1296" t="s">
        <v>2545</v>
      </c>
      <c r="J3" s="1296" t="s">
        <v>2546</v>
      </c>
      <c r="K3" s="1296" t="s">
        <v>2547</v>
      </c>
      <c r="L3" s="1296" t="s">
        <v>2548</v>
      </c>
      <c r="M3" s="1296" t="s">
        <v>188</v>
      </c>
      <c r="N3" s="1296" t="s">
        <v>189</v>
      </c>
      <c r="O3" s="1296" t="s">
        <v>614</v>
      </c>
      <c r="P3" s="1296" t="s">
        <v>615</v>
      </c>
      <c r="Q3" s="1296" t="s">
        <v>616</v>
      </c>
      <c r="R3" s="1297" t="s">
        <v>617</v>
      </c>
      <c r="S3" s="1297" t="s">
        <v>618</v>
      </c>
      <c r="T3" s="1297" t="s">
        <v>1510</v>
      </c>
      <c r="U3" s="1298"/>
      <c r="V3" s="1298"/>
      <c r="W3" s="1299"/>
      <c r="X3" s="1299"/>
    </row>
    <row r="4" spans="1:24" s="1218" customFormat="1" ht="14.25" thickBot="1" x14ac:dyDescent="0.3">
      <c r="A4" s="3080"/>
      <c r="B4" s="3081"/>
      <c r="C4" s="3082"/>
      <c r="D4" s="1291"/>
      <c r="E4" s="1292"/>
      <c r="F4" s="1293"/>
      <c r="G4" s="1294"/>
      <c r="H4" s="1293"/>
      <c r="I4" s="2865"/>
      <c r="J4" s="2865"/>
      <c r="K4" s="2865"/>
      <c r="L4" s="2865"/>
      <c r="M4" s="1294"/>
      <c r="N4" s="1292"/>
      <c r="O4" s="1293"/>
      <c r="P4" s="1294"/>
      <c r="Q4" s="1293"/>
      <c r="R4" s="1294"/>
      <c r="S4" s="1292"/>
      <c r="T4" s="1294"/>
      <c r="U4" s="1211"/>
      <c r="V4" s="2755"/>
      <c r="W4" s="1217"/>
      <c r="X4" s="1209"/>
    </row>
    <row r="5" spans="1:24" s="1210" customFormat="1" ht="15.75" customHeight="1" thickBot="1" x14ac:dyDescent="0.3">
      <c r="A5" s="3083" t="s">
        <v>123</v>
      </c>
      <c r="B5" s="3084"/>
      <c r="C5" s="3085"/>
      <c r="D5" s="2837">
        <f>'Souhrn příjmů a výdajů 2024'!H112</f>
        <v>13900000</v>
      </c>
      <c r="E5" s="2838">
        <f>+D57</f>
        <v>9943892.5700000003</v>
      </c>
      <c r="F5" s="2839">
        <f t="shared" ref="F5:S5" si="0">+E57</f>
        <v>12379182.26</v>
      </c>
      <c r="G5" s="2840">
        <f>F57</f>
        <v>11545840.259999998</v>
      </c>
      <c r="H5" s="2841">
        <f t="shared" si="0"/>
        <v>14895545.259999998</v>
      </c>
      <c r="I5" s="2841"/>
      <c r="J5" s="2841"/>
      <c r="K5" s="2841"/>
      <c r="L5" s="2841"/>
      <c r="M5" s="2840">
        <f>+H57</f>
        <v>17147208.259999998</v>
      </c>
      <c r="N5" s="2838">
        <f>+M57</f>
        <v>27930664.939999998</v>
      </c>
      <c r="O5" s="2839">
        <f>+N57</f>
        <v>37300929.619999997</v>
      </c>
      <c r="P5" s="2840">
        <f t="shared" si="0"/>
        <v>27566778.299999997</v>
      </c>
      <c r="Q5" s="2841">
        <f t="shared" si="0"/>
        <v>29248926.979999997</v>
      </c>
      <c r="R5" s="2840">
        <f t="shared" si="0"/>
        <v>27422714.659999996</v>
      </c>
      <c r="S5" s="2838">
        <f t="shared" si="0"/>
        <v>20698495.468334541</v>
      </c>
      <c r="T5" s="2840">
        <f>S57</f>
        <v>17466793.434469841</v>
      </c>
      <c r="U5" s="1207" t="s">
        <v>777</v>
      </c>
      <c r="V5" s="1207" t="s">
        <v>762</v>
      </c>
      <c r="W5" s="1208" t="s">
        <v>707</v>
      </c>
      <c r="X5" s="1209"/>
    </row>
    <row r="6" spans="1:24" s="1317" customFormat="1" outlineLevel="1" x14ac:dyDescent="0.25">
      <c r="A6" s="3088" t="s">
        <v>473</v>
      </c>
      <c r="B6" s="1310">
        <v>1111</v>
      </c>
      <c r="C6" s="1311" t="s">
        <v>1148</v>
      </c>
      <c r="D6" s="1320">
        <f>RUD!C113</f>
        <v>2334071</v>
      </c>
      <c r="E6" s="1312">
        <f>RUD!D113</f>
        <v>2163965</v>
      </c>
      <c r="F6" s="1313">
        <f>RUD!E113</f>
        <v>1840838</v>
      </c>
      <c r="G6" s="1314">
        <f>RUD!F113</f>
        <v>1656188</v>
      </c>
      <c r="H6" s="1313">
        <f>RUD!G113</f>
        <v>2083747</v>
      </c>
      <c r="I6" s="1314"/>
      <c r="J6" s="1314"/>
      <c r="K6" s="1314"/>
      <c r="L6" s="1314"/>
      <c r="M6" s="1314">
        <f>+RUD!H113</f>
        <v>2284358</v>
      </c>
      <c r="N6" s="1314">
        <f>+RUD!I113</f>
        <v>2403953</v>
      </c>
      <c r="O6" s="1314">
        <f>+RUD!J113</f>
        <v>2384733</v>
      </c>
      <c r="P6" s="1314">
        <f>+RUD!K113</f>
        <v>2167613</v>
      </c>
      <c r="Q6" s="1314">
        <f>+RUD!L113</f>
        <v>2290321</v>
      </c>
      <c r="R6" s="1314">
        <v>1431073.87</v>
      </c>
      <c r="S6" s="1314">
        <v>2019575.02</v>
      </c>
      <c r="T6" s="1314"/>
      <c r="U6" s="1211">
        <f t="shared" ref="U6:U16" si="1">SUM(D6:T6)</f>
        <v>25060435.890000001</v>
      </c>
      <c r="V6" s="1211">
        <f>+'Souhrn příjmů a výdajů 2024'!H7</f>
        <v>27863123</v>
      </c>
      <c r="W6" s="1315">
        <f>+V6-U6</f>
        <v>2802687.1099999994</v>
      </c>
      <c r="X6" s="1316"/>
    </row>
    <row r="7" spans="1:24" s="1317" customFormat="1" outlineLevel="1" x14ac:dyDescent="0.25">
      <c r="A7" s="3089"/>
      <c r="B7" s="1318">
        <v>1112</v>
      </c>
      <c r="C7" s="1319" t="s">
        <v>1251</v>
      </c>
      <c r="D7" s="1320">
        <f>RUD!C114</f>
        <v>110026</v>
      </c>
      <c r="E7" s="1321">
        <f>RUD!D114</f>
        <v>84337</v>
      </c>
      <c r="F7" s="1322">
        <f>RUD!E114</f>
        <v>168327</v>
      </c>
      <c r="G7" s="1323">
        <f>RUD!F114</f>
        <v>0</v>
      </c>
      <c r="H7" s="1322">
        <f>RUD!G114</f>
        <v>0</v>
      </c>
      <c r="I7" s="1323"/>
      <c r="J7" s="1323"/>
      <c r="K7" s="1323"/>
      <c r="L7" s="1323"/>
      <c r="M7" s="1323">
        <v>0</v>
      </c>
      <c r="N7" s="1323">
        <v>1</v>
      </c>
      <c r="O7" s="1323">
        <v>2</v>
      </c>
      <c r="P7" s="1323">
        <v>3</v>
      </c>
      <c r="Q7" s="1323">
        <v>4</v>
      </c>
      <c r="R7" s="1323">
        <v>127409.01000000001</v>
      </c>
      <c r="S7" s="1323">
        <f>577933.02+388124</f>
        <v>966057.02</v>
      </c>
      <c r="T7" s="1323"/>
      <c r="U7" s="1211">
        <f t="shared" si="1"/>
        <v>1456166.03</v>
      </c>
      <c r="V7" s="1211">
        <f>+'Souhrn příjmů a výdajů 2024'!H8+'Souhrn příjmů a výdajů 2024'!H10</f>
        <v>2901188</v>
      </c>
      <c r="W7" s="1315">
        <f t="shared" ref="W7:W11" si="2">+V7-U7</f>
        <v>1445021.97</v>
      </c>
      <c r="X7" s="1316"/>
    </row>
    <row r="8" spans="1:24" s="1317" customFormat="1" outlineLevel="1" x14ac:dyDescent="0.25">
      <c r="A8" s="3089"/>
      <c r="B8" s="1318">
        <v>1113</v>
      </c>
      <c r="C8" s="1319" t="s">
        <v>1250</v>
      </c>
      <c r="D8" s="1320">
        <f>RUD!C115</f>
        <v>484736</v>
      </c>
      <c r="E8" s="1321">
        <f>RUD!D115</f>
        <v>493571</v>
      </c>
      <c r="F8" s="1322">
        <f>RUD!E115</f>
        <v>418711</v>
      </c>
      <c r="G8" s="1323">
        <f>RUD!F115</f>
        <v>365681</v>
      </c>
      <c r="H8" s="1322">
        <f>RUD!G115</f>
        <v>442203</v>
      </c>
      <c r="I8" s="1323"/>
      <c r="J8" s="1323"/>
      <c r="K8" s="1323"/>
      <c r="L8" s="1323"/>
      <c r="M8" s="1323">
        <f>+RUD!H115</f>
        <v>480918</v>
      </c>
      <c r="N8" s="1323">
        <f>+RUD!I115</f>
        <v>801421</v>
      </c>
      <c r="O8" s="1323">
        <f>+RUD!J115</f>
        <v>551316</v>
      </c>
      <c r="P8" s="1323">
        <f>+RUD!K115</f>
        <v>629613</v>
      </c>
      <c r="Q8" s="1323">
        <f>+RUD!L115</f>
        <v>480686</v>
      </c>
      <c r="R8" s="1323">
        <v>334922.95</v>
      </c>
      <c r="S8" s="1323">
        <v>361863.26</v>
      </c>
      <c r="T8" s="1323"/>
      <c r="U8" s="1211">
        <f t="shared" si="1"/>
        <v>5845642.21</v>
      </c>
      <c r="V8" s="1211">
        <f>+'Souhrn příjmů a výdajů 2024'!H9</f>
        <v>4995791</v>
      </c>
      <c r="W8" s="1315">
        <f t="shared" si="2"/>
        <v>-849851.21</v>
      </c>
      <c r="X8" s="1316"/>
    </row>
    <row r="9" spans="1:24" s="1317" customFormat="1" ht="13.15" hidden="1" customHeight="1" outlineLevel="1" x14ac:dyDescent="0.25">
      <c r="A9" s="3089"/>
      <c r="B9" s="1318">
        <v>1112</v>
      </c>
      <c r="C9" s="1319" t="s">
        <v>1151</v>
      </c>
      <c r="D9" s="1320"/>
      <c r="E9" s="1321"/>
      <c r="F9" s="1322"/>
      <c r="G9" s="1323"/>
      <c r="H9" s="1322"/>
      <c r="I9" s="1323"/>
      <c r="J9" s="1323"/>
      <c r="K9" s="1323"/>
      <c r="L9" s="1323"/>
      <c r="M9" s="1323">
        <v>6146174.6800000006</v>
      </c>
      <c r="N9" s="1323">
        <v>6146175.6799999997</v>
      </c>
      <c r="O9" s="1323">
        <v>6146176.6799999997</v>
      </c>
      <c r="P9" s="1323">
        <v>6146177.6799999997</v>
      </c>
      <c r="Q9" s="1323">
        <v>6146178.6799999997</v>
      </c>
      <c r="R9" s="1323">
        <v>1190001.58</v>
      </c>
      <c r="S9" s="1323">
        <v>7044624.3200000003</v>
      </c>
      <c r="T9" s="1323"/>
      <c r="U9" s="1211">
        <f t="shared" si="1"/>
        <v>38965509.299999997</v>
      </c>
      <c r="V9" s="1211"/>
      <c r="W9" s="1315">
        <f t="shared" si="2"/>
        <v>-38965509.299999997</v>
      </c>
      <c r="X9" s="1316"/>
    </row>
    <row r="10" spans="1:24" s="1317" customFormat="1" outlineLevel="1" x14ac:dyDescent="0.25">
      <c r="A10" s="3089"/>
      <c r="B10" s="1318">
        <v>1121</v>
      </c>
      <c r="C10" s="1319" t="s">
        <v>15</v>
      </c>
      <c r="D10" s="1320">
        <f>RUD!C116</f>
        <v>684751</v>
      </c>
      <c r="E10" s="1321">
        <f>RUD!D116</f>
        <v>294727</v>
      </c>
      <c r="F10" s="1322">
        <f>RUD!E116</f>
        <v>6698213</v>
      </c>
      <c r="G10" s="1323">
        <f>RUD!F116</f>
        <v>1017925</v>
      </c>
      <c r="H10" s="1322">
        <f>RUD!G116</f>
        <v>865229</v>
      </c>
      <c r="I10" s="1323"/>
      <c r="J10" s="1323"/>
      <c r="K10" s="1323"/>
      <c r="L10" s="1323"/>
      <c r="M10" s="1323">
        <f>+RUD!H116</f>
        <v>5227801</v>
      </c>
      <c r="N10" s="1323">
        <f>+RUD!I116</f>
        <v>8576460</v>
      </c>
      <c r="O10" s="1323">
        <f>+RUD!J116</f>
        <v>0</v>
      </c>
      <c r="P10" s="1323">
        <f>+RUD!K116</f>
        <v>3500111</v>
      </c>
      <c r="Q10" s="1323">
        <f>+RUD!L116</f>
        <v>3338890</v>
      </c>
      <c r="R10" s="1323">
        <v>1223680.8700000001</v>
      </c>
      <c r="S10" s="1323">
        <v>3908587.68</v>
      </c>
      <c r="T10" s="1323"/>
      <c r="U10" s="1211">
        <f t="shared" si="1"/>
        <v>35336375.550000004</v>
      </c>
      <c r="V10" s="1211">
        <f>+'Souhrn příjmů a výdajů 2024'!H12</f>
        <v>39502801</v>
      </c>
      <c r="W10" s="1315">
        <f t="shared" si="2"/>
        <v>4166425.4499999955</v>
      </c>
      <c r="X10" s="1316"/>
    </row>
    <row r="11" spans="1:24" s="1317" customFormat="1" ht="13.5" customHeight="1" outlineLevel="1" x14ac:dyDescent="0.25">
      <c r="A11" s="3089"/>
      <c r="B11" s="1318">
        <v>1211</v>
      </c>
      <c r="C11" s="1319" t="s">
        <v>16</v>
      </c>
      <c r="D11" s="1320">
        <f>RUD!C117+RUD!C118</f>
        <v>6554143</v>
      </c>
      <c r="E11" s="1321">
        <f>RUD!D117+RUD!D118</f>
        <v>7412783</v>
      </c>
      <c r="F11" s="1322">
        <f>RUD!E117</f>
        <v>4446900</v>
      </c>
      <c r="G11" s="1323">
        <f>RUD!F117</f>
        <v>4967089</v>
      </c>
      <c r="H11" s="1322">
        <f>RUD!G117</f>
        <v>6754083</v>
      </c>
      <c r="I11" s="1323"/>
      <c r="J11" s="1323"/>
      <c r="K11" s="1323"/>
      <c r="L11" s="1323"/>
      <c r="M11" s="1323">
        <f>+RUD!H117</f>
        <v>5790172</v>
      </c>
      <c r="N11" s="1323">
        <f>+RUD!I117</f>
        <v>6044136</v>
      </c>
      <c r="O11" s="1323">
        <f>+RUD!J117</f>
        <v>7056351</v>
      </c>
      <c r="P11" s="1323">
        <f>+RUD!K117</f>
        <v>5574659</v>
      </c>
      <c r="Q11" s="1323">
        <f>+RUD!L117</f>
        <v>5745394</v>
      </c>
      <c r="R11" s="1323">
        <v>7256811.04</v>
      </c>
      <c r="S11" s="1323">
        <v>7921900.0499999998</v>
      </c>
      <c r="T11" s="1323"/>
      <c r="U11" s="1211">
        <f t="shared" si="1"/>
        <v>75524421.090000004</v>
      </c>
      <c r="V11" s="1211">
        <f>+'Souhrn příjmů a výdajů 2024'!H13</f>
        <v>77563518</v>
      </c>
      <c r="W11" s="1315">
        <f t="shared" si="2"/>
        <v>2039096.9099999964</v>
      </c>
      <c r="X11" s="1316"/>
    </row>
    <row r="12" spans="1:24" s="1218" customFormat="1" ht="17.25" customHeight="1" outlineLevel="1" x14ac:dyDescent="0.25">
      <c r="A12" s="3089"/>
      <c r="B12" s="1202" t="s">
        <v>1227</v>
      </c>
      <c r="C12" s="1203" t="s">
        <v>974</v>
      </c>
      <c r="D12" s="1212">
        <v>323999.53999999998</v>
      </c>
      <c r="E12" s="1213">
        <v>6243180</v>
      </c>
      <c r="F12" s="1214">
        <f>2174075+RUD!E118</f>
        <v>2190657</v>
      </c>
      <c r="G12" s="1215">
        <v>4848930</v>
      </c>
      <c r="H12" s="1213">
        <v>1399552</v>
      </c>
      <c r="I12" s="1215"/>
      <c r="J12" s="1215"/>
      <c r="K12" s="1215"/>
      <c r="L12" s="1215"/>
      <c r="M12" s="1215">
        <v>9403121</v>
      </c>
      <c r="N12" s="1215">
        <v>2215919</v>
      </c>
      <c r="O12" s="1215">
        <v>1145312</v>
      </c>
      <c r="P12" s="1215">
        <v>805170</v>
      </c>
      <c r="Q12" s="1215">
        <v>930846</v>
      </c>
      <c r="R12" s="1215">
        <v>3566703.8246082799</v>
      </c>
      <c r="S12" s="1213">
        <v>9370000</v>
      </c>
      <c r="T12" s="1215"/>
      <c r="U12" s="1211">
        <f t="shared" si="1"/>
        <v>42443390.36460828</v>
      </c>
      <c r="V12" s="1211">
        <f>'Souhrn příjmů a výdajů 2024'!H6-'Souhrn příjmů a výdajů 2024'!H7-'Souhrn příjmů a výdajů 2024'!H8-'Souhrn příjmů a výdajů 2024'!H9-'Souhrn příjmů a výdajů 2024'!H12-'Souhrn příjmů a výdajů 2024'!H13</f>
        <v>50952327</v>
      </c>
      <c r="W12" s="1217">
        <f>+V12-U12</f>
        <v>8508936.6353917196</v>
      </c>
      <c r="X12" s="1217"/>
    </row>
    <row r="13" spans="1:24" s="1218" customFormat="1" ht="17.25" customHeight="1" outlineLevel="1" x14ac:dyDescent="0.25">
      <c r="A13" s="3089"/>
      <c r="B13" s="1202" t="s">
        <v>1228</v>
      </c>
      <c r="C13" s="1203" t="s">
        <v>223</v>
      </c>
      <c r="D13" s="1219">
        <v>2395787.81</v>
      </c>
      <c r="E13" s="1213">
        <v>3742236</v>
      </c>
      <c r="F13" s="1214">
        <f>2879288-1417-336</f>
        <v>2877535</v>
      </c>
      <c r="G13" s="2864">
        <f>3481909-7417</f>
        <v>3474492</v>
      </c>
      <c r="H13" s="1213">
        <v>2229742</v>
      </c>
      <c r="I13" s="1213"/>
      <c r="J13" s="1213"/>
      <c r="K13" s="1213"/>
      <c r="L13" s="1213"/>
      <c r="M13" s="1213">
        <f>1675730-1417</f>
        <v>1674313</v>
      </c>
      <c r="N13" s="1213">
        <v>1034227</v>
      </c>
      <c r="O13" s="1213">
        <v>5865538</v>
      </c>
      <c r="P13" s="1213">
        <v>3215303</v>
      </c>
      <c r="Q13" s="1213">
        <v>2256757</v>
      </c>
      <c r="R13" s="1213">
        <v>1256757</v>
      </c>
      <c r="S13" s="1213">
        <v>2213113</v>
      </c>
      <c r="T13" s="1215"/>
      <c r="U13" s="1211">
        <f t="shared" si="1"/>
        <v>32235800.810000002</v>
      </c>
      <c r="V13" s="1211">
        <f>'Souhrn příjmů a výdajů 2024'!H30</f>
        <v>32235801</v>
      </c>
      <c r="W13" s="1217">
        <f t="shared" ref="W13:W55" si="3">+V13-U13</f>
        <v>0.18999999761581421</v>
      </c>
      <c r="X13" s="1209"/>
    </row>
    <row r="14" spans="1:24" s="1218" customFormat="1" ht="12.75" customHeight="1" outlineLevel="1" x14ac:dyDescent="0.25">
      <c r="A14" s="3089"/>
      <c r="B14" s="1220"/>
      <c r="C14" s="1203" t="s">
        <v>973</v>
      </c>
      <c r="D14" s="1221">
        <f>130800+318550+842358</f>
        <v>1291708</v>
      </c>
      <c r="E14" s="1213">
        <v>878758</v>
      </c>
      <c r="F14" s="1214">
        <f>1049358</f>
        <v>1049358</v>
      </c>
      <c r="G14" s="1215">
        <v>1894253</v>
      </c>
      <c r="H14" s="1213">
        <v>957267</v>
      </c>
      <c r="I14" s="1213"/>
      <c r="J14" s="1213"/>
      <c r="K14" s="1213"/>
      <c r="L14" s="1213"/>
      <c r="M14" s="1213">
        <f>49416</f>
        <v>49416</v>
      </c>
      <c r="N14" s="1213">
        <v>1636681</v>
      </c>
      <c r="O14" s="1213">
        <v>1005867</v>
      </c>
      <c r="P14" s="1213">
        <v>1870292</v>
      </c>
      <c r="Q14" s="1213">
        <v>1252980</v>
      </c>
      <c r="R14" s="1213"/>
      <c r="S14" s="1213"/>
      <c r="T14" s="1215"/>
      <c r="U14" s="1211">
        <f t="shared" si="1"/>
        <v>11886580</v>
      </c>
      <c r="V14" s="1211">
        <f>+'Souhrn příjmů a výdajů 2024'!H81+'Souhrn příjmů a výdajů 2024'!H94+'Souhrn příjmů a výdajů 2024'!H88</f>
        <v>10255200</v>
      </c>
      <c r="W14" s="1217">
        <f t="shared" si="3"/>
        <v>-1631380</v>
      </c>
      <c r="X14" s="1209"/>
    </row>
    <row r="15" spans="1:24" s="1218" customFormat="1" ht="18" customHeight="1" outlineLevel="1" x14ac:dyDescent="0.25">
      <c r="A15" s="3089"/>
      <c r="B15" s="1220"/>
      <c r="C15" s="1204" t="s">
        <v>972</v>
      </c>
      <c r="D15" s="1219">
        <v>0</v>
      </c>
      <c r="E15" s="1213">
        <v>0</v>
      </c>
      <c r="F15" s="1214">
        <f>8159032</f>
        <v>8159032</v>
      </c>
      <c r="G15" s="1215">
        <v>0</v>
      </c>
      <c r="H15" s="1214">
        <v>0</v>
      </c>
      <c r="I15" s="1216"/>
      <c r="J15" s="1216"/>
      <c r="K15" s="1216"/>
      <c r="L15" s="1216"/>
      <c r="M15" s="1215">
        <f>5159783</f>
        <v>5159783</v>
      </c>
      <c r="N15" s="1213">
        <v>0</v>
      </c>
      <c r="O15" s="1214">
        <v>0</v>
      </c>
      <c r="P15" s="1215">
        <v>0</v>
      </c>
      <c r="Q15" s="1216"/>
      <c r="R15" s="1215">
        <v>3988000</v>
      </c>
      <c r="S15" s="1213"/>
      <c r="T15" s="1215"/>
      <c r="U15" s="1211">
        <f t="shared" si="1"/>
        <v>17306815</v>
      </c>
      <c r="V15" s="1211">
        <f>+'Souhrn příjmů a výdajů 2024'!H79-V14</f>
        <v>25925956</v>
      </c>
      <c r="W15" s="1217">
        <f t="shared" si="3"/>
        <v>8619141</v>
      </c>
      <c r="X15" s="1209"/>
    </row>
    <row r="16" spans="1:24" s="1218" customFormat="1" ht="18" customHeight="1" outlineLevel="1" thickBot="1" x14ac:dyDescent="0.3">
      <c r="A16" s="3089"/>
      <c r="B16" s="1237"/>
      <c r="C16" s="1304" t="s">
        <v>226</v>
      </c>
      <c r="D16" s="1305">
        <v>0</v>
      </c>
      <c r="E16" s="1306">
        <v>0</v>
      </c>
      <c r="F16" s="1307">
        <f>1417+336</f>
        <v>1753</v>
      </c>
      <c r="G16" s="1308">
        <f>6000+1417</f>
        <v>7417</v>
      </c>
      <c r="H16" s="1307"/>
      <c r="I16" s="1309"/>
      <c r="J16" s="1309"/>
      <c r="K16" s="1309"/>
      <c r="L16" s="1309"/>
      <c r="M16" s="1308">
        <v>1417</v>
      </c>
      <c r="N16" s="1306">
        <v>0</v>
      </c>
      <c r="O16" s="1307">
        <v>0</v>
      </c>
      <c r="P16" s="1308">
        <v>0</v>
      </c>
      <c r="Q16" s="1309"/>
      <c r="R16" s="1308"/>
      <c r="S16" s="1306"/>
      <c r="T16" s="1308"/>
      <c r="U16" s="1211">
        <f t="shared" si="1"/>
        <v>10587</v>
      </c>
      <c r="V16" s="1211">
        <f>+'Souhrn příjmů a výdajů 2024'!H74</f>
        <v>76000</v>
      </c>
      <c r="W16" s="1217">
        <f t="shared" si="3"/>
        <v>65413</v>
      </c>
      <c r="X16" s="1209"/>
    </row>
    <row r="17" spans="1:24" s="1226" customFormat="1" ht="14.25" thickBot="1" x14ac:dyDescent="0.3">
      <c r="A17" s="3090"/>
      <c r="B17" s="3086" t="s">
        <v>1248</v>
      </c>
      <c r="C17" s="3087"/>
      <c r="D17" s="2842">
        <f>SUM(D6:D16)</f>
        <v>14179222.35</v>
      </c>
      <c r="E17" s="2842">
        <f t="shared" ref="E17:O17" si="4">SUM(E6:E16)</f>
        <v>21313557</v>
      </c>
      <c r="F17" s="2842">
        <f>SUM(F6:F16)</f>
        <v>27851324</v>
      </c>
      <c r="G17" s="2842">
        <f t="shared" si="4"/>
        <v>18231975</v>
      </c>
      <c r="H17" s="2842">
        <f t="shared" si="4"/>
        <v>14731823</v>
      </c>
      <c r="I17" s="2842">
        <f t="shared" si="4"/>
        <v>0</v>
      </c>
      <c r="J17" s="2842">
        <f t="shared" si="4"/>
        <v>0</v>
      </c>
      <c r="K17" s="2842">
        <f t="shared" si="4"/>
        <v>0</v>
      </c>
      <c r="L17" s="2842">
        <f t="shared" si="4"/>
        <v>0</v>
      </c>
      <c r="M17" s="2842">
        <f>SUM(M6:M16)</f>
        <v>36217473.68</v>
      </c>
      <c r="N17" s="2842">
        <f t="shared" si="4"/>
        <v>28858973.68</v>
      </c>
      <c r="O17" s="2842">
        <f t="shared" si="4"/>
        <v>24155295.68</v>
      </c>
      <c r="P17" s="2842">
        <f>SUM(P6:P16)</f>
        <v>23908941.68</v>
      </c>
      <c r="Q17" s="2842">
        <f>SUM(Q6:Q16)</f>
        <v>22442056.68</v>
      </c>
      <c r="R17" s="2842">
        <f>SUM(R6:R16)</f>
        <v>20375360.144608282</v>
      </c>
      <c r="S17" s="2842">
        <f>SUM(S6:S16)</f>
        <v>33805720.350000001</v>
      </c>
      <c r="T17" s="2843">
        <f t="shared" ref="T17" si="5">SUM(T6:T16)</f>
        <v>0</v>
      </c>
      <c r="U17" s="1223">
        <f>SUM(D17:S17)</f>
        <v>286071723.24460834</v>
      </c>
      <c r="V17" s="1223">
        <f>SUM(V6:V16)</f>
        <v>272271705</v>
      </c>
      <c r="W17" s="1224">
        <f t="shared" si="3"/>
        <v>-13800018.244608343</v>
      </c>
      <c r="X17" s="1225"/>
    </row>
    <row r="18" spans="1:24" s="315" customFormat="1" ht="14.25" thickBot="1" x14ac:dyDescent="0.3">
      <c r="A18" s="3089"/>
      <c r="B18" s="1244"/>
      <c r="C18" s="1244"/>
      <c r="D18" s="1245"/>
      <c r="E18" s="1245"/>
      <c r="F18" s="1245"/>
      <c r="G18" s="1245"/>
      <c r="H18" s="1245"/>
      <c r="I18" s="1245"/>
      <c r="J18" s="1245"/>
      <c r="K18" s="1245"/>
      <c r="L18" s="1245"/>
      <c r="M18" s="1245"/>
      <c r="N18" s="1245"/>
      <c r="O18" s="1245"/>
      <c r="P18" s="1245"/>
      <c r="Q18" s="1245"/>
      <c r="R18" s="1245"/>
      <c r="S18" s="1245"/>
      <c r="T18" s="1325"/>
      <c r="U18" s="1211"/>
      <c r="V18" s="1211"/>
      <c r="W18" s="1217"/>
      <c r="X18" s="1209"/>
    </row>
    <row r="19" spans="1:24" s="1226" customFormat="1" ht="14.25" thickBot="1" x14ac:dyDescent="0.3">
      <c r="A19" s="3090"/>
      <c r="B19" s="3091" t="s">
        <v>1247</v>
      </c>
      <c r="C19" s="3092"/>
      <c r="D19" s="2844">
        <f>SUM(D20:D25)</f>
        <v>11920916.780000001</v>
      </c>
      <c r="E19" s="2845">
        <f t="shared" ref="E19:T19" si="6">SUM(E20:E25)</f>
        <v>14689103</v>
      </c>
      <c r="F19" s="2846">
        <f t="shared" si="6"/>
        <v>12858849</v>
      </c>
      <c r="G19" s="2847">
        <f t="shared" si="6"/>
        <v>13874685</v>
      </c>
      <c r="H19" s="2848">
        <f t="shared" si="6"/>
        <v>10525142</v>
      </c>
      <c r="I19" s="2848">
        <f t="shared" si="6"/>
        <v>0</v>
      </c>
      <c r="J19" s="2848">
        <f t="shared" si="6"/>
        <v>0</v>
      </c>
      <c r="K19" s="2848">
        <f t="shared" si="6"/>
        <v>0</v>
      </c>
      <c r="L19" s="2848">
        <f t="shared" si="6"/>
        <v>0</v>
      </c>
      <c r="M19" s="2847">
        <f>SUM(M20:M25)</f>
        <v>10738482</v>
      </c>
      <c r="N19" s="2845">
        <f t="shared" si="6"/>
        <v>11791551</v>
      </c>
      <c r="O19" s="2846">
        <f t="shared" si="6"/>
        <v>24738645</v>
      </c>
      <c r="P19" s="2847">
        <f t="shared" si="6"/>
        <v>11080910</v>
      </c>
      <c r="Q19" s="2848">
        <f t="shared" si="6"/>
        <v>12291754</v>
      </c>
      <c r="R19" s="2847">
        <f t="shared" si="6"/>
        <v>17831767.659143738</v>
      </c>
      <c r="S19" s="2845">
        <f t="shared" si="6"/>
        <v>17692749.383864701</v>
      </c>
      <c r="T19" s="2847">
        <f t="shared" si="6"/>
        <v>0</v>
      </c>
      <c r="U19" s="1223">
        <f t="shared" ref="U19:U25" si="7">+D19+E19+F19+G19+H19+M19+N19+O19+P19+Q19+R19+S19</f>
        <v>170034554.82300845</v>
      </c>
      <c r="V19" s="1223">
        <f>SUM(V20:V25)</f>
        <v>199786703.9165</v>
      </c>
      <c r="W19" s="1224">
        <f t="shared" si="3"/>
        <v>29752149.093491554</v>
      </c>
      <c r="X19" s="1225"/>
    </row>
    <row r="20" spans="1:24" s="1218" customFormat="1" outlineLevel="1" x14ac:dyDescent="0.25">
      <c r="A20" s="3089"/>
      <c r="B20" s="1227"/>
      <c r="C20" s="1205" t="s">
        <v>2525</v>
      </c>
      <c r="D20" s="1222">
        <v>3012151</v>
      </c>
      <c r="E20" s="1228">
        <v>3181054</v>
      </c>
      <c r="F20" s="1229">
        <v>3031840</v>
      </c>
      <c r="G20" s="1222">
        <v>3305127</v>
      </c>
      <c r="H20" s="1228">
        <v>3273050</v>
      </c>
      <c r="I20" s="1229"/>
      <c r="J20" s="1229"/>
      <c r="K20" s="1229"/>
      <c r="L20" s="1229"/>
      <c r="M20" s="1229">
        <v>4897594</v>
      </c>
      <c r="N20" s="1222">
        <v>3553968</v>
      </c>
      <c r="O20" s="1228">
        <v>3429860</v>
      </c>
      <c r="P20" s="1229">
        <v>3312454</v>
      </c>
      <c r="Q20" s="1222">
        <v>3532842</v>
      </c>
      <c r="R20" s="1228">
        <v>4981054</v>
      </c>
      <c r="S20" s="1229">
        <v>3031840</v>
      </c>
      <c r="T20" s="1231"/>
      <c r="U20" s="1211">
        <f t="shared" si="7"/>
        <v>42542834</v>
      </c>
      <c r="V20" s="1211">
        <f>'Výdaje kapitol celkem'!G16</f>
        <v>45691301.600000001</v>
      </c>
      <c r="W20" s="1217">
        <f t="shared" si="3"/>
        <v>3148467.6000000015</v>
      </c>
      <c r="X20" s="1217"/>
    </row>
    <row r="21" spans="1:24" s="1218" customFormat="1" outlineLevel="1" x14ac:dyDescent="0.25">
      <c r="A21" s="3089"/>
      <c r="B21" s="1220"/>
      <c r="C21" s="1205" t="s">
        <v>2526</v>
      </c>
      <c r="D21" s="1222">
        <v>196960</v>
      </c>
      <c r="E21" s="1228">
        <v>66691</v>
      </c>
      <c r="F21" s="1229">
        <v>182364</v>
      </c>
      <c r="G21" s="1233">
        <v>158931</v>
      </c>
      <c r="H21" s="1233">
        <v>160250</v>
      </c>
      <c r="I21" s="1233"/>
      <c r="J21" s="1233"/>
      <c r="K21" s="1233"/>
      <c r="L21" s="1233"/>
      <c r="M21" s="1233">
        <v>121187</v>
      </c>
      <c r="N21" s="1233">
        <v>80994</v>
      </c>
      <c r="O21" s="1233">
        <v>118074</v>
      </c>
      <c r="P21" s="1233">
        <v>298755</v>
      </c>
      <c r="Q21" s="1233">
        <v>314508</v>
      </c>
      <c r="R21" s="1233">
        <v>951526.54868182703</v>
      </c>
      <c r="S21" s="1233">
        <v>905709.73452364001</v>
      </c>
      <c r="T21" s="1230"/>
      <c r="U21" s="1211">
        <f t="shared" si="7"/>
        <v>3555950.2832054673</v>
      </c>
      <c r="V21" s="1211">
        <f>'Souhrn příjmů a výdajů 2024'!H136+'Souhrn příjmů a výdajů 2024'!H137+'Souhrn příjmů a výdajů 2024'!H138+'Souhrn příjmů a výdajů 2024'!H139</f>
        <v>5593687.1699999999</v>
      </c>
      <c r="W21" s="1217">
        <f t="shared" si="3"/>
        <v>2037736.8867945326</v>
      </c>
      <c r="X21" s="1217"/>
    </row>
    <row r="22" spans="1:24" s="1218" customFormat="1" ht="16.5" customHeight="1" outlineLevel="1" x14ac:dyDescent="0.25">
      <c r="A22" s="3089"/>
      <c r="B22" s="1220"/>
      <c r="C22" s="1205" t="s">
        <v>2527</v>
      </c>
      <c r="D22" s="1232">
        <v>900820.78</v>
      </c>
      <c r="E22" s="1233">
        <v>84797</v>
      </c>
      <c r="F22" s="1233">
        <v>838033</v>
      </c>
      <c r="G22" s="1233">
        <v>1121648</v>
      </c>
      <c r="H22" s="1233">
        <v>7768</v>
      </c>
      <c r="I22" s="1233"/>
      <c r="J22" s="1233"/>
      <c r="K22" s="1233"/>
      <c r="L22" s="1233"/>
      <c r="M22" s="1233">
        <v>-919123</v>
      </c>
      <c r="N22" s="1233">
        <v>613675</v>
      </c>
      <c r="O22" s="1233">
        <v>240717</v>
      </c>
      <c r="P22" s="1233">
        <v>461348</v>
      </c>
      <c r="Q22" s="1233">
        <v>630063</v>
      </c>
      <c r="R22" s="1233">
        <v>874938.84851986996</v>
      </c>
      <c r="S22" s="1233">
        <v>923931.51034225</v>
      </c>
      <c r="T22" s="1233"/>
      <c r="U22" s="1211">
        <f t="shared" si="7"/>
        <v>5778617.13886212</v>
      </c>
      <c r="V22" s="1211">
        <f>+'Souhrn příjmů a výdajů 2024'!H140+'Souhrn příjmů a výdajů 2024'!H141+'Souhrn příjmů a výdajů 2024'!H142+'Souhrn příjmů a výdajů 2024'!H143</f>
        <v>11624250</v>
      </c>
      <c r="W22" s="1217">
        <f t="shared" si="3"/>
        <v>5845632.86113788</v>
      </c>
      <c r="X22" s="1209"/>
    </row>
    <row r="23" spans="1:24" s="1218" customFormat="1" ht="16.5" customHeight="1" outlineLevel="1" x14ac:dyDescent="0.25">
      <c r="A23" s="3089"/>
      <c r="B23" s="1220"/>
      <c r="C23" s="1205" t="s">
        <v>2528</v>
      </c>
      <c r="D23" s="1232">
        <v>957047</v>
      </c>
      <c r="E23" s="1235">
        <v>2948058</v>
      </c>
      <c r="F23" s="1236">
        <v>3639755</v>
      </c>
      <c r="G23" s="1233">
        <v>3869951</v>
      </c>
      <c r="H23" s="1233">
        <v>2009972</v>
      </c>
      <c r="I23" s="1233"/>
      <c r="J23" s="1233"/>
      <c r="K23" s="1233"/>
      <c r="L23" s="1233"/>
      <c r="M23" s="1233">
        <v>1471321</v>
      </c>
      <c r="N23" s="1233">
        <v>2546280</v>
      </c>
      <c r="O23" s="1233">
        <v>15872168</v>
      </c>
      <c r="P23" s="1233">
        <v>1840993</v>
      </c>
      <c r="Q23" s="1233">
        <v>2777157</v>
      </c>
      <c r="R23" s="1233">
        <v>5479807.9531356199</v>
      </c>
      <c r="S23" s="1233">
        <f>5479807.95313562+5300000</f>
        <v>10779807.953135621</v>
      </c>
      <c r="T23" s="1233"/>
      <c r="U23" s="1211">
        <f t="shared" si="7"/>
        <v>54192317.906271234</v>
      </c>
      <c r="V23" s="1211">
        <f>+'Souhrn příjmů a výdajů 2024'!H144+'Souhrn příjmů a výdajů 2024'!H145+'Souhrn příjmů a výdajů 2024'!H146+'Souhrn příjmů a výdajů 2024'!H147+'Souhrn příjmů a výdajů 2024'!H148+'Souhrn příjmů a výdajů 2024'!H149+'Souhrn příjmů a výdajů 2024'!H150+'Souhrn příjmů a výdajů 2024'!H151+'Souhrn příjmů a výdajů 2024'!H152+'Souhrn příjmů a výdajů 2024'!H153+'Souhrn příjmů a výdajů 2024'!H154+'Souhrn příjmů a výdajů 2024'!H155</f>
        <v>69948350</v>
      </c>
      <c r="W23" s="1217">
        <f t="shared" si="3"/>
        <v>15756032.093728766</v>
      </c>
      <c r="X23" s="1209"/>
    </row>
    <row r="24" spans="1:24" s="1218" customFormat="1" ht="27" outlineLevel="1" x14ac:dyDescent="0.25">
      <c r="A24" s="3089"/>
      <c r="B24" s="1220"/>
      <c r="C24" s="1205" t="s">
        <v>2529</v>
      </c>
      <c r="D24" s="1232">
        <v>4502450</v>
      </c>
      <c r="E24" s="1235">
        <v>8212450</v>
      </c>
      <c r="F24" s="1236">
        <v>4843283</v>
      </c>
      <c r="G24" s="1233">
        <v>4943283</v>
      </c>
      <c r="H24" s="1233">
        <v>4843283</v>
      </c>
      <c r="I24" s="1233"/>
      <c r="J24" s="1233"/>
      <c r="K24" s="1233"/>
      <c r="L24" s="1233"/>
      <c r="M24" s="1233">
        <v>4843283</v>
      </c>
      <c r="N24" s="1233">
        <v>4923283</v>
      </c>
      <c r="O24" s="1233">
        <v>4843283</v>
      </c>
      <c r="P24" s="1233">
        <v>4843283</v>
      </c>
      <c r="Q24" s="1233">
        <v>4943283</v>
      </c>
      <c r="R24" s="1233">
        <v>4843283</v>
      </c>
      <c r="S24" s="1233">
        <v>1254164</v>
      </c>
      <c r="T24" s="1233"/>
      <c r="U24" s="1211">
        <f t="shared" si="7"/>
        <v>57838611</v>
      </c>
      <c r="V24" s="1211">
        <f>+'Souhrn příjmů a výdajů 2024'!H160+'Souhrn příjmů a výdajů 2024'!H161+'Souhrn příjmů a výdajů 2024'!H166+'Souhrn příjmů a výdajů 2024'!H167</f>
        <v>57838611.380000003</v>
      </c>
      <c r="W24" s="1217">
        <f t="shared" si="3"/>
        <v>0.38000000268220901</v>
      </c>
      <c r="X24" s="1209"/>
    </row>
    <row r="25" spans="1:24" s="1218" customFormat="1" ht="14.25" outlineLevel="1" thickBot="1" x14ac:dyDescent="0.3">
      <c r="A25" s="3089"/>
      <c r="B25" s="1237"/>
      <c r="C25" s="1206" t="s">
        <v>2937</v>
      </c>
      <c r="D25" s="1238">
        <v>2351488</v>
      </c>
      <c r="E25" s="1239">
        <v>196053</v>
      </c>
      <c r="F25" s="1239">
        <v>323574</v>
      </c>
      <c r="G25" s="1240">
        <v>475745</v>
      </c>
      <c r="H25" s="1241">
        <v>230819</v>
      </c>
      <c r="I25" s="1241"/>
      <c r="J25" s="1241"/>
      <c r="K25" s="1241"/>
      <c r="L25" s="1241"/>
      <c r="M25" s="1240">
        <v>324220</v>
      </c>
      <c r="N25" s="1239">
        <v>73351</v>
      </c>
      <c r="O25" s="1242">
        <v>234543</v>
      </c>
      <c r="P25" s="1240">
        <v>324077</v>
      </c>
      <c r="Q25" s="1241">
        <v>93901</v>
      </c>
      <c r="R25" s="1240">
        <v>701157.30880641798</v>
      </c>
      <c r="S25" s="1239">
        <v>797296.185863188</v>
      </c>
      <c r="T25" s="1240"/>
      <c r="U25" s="1211">
        <f t="shared" si="7"/>
        <v>6126224.494669605</v>
      </c>
      <c r="V25" s="1211">
        <f>+'Souhrn příjmů a výdajů 2024'!H158+'Souhrn příjmů a výdajů 2024'!H159+'Souhrn příjmů a výdajů 2024'!H162+'Souhrn příjmů a výdajů 2024'!H163+'Souhrn příjmů a výdajů 2024'!H164+'Souhrn příjmů a výdajů 2024'!H165+'Souhrn příjmů a výdajů 2024'!H168</f>
        <v>9090503.7664999999</v>
      </c>
      <c r="W25" s="1217">
        <f t="shared" si="3"/>
        <v>2964279.2718303949</v>
      </c>
      <c r="X25" s="1209"/>
    </row>
    <row r="26" spans="1:24" s="1218" customFormat="1" ht="14.25" thickBot="1" x14ac:dyDescent="0.3">
      <c r="A26" s="3089"/>
      <c r="B26" s="1243"/>
      <c r="C26" s="1244"/>
      <c r="D26" s="1245"/>
      <c r="E26" s="1245"/>
      <c r="F26" s="1245"/>
      <c r="G26" s="1245"/>
      <c r="H26" s="1245"/>
      <c r="I26" s="1245"/>
      <c r="J26" s="1245"/>
      <c r="K26" s="1245"/>
      <c r="L26" s="1245"/>
      <c r="M26" s="1245"/>
      <c r="N26" s="1245"/>
      <c r="O26" s="1245"/>
      <c r="P26" s="1245"/>
      <c r="Q26" s="1245"/>
      <c r="R26" s="1245"/>
      <c r="S26" s="1245"/>
      <c r="T26" s="1325"/>
      <c r="U26" s="1211"/>
      <c r="V26" s="1211"/>
      <c r="W26" s="1217"/>
      <c r="X26" s="1209"/>
    </row>
    <row r="27" spans="1:24" s="1246" customFormat="1" ht="14.25" thickBot="1" x14ac:dyDescent="0.3">
      <c r="A27" s="3090"/>
      <c r="B27" s="3086" t="s">
        <v>1246</v>
      </c>
      <c r="C27" s="3092"/>
      <c r="D27" s="2844">
        <f>D5+D17-D19-D16</f>
        <v>16158305.57</v>
      </c>
      <c r="E27" s="2845">
        <f t="shared" ref="E27:T27" si="8">E5+E17-E19-E16</f>
        <v>16568346.57</v>
      </c>
      <c r="F27" s="2846">
        <f>F5+F17-F19-F16</f>
        <v>27369904.259999998</v>
      </c>
      <c r="G27" s="2847">
        <f t="shared" si="8"/>
        <v>15895713.259999998</v>
      </c>
      <c r="H27" s="2848">
        <f t="shared" si="8"/>
        <v>19102226.259999998</v>
      </c>
      <c r="I27" s="2848">
        <f t="shared" si="8"/>
        <v>0</v>
      </c>
      <c r="J27" s="2848">
        <f t="shared" si="8"/>
        <v>0</v>
      </c>
      <c r="K27" s="2848">
        <f t="shared" si="8"/>
        <v>0</v>
      </c>
      <c r="L27" s="2848">
        <f t="shared" si="8"/>
        <v>0</v>
      </c>
      <c r="M27" s="2847">
        <f>M5+M17-M19-M16</f>
        <v>42624782.939999998</v>
      </c>
      <c r="N27" s="2845">
        <f t="shared" si="8"/>
        <v>44998087.619999997</v>
      </c>
      <c r="O27" s="2846">
        <f t="shared" si="8"/>
        <v>36717580.299999997</v>
      </c>
      <c r="P27" s="2847">
        <f t="shared" si="8"/>
        <v>40394809.979999997</v>
      </c>
      <c r="Q27" s="2848">
        <f t="shared" si="8"/>
        <v>39399229.659999996</v>
      </c>
      <c r="R27" s="2847">
        <f t="shared" si="8"/>
        <v>29966307.14546454</v>
      </c>
      <c r="S27" s="2845">
        <f t="shared" si="8"/>
        <v>36811466.434469841</v>
      </c>
      <c r="T27" s="2847">
        <f t="shared" si="8"/>
        <v>17466793.434469841</v>
      </c>
      <c r="U27" s="1223"/>
      <c r="V27" s="1223"/>
      <c r="W27" s="1224"/>
      <c r="X27" s="1225"/>
    </row>
    <row r="28" spans="1:24" s="1218" customFormat="1" x14ac:dyDescent="0.25">
      <c r="A28" s="3089"/>
      <c r="B28" s="1227"/>
      <c r="C28" s="1205" t="s">
        <v>2530</v>
      </c>
      <c r="D28" s="1232">
        <v>237571</v>
      </c>
      <c r="E28" s="1235">
        <v>208251.31</v>
      </c>
      <c r="F28" s="1236">
        <v>350491</v>
      </c>
      <c r="G28" s="1233">
        <v>152459</v>
      </c>
      <c r="H28" s="1234">
        <v>176762</v>
      </c>
      <c r="I28" s="1234"/>
      <c r="J28" s="1234"/>
      <c r="K28" s="1234"/>
      <c r="L28" s="1234"/>
      <c r="M28" s="1233">
        <v>256267</v>
      </c>
      <c r="N28" s="1235">
        <v>153373</v>
      </c>
      <c r="O28" s="1236">
        <v>160099</v>
      </c>
      <c r="P28" s="1233">
        <v>272256</v>
      </c>
      <c r="Q28" s="1234">
        <v>167284</v>
      </c>
      <c r="R28" s="1233">
        <f>+'přepočet úroků'!O20</f>
        <v>167289.67712999997</v>
      </c>
      <c r="S28" s="1235">
        <v>5850</v>
      </c>
      <c r="T28" s="1233"/>
      <c r="U28" s="1211">
        <f>+D28+E28+F28+G28+H28+M28+N28+O28+P28+Q28+R28+S28</f>
        <v>2307952.9871300003</v>
      </c>
      <c r="V28" s="1211">
        <f>+'Výdaje kapitol celkem'!H53</f>
        <v>2307952.5247400003</v>
      </c>
      <c r="W28" s="1217">
        <f t="shared" si="3"/>
        <v>-0.46239000000059605</v>
      </c>
      <c r="X28" s="1209"/>
    </row>
    <row r="29" spans="1:24" s="1218" customFormat="1" x14ac:dyDescent="0.25">
      <c r="A29" s="3089"/>
      <c r="B29" s="1220"/>
      <c r="C29" s="1247" t="s">
        <v>2531</v>
      </c>
      <c r="D29" s="1248">
        <v>231000</v>
      </c>
      <c r="E29" s="1249">
        <v>231000</v>
      </c>
      <c r="F29" s="1250">
        <v>231000</v>
      </c>
      <c r="G29" s="1251">
        <v>354840</v>
      </c>
      <c r="H29" s="1251">
        <v>354840</v>
      </c>
      <c r="I29" s="1251"/>
      <c r="J29" s="1251"/>
      <c r="K29" s="1251"/>
      <c r="L29" s="1251"/>
      <c r="M29" s="1251">
        <v>354840</v>
      </c>
      <c r="N29" s="1251">
        <v>354840</v>
      </c>
      <c r="O29" s="1251">
        <v>354840</v>
      </c>
      <c r="P29" s="1251">
        <v>354840</v>
      </c>
      <c r="Q29" s="1251">
        <v>4278688</v>
      </c>
      <c r="R29" s="1251">
        <v>1231000</v>
      </c>
      <c r="S29" s="1251">
        <v>2210192</v>
      </c>
      <c r="T29" s="1251"/>
      <c r="U29" s="1211">
        <f>+D29+E29+F29+G29+H29+M29+N29+O29+P29+Q29+R29+S29</f>
        <v>10541920</v>
      </c>
      <c r="V29" s="1211">
        <f>'Výdaje kapitol celkem'!G66</f>
        <v>10541920</v>
      </c>
      <c r="W29" s="1217">
        <f t="shared" si="3"/>
        <v>0</v>
      </c>
      <c r="X29" s="1209"/>
    </row>
    <row r="30" spans="1:24" s="1218" customFormat="1" x14ac:dyDescent="0.25">
      <c r="A30" s="3089"/>
      <c r="B30" s="1232"/>
      <c r="C30" s="1205" t="s">
        <v>112</v>
      </c>
      <c r="D30" s="1232"/>
      <c r="E30" s="1235"/>
      <c r="F30" s="1236"/>
      <c r="G30" s="1233"/>
      <c r="H30" s="1234"/>
      <c r="I30" s="1234"/>
      <c r="J30" s="1234"/>
      <c r="K30" s="1234"/>
      <c r="L30" s="1234"/>
      <c r="M30" s="1233"/>
      <c r="N30" s="1235"/>
      <c r="O30" s="1236"/>
      <c r="P30" s="1233"/>
      <c r="Q30" s="1234"/>
      <c r="R30" s="1233"/>
      <c r="S30" s="1235"/>
      <c r="T30" s="1233"/>
      <c r="U30" s="1211">
        <f>+D30+E30+F30+G30+H30+M30+N30+O30+P30+Q30+R30+S30</f>
        <v>0</v>
      </c>
      <c r="V30" s="1211"/>
      <c r="W30" s="1217">
        <f t="shared" si="3"/>
        <v>0</v>
      </c>
      <c r="X30" s="1209"/>
    </row>
    <row r="31" spans="1:24" s="1246" customFormat="1" ht="14.25" thickBot="1" x14ac:dyDescent="0.3">
      <c r="A31" s="3090"/>
      <c r="B31" s="3086" t="s">
        <v>1245</v>
      </c>
      <c r="C31" s="3087"/>
      <c r="D31" s="2842">
        <f>D27-D28-D30-D29+D16</f>
        <v>15689734.57</v>
      </c>
      <c r="E31" s="2849">
        <f t="shared" ref="E31:T31" si="9">E27-E28-E30-E29+E16</f>
        <v>16129095.26</v>
      </c>
      <c r="F31" s="2850">
        <f t="shared" si="9"/>
        <v>26790166.259999998</v>
      </c>
      <c r="G31" s="2843">
        <f t="shared" si="9"/>
        <v>15395831.259999998</v>
      </c>
      <c r="H31" s="2851">
        <f>H27-H28-H30-H29+H16</f>
        <v>18570624.259999998</v>
      </c>
      <c r="I31" s="2851">
        <f t="shared" si="9"/>
        <v>0</v>
      </c>
      <c r="J31" s="2851">
        <f t="shared" si="9"/>
        <v>0</v>
      </c>
      <c r="K31" s="2851">
        <f t="shared" si="9"/>
        <v>0</v>
      </c>
      <c r="L31" s="2851">
        <f t="shared" si="9"/>
        <v>0</v>
      </c>
      <c r="M31" s="2843">
        <f t="shared" si="9"/>
        <v>42015092.939999998</v>
      </c>
      <c r="N31" s="2849">
        <f t="shared" si="9"/>
        <v>44489874.619999997</v>
      </c>
      <c r="O31" s="2850">
        <f t="shared" si="9"/>
        <v>36202641.299999997</v>
      </c>
      <c r="P31" s="2843">
        <f t="shared" si="9"/>
        <v>39767713.979999997</v>
      </c>
      <c r="Q31" s="2851">
        <f t="shared" si="9"/>
        <v>34953257.659999996</v>
      </c>
      <c r="R31" s="2843">
        <f t="shared" si="9"/>
        <v>28568017.468334541</v>
      </c>
      <c r="S31" s="2849">
        <f t="shared" si="9"/>
        <v>34595424.434469841</v>
      </c>
      <c r="T31" s="2843">
        <f t="shared" si="9"/>
        <v>17466793.434469841</v>
      </c>
      <c r="U31" s="1223"/>
      <c r="V31" s="1223">
        <f>+V29/12</f>
        <v>878493.33333333337</v>
      </c>
      <c r="W31" s="1224"/>
      <c r="X31" s="1225"/>
    </row>
    <row r="32" spans="1:24" s="1218" customFormat="1" ht="15.75" customHeight="1" thickBot="1" x14ac:dyDescent="0.3">
      <c r="A32" s="1252"/>
      <c r="B32" s="1244"/>
      <c r="C32" s="1244"/>
      <c r="D32" s="1245"/>
      <c r="E32" s="1245"/>
      <c r="F32" s="1245"/>
      <c r="G32" s="1245"/>
      <c r="H32" s="1245"/>
      <c r="I32" s="1245"/>
      <c r="J32" s="1245"/>
      <c r="K32" s="1245"/>
      <c r="L32" s="1245"/>
      <c r="M32" s="1245"/>
      <c r="N32" s="1245"/>
      <c r="O32" s="1245"/>
      <c r="P32" s="1245"/>
      <c r="Q32" s="1245"/>
      <c r="R32" s="1245"/>
      <c r="S32" s="1245"/>
      <c r="T32" s="1325"/>
      <c r="U32" s="1211"/>
      <c r="V32" s="1211"/>
      <c r="W32" s="1217"/>
      <c r="X32" s="1209"/>
    </row>
    <row r="33" spans="1:24" s="1254" customFormat="1" ht="14.25" thickBot="1" x14ac:dyDescent="0.3">
      <c r="A33" s="3099"/>
      <c r="B33" s="3095" t="s">
        <v>2533</v>
      </c>
      <c r="C33" s="3096"/>
      <c r="D33" s="2852">
        <f>217776</f>
        <v>217776</v>
      </c>
      <c r="E33" s="2853">
        <f>3934978-1594587</f>
        <v>2340391</v>
      </c>
      <c r="F33" s="2854">
        <f>671735</f>
        <v>671735</v>
      </c>
      <c r="G33" s="2855">
        <v>16940</v>
      </c>
      <c r="H33" s="2856">
        <v>733158</v>
      </c>
      <c r="I33" s="2856"/>
      <c r="J33" s="2856"/>
      <c r="K33" s="2856"/>
      <c r="L33" s="2856"/>
      <c r="M33" s="2855">
        <v>2019436</v>
      </c>
      <c r="N33" s="2853">
        <v>353280</v>
      </c>
      <c r="O33" s="2854">
        <v>4000000</v>
      </c>
      <c r="P33" s="2855">
        <v>2470178</v>
      </c>
      <c r="Q33" s="2856">
        <v>365975</v>
      </c>
      <c r="R33" s="2855">
        <v>6460000</v>
      </c>
      <c r="S33" s="2853">
        <v>15345480</v>
      </c>
      <c r="T33" s="2855"/>
      <c r="U33" s="1223">
        <f>+D33+E33+F33+G33+H33+M33+N33+O33+P33+Q33+R33+S33</f>
        <v>34994349</v>
      </c>
      <c r="V33" s="1223">
        <f>+'Souhrn příjmů a výdajů 2024'!H172+'Souhrn příjmů a výdajů 2024'!H173+'Souhrn příjmů a výdajů 2024'!H174+'Souhrn příjmů a výdajů 2024'!H176+'Souhrn příjmů a výdajů 2024'!H177+'Souhrn příjmů a výdajů 2024'!H179</f>
        <v>52872664</v>
      </c>
      <c r="W33" s="1217">
        <f t="shared" si="3"/>
        <v>17878315</v>
      </c>
      <c r="X33" s="1253"/>
    </row>
    <row r="34" spans="1:24" s="1263" customFormat="1" ht="13.15" hidden="1" customHeight="1" outlineLevel="1" x14ac:dyDescent="0.25">
      <c r="A34" s="3100"/>
      <c r="B34" s="1255"/>
      <c r="C34" s="1256" t="s">
        <v>356</v>
      </c>
      <c r="D34" s="1257"/>
      <c r="E34" s="1258"/>
      <c r="F34" s="1259"/>
      <c r="G34" s="1260"/>
      <c r="H34" s="1261"/>
      <c r="I34" s="1261"/>
      <c r="J34" s="1261"/>
      <c r="K34" s="1261"/>
      <c r="L34" s="1261"/>
      <c r="M34" s="1262"/>
      <c r="N34" s="1258"/>
      <c r="O34" s="1259"/>
      <c r="P34" s="1262"/>
      <c r="Q34" s="1261"/>
      <c r="R34" s="1262"/>
      <c r="S34" s="1258"/>
      <c r="T34" s="1262"/>
      <c r="U34" s="1211">
        <f t="shared" ref="U34:U51" si="10">SUM(D34:T34)</f>
        <v>0</v>
      </c>
      <c r="V34" s="1211">
        <f>'Výdaje kapitol celkem'!Q69</f>
        <v>1600000</v>
      </c>
      <c r="W34" s="1217">
        <f t="shared" si="3"/>
        <v>1600000</v>
      </c>
      <c r="X34" s="1209"/>
    </row>
    <row r="35" spans="1:24" s="1263" customFormat="1" hidden="1" outlineLevel="1" x14ac:dyDescent="0.25">
      <c r="A35" s="3100"/>
      <c r="B35" s="1255"/>
      <c r="C35" s="1256" t="s">
        <v>137</v>
      </c>
      <c r="D35" s="1257"/>
      <c r="E35" s="1258"/>
      <c r="F35" s="1259"/>
      <c r="G35" s="1264"/>
      <c r="H35" s="1261"/>
      <c r="I35" s="1261"/>
      <c r="J35" s="1261"/>
      <c r="K35" s="1261"/>
      <c r="L35" s="1261"/>
      <c r="M35" s="1262"/>
      <c r="N35" s="1258"/>
      <c r="O35" s="1259"/>
      <c r="P35" s="1262"/>
      <c r="Q35" s="1261"/>
      <c r="R35" s="1262"/>
      <c r="S35" s="1258"/>
      <c r="T35" s="1262"/>
      <c r="U35" s="1211">
        <f t="shared" si="10"/>
        <v>0</v>
      </c>
      <c r="V35" s="1211">
        <f>'Výdaje kapitol celkem'!AE69</f>
        <v>2400000</v>
      </c>
      <c r="W35" s="1217">
        <f t="shared" si="3"/>
        <v>2400000</v>
      </c>
      <c r="X35" s="1209"/>
    </row>
    <row r="36" spans="1:24" s="1263" customFormat="1" hidden="1" outlineLevel="1" x14ac:dyDescent="0.25">
      <c r="A36" s="3100"/>
      <c r="B36" s="1255"/>
      <c r="C36" s="1256" t="s">
        <v>139</v>
      </c>
      <c r="D36" s="1257"/>
      <c r="E36" s="1258"/>
      <c r="F36" s="1259"/>
      <c r="G36" s="1264"/>
      <c r="H36" s="1261"/>
      <c r="I36" s="1261"/>
      <c r="J36" s="1261"/>
      <c r="K36" s="1261"/>
      <c r="L36" s="1261"/>
      <c r="M36" s="1262"/>
      <c r="N36" s="1258"/>
      <c r="O36" s="1259"/>
      <c r="P36" s="1262"/>
      <c r="Q36" s="1261"/>
      <c r="R36" s="1262"/>
      <c r="S36" s="1258"/>
      <c r="T36" s="1262"/>
      <c r="U36" s="1211">
        <f t="shared" si="10"/>
        <v>0</v>
      </c>
      <c r="V36" s="1211">
        <f>'Výdaje kapitol celkem'!AK69</f>
        <v>3139000</v>
      </c>
      <c r="W36" s="1217">
        <f t="shared" si="3"/>
        <v>3139000</v>
      </c>
      <c r="X36" s="1209"/>
    </row>
    <row r="37" spans="1:24" s="1263" customFormat="1" hidden="1" outlineLevel="1" x14ac:dyDescent="0.25">
      <c r="A37" s="3100"/>
      <c r="B37" s="1255"/>
      <c r="C37" s="1256" t="s">
        <v>1252</v>
      </c>
      <c r="D37" s="1257"/>
      <c r="E37" s="1258"/>
      <c r="F37" s="1259"/>
      <c r="G37" s="1264"/>
      <c r="H37" s="1261"/>
      <c r="I37" s="1261"/>
      <c r="J37" s="1261"/>
      <c r="K37" s="1261"/>
      <c r="L37" s="1261"/>
      <c r="M37" s="1262"/>
      <c r="N37" s="1258"/>
      <c r="O37" s="1259"/>
      <c r="P37" s="1262"/>
      <c r="Q37" s="1261"/>
      <c r="R37" s="1262"/>
      <c r="S37" s="1258"/>
      <c r="T37" s="1262"/>
      <c r="U37" s="1211">
        <f t="shared" si="10"/>
        <v>0</v>
      </c>
      <c r="V37" s="1211">
        <f>'Výdaje kapitol celkem'!AA69</f>
        <v>600000</v>
      </c>
      <c r="W37" s="1217">
        <f t="shared" si="3"/>
        <v>600000</v>
      </c>
      <c r="X37" s="1209"/>
    </row>
    <row r="38" spans="1:24" s="1263" customFormat="1" hidden="1" outlineLevel="1" x14ac:dyDescent="0.25">
      <c r="A38" s="3100"/>
      <c r="B38" s="1255"/>
      <c r="C38" s="1256" t="s">
        <v>138</v>
      </c>
      <c r="D38" s="1257"/>
      <c r="E38" s="1258"/>
      <c r="F38" s="1259"/>
      <c r="G38" s="1262"/>
      <c r="H38" s="1261"/>
      <c r="I38" s="1261"/>
      <c r="J38" s="1261"/>
      <c r="K38" s="1261"/>
      <c r="L38" s="1261"/>
      <c r="M38" s="1262"/>
      <c r="N38" s="1258"/>
      <c r="O38" s="1259"/>
      <c r="P38" s="1262"/>
      <c r="Q38" s="1261"/>
      <c r="R38" s="1262"/>
      <c r="S38" s="1258"/>
      <c r="T38" s="1262"/>
      <c r="U38" s="1211">
        <f t="shared" si="10"/>
        <v>0</v>
      </c>
      <c r="V38" s="1211">
        <f>'Výdaje kapitol celkem'!AH69</f>
        <v>0</v>
      </c>
      <c r="W38" s="1217">
        <f t="shared" si="3"/>
        <v>0</v>
      </c>
      <c r="X38" s="1209"/>
    </row>
    <row r="39" spans="1:24" s="1263" customFormat="1" hidden="1" outlineLevel="1" x14ac:dyDescent="0.25">
      <c r="A39" s="3100"/>
      <c r="B39" s="1255"/>
      <c r="C39" s="1256" t="s">
        <v>140</v>
      </c>
      <c r="D39" s="1257"/>
      <c r="E39" s="1258"/>
      <c r="F39" s="1259"/>
      <c r="G39" s="1262"/>
      <c r="H39" s="1261"/>
      <c r="I39" s="1261"/>
      <c r="J39" s="1261"/>
      <c r="K39" s="1261"/>
      <c r="L39" s="1261"/>
      <c r="M39" s="1262"/>
      <c r="N39" s="1258"/>
      <c r="O39" s="1259"/>
      <c r="P39" s="1262"/>
      <c r="Q39" s="1261"/>
      <c r="R39" s="1262"/>
      <c r="S39" s="1258"/>
      <c r="T39" s="1262"/>
      <c r="U39" s="1211">
        <f t="shared" si="10"/>
        <v>0</v>
      </c>
      <c r="V39" s="1211">
        <f>'Výdaje kapitol celkem'!AN69</f>
        <v>0</v>
      </c>
      <c r="W39" s="1217">
        <f t="shared" si="3"/>
        <v>0</v>
      </c>
      <c r="X39" s="1209"/>
    </row>
    <row r="40" spans="1:24" s="1263" customFormat="1" hidden="1" outlineLevel="1" x14ac:dyDescent="0.25">
      <c r="A40" s="3100"/>
      <c r="B40" s="1255"/>
      <c r="C40" s="1256" t="s">
        <v>1229</v>
      </c>
      <c r="D40" s="1257"/>
      <c r="E40" s="1258"/>
      <c r="F40" s="1259"/>
      <c r="G40" s="1262"/>
      <c r="H40" s="1261"/>
      <c r="I40" s="1261"/>
      <c r="J40" s="1261"/>
      <c r="K40" s="1261"/>
      <c r="L40" s="1261"/>
      <c r="M40" s="1262"/>
      <c r="N40" s="1258"/>
      <c r="O40" s="1259"/>
      <c r="P40" s="1262"/>
      <c r="Q40" s="1261"/>
      <c r="R40" s="1262"/>
      <c r="S40" s="1258"/>
      <c r="T40" s="1262"/>
      <c r="U40" s="1211">
        <f t="shared" si="10"/>
        <v>0</v>
      </c>
      <c r="V40" s="1211">
        <f>'Výdaje kapitol celkem'!L58+'Výdaje kapitol celkem'!L59+'Výdaje kapitol celkem'!L60+'Výdaje kapitol celkem'!L61+'Výdaje kapitol celkem'!L62+'Výdaje kapitol celkem'!L63+'Výdaje kapitol celkem'!L64+'Výdaje kapitol celkem'!L65+'Výdaje kapitol celkem'!L66</f>
        <v>45156633</v>
      </c>
      <c r="W40" s="1217">
        <f t="shared" si="3"/>
        <v>45156633</v>
      </c>
      <c r="X40" s="1209"/>
    </row>
    <row r="41" spans="1:24" s="1263" customFormat="1" hidden="1" outlineLevel="1" x14ac:dyDescent="0.25">
      <c r="A41" s="3100"/>
      <c r="B41" s="1255"/>
      <c r="C41" s="1256" t="s">
        <v>1230</v>
      </c>
      <c r="D41" s="1257"/>
      <c r="E41" s="1258"/>
      <c r="F41" s="1259"/>
      <c r="G41" s="1262"/>
      <c r="H41" s="1261"/>
      <c r="I41" s="1261"/>
      <c r="J41" s="1261"/>
      <c r="K41" s="1261"/>
      <c r="L41" s="1261"/>
      <c r="M41" s="1262"/>
      <c r="N41" s="1258"/>
      <c r="O41" s="1259"/>
      <c r="P41" s="1262"/>
      <c r="Q41" s="1261"/>
      <c r="R41" s="1262"/>
      <c r="S41" s="1258"/>
      <c r="T41" s="1262"/>
      <c r="U41" s="1211">
        <f t="shared" si="10"/>
        <v>0</v>
      </c>
      <c r="V41" s="1211">
        <f>'Výdaje kapitol celkem'!DJ69</f>
        <v>150000</v>
      </c>
      <c r="W41" s="1217">
        <f t="shared" si="3"/>
        <v>150000</v>
      </c>
      <c r="X41" s="1209"/>
    </row>
    <row r="42" spans="1:24" s="1263" customFormat="1" hidden="1" outlineLevel="1" x14ac:dyDescent="0.25">
      <c r="A42" s="3100"/>
      <c r="B42" s="1255"/>
      <c r="C42" s="1256" t="s">
        <v>293</v>
      </c>
      <c r="D42" s="1257"/>
      <c r="E42" s="1258"/>
      <c r="F42" s="1259"/>
      <c r="G42" s="1262"/>
      <c r="H42" s="1261"/>
      <c r="I42" s="1261"/>
      <c r="J42" s="1261"/>
      <c r="K42" s="1261"/>
      <c r="L42" s="1261"/>
      <c r="M42" s="1262"/>
      <c r="N42" s="1258"/>
      <c r="O42" s="1259"/>
      <c r="P42" s="1262"/>
      <c r="Q42" s="1261"/>
      <c r="R42" s="1262"/>
      <c r="S42" s="1258"/>
      <c r="T42" s="1262"/>
      <c r="U42" s="1211">
        <f t="shared" si="10"/>
        <v>0</v>
      </c>
      <c r="V42" s="1211">
        <f>'Výdaje kapitol celkem'!AT69</f>
        <v>4660000</v>
      </c>
      <c r="W42" s="1217">
        <f t="shared" si="3"/>
        <v>4660000</v>
      </c>
      <c r="X42" s="1209"/>
    </row>
    <row r="43" spans="1:24" s="1263" customFormat="1" hidden="1" outlineLevel="1" x14ac:dyDescent="0.25">
      <c r="A43" s="3100"/>
      <c r="B43" s="1255"/>
      <c r="C43" s="1256" t="s">
        <v>1178</v>
      </c>
      <c r="D43" s="1257"/>
      <c r="E43" s="1258"/>
      <c r="F43" s="1259"/>
      <c r="G43" s="1262"/>
      <c r="H43" s="1261"/>
      <c r="I43" s="1261"/>
      <c r="J43" s="1261"/>
      <c r="K43" s="1261"/>
      <c r="L43" s="1261"/>
      <c r="M43" s="1262"/>
      <c r="N43" s="1258"/>
      <c r="O43" s="1259"/>
      <c r="P43" s="1262"/>
      <c r="Q43" s="1261"/>
      <c r="R43" s="1262"/>
      <c r="S43" s="1258"/>
      <c r="T43" s="1262"/>
      <c r="U43" s="1211">
        <f t="shared" si="10"/>
        <v>0</v>
      </c>
      <c r="V43" s="1211">
        <f>'Výdaje kapitol celkem'!AW69</f>
        <v>0</v>
      </c>
      <c r="W43" s="1217">
        <f t="shared" si="3"/>
        <v>0</v>
      </c>
      <c r="X43" s="1209"/>
    </row>
    <row r="44" spans="1:24" s="1263" customFormat="1" hidden="1" outlineLevel="1" x14ac:dyDescent="0.25">
      <c r="A44" s="3100"/>
      <c r="B44" s="1255"/>
      <c r="C44" s="1256" t="s">
        <v>144</v>
      </c>
      <c r="D44" s="1257"/>
      <c r="E44" s="1258"/>
      <c r="F44" s="1259"/>
      <c r="G44" s="1262"/>
      <c r="H44" s="1261"/>
      <c r="I44" s="1261"/>
      <c r="J44" s="1261"/>
      <c r="K44" s="1261"/>
      <c r="L44" s="1261"/>
      <c r="M44" s="1262"/>
      <c r="N44" s="1258"/>
      <c r="O44" s="1259"/>
      <c r="P44" s="1262"/>
      <c r="Q44" s="1261"/>
      <c r="R44" s="1262"/>
      <c r="S44" s="1258"/>
      <c r="T44" s="1262"/>
      <c r="U44" s="1211">
        <f t="shared" si="10"/>
        <v>0</v>
      </c>
      <c r="V44" s="1211">
        <f>'Výdaje kapitol celkem'!BC69</f>
        <v>4098840</v>
      </c>
      <c r="W44" s="1217">
        <f t="shared" si="3"/>
        <v>4098840</v>
      </c>
      <c r="X44" s="1209"/>
    </row>
    <row r="45" spans="1:24" s="1263" customFormat="1" hidden="1" outlineLevel="1" x14ac:dyDescent="0.25">
      <c r="A45" s="3100"/>
      <c r="B45" s="1255"/>
      <c r="C45" s="1256" t="s">
        <v>942</v>
      </c>
      <c r="D45" s="1257"/>
      <c r="E45" s="1258"/>
      <c r="F45" s="1259"/>
      <c r="G45" s="1262"/>
      <c r="H45" s="1261"/>
      <c r="I45" s="1261"/>
      <c r="J45" s="1261"/>
      <c r="K45" s="1261"/>
      <c r="L45" s="1261"/>
      <c r="M45" s="1262"/>
      <c r="N45" s="1258"/>
      <c r="O45" s="1259"/>
      <c r="P45" s="1262"/>
      <c r="Q45" s="1261"/>
      <c r="R45" s="1262"/>
      <c r="S45" s="1258"/>
      <c r="T45" s="1262"/>
      <c r="U45" s="1211">
        <f t="shared" si="10"/>
        <v>0</v>
      </c>
      <c r="V45" s="1211">
        <f>'Výdaje kapitol celkem'!BY69</f>
        <v>430000</v>
      </c>
      <c r="W45" s="1217">
        <f t="shared" si="3"/>
        <v>430000</v>
      </c>
      <c r="X45" s="1209"/>
    </row>
    <row r="46" spans="1:24" s="1263" customFormat="1" hidden="1" outlineLevel="1" x14ac:dyDescent="0.25">
      <c r="A46" s="3100"/>
      <c r="B46" s="1255"/>
      <c r="C46" s="1256" t="s">
        <v>152</v>
      </c>
      <c r="D46" s="1257"/>
      <c r="E46" s="1258"/>
      <c r="F46" s="1259"/>
      <c r="G46" s="1262"/>
      <c r="H46" s="1261"/>
      <c r="I46" s="1261"/>
      <c r="J46" s="1261"/>
      <c r="K46" s="1261"/>
      <c r="L46" s="1261"/>
      <c r="M46" s="1262"/>
      <c r="N46" s="1258"/>
      <c r="O46" s="1259"/>
      <c r="P46" s="1262"/>
      <c r="Q46" s="1261"/>
      <c r="R46" s="1262"/>
      <c r="S46" s="1258"/>
      <c r="T46" s="1262"/>
      <c r="U46" s="1211">
        <f t="shared" si="10"/>
        <v>0</v>
      </c>
      <c r="V46" s="1211">
        <f>'Výdaje kapitol celkem'!CF69</f>
        <v>3513000</v>
      </c>
      <c r="W46" s="1217">
        <f t="shared" si="3"/>
        <v>3513000</v>
      </c>
      <c r="X46" s="1209"/>
    </row>
    <row r="47" spans="1:24" s="1263" customFormat="1" hidden="1" outlineLevel="1" x14ac:dyDescent="0.25">
      <c r="A47" s="3100"/>
      <c r="B47" s="1255"/>
      <c r="C47" s="1256" t="s">
        <v>1231</v>
      </c>
      <c r="D47" s="1257"/>
      <c r="E47" s="1258"/>
      <c r="F47" s="1259"/>
      <c r="G47" s="1262"/>
      <c r="H47" s="1261"/>
      <c r="I47" s="1261"/>
      <c r="J47" s="1261"/>
      <c r="K47" s="1261"/>
      <c r="L47" s="1261"/>
      <c r="M47" s="1262"/>
      <c r="N47" s="1258"/>
      <c r="O47" s="1259"/>
      <c r="P47" s="1262"/>
      <c r="Q47" s="1261"/>
      <c r="R47" s="1262"/>
      <c r="S47" s="1258"/>
      <c r="T47" s="1262"/>
      <c r="U47" s="1211">
        <f t="shared" si="10"/>
        <v>0</v>
      </c>
      <c r="V47" s="1211">
        <f>'Výdaje kapitol celkem'!CV69</f>
        <v>81793</v>
      </c>
      <c r="W47" s="1217">
        <f t="shared" si="3"/>
        <v>81793</v>
      </c>
      <c r="X47" s="1209"/>
    </row>
    <row r="48" spans="1:24" s="1263" customFormat="1" hidden="1" outlineLevel="1" x14ac:dyDescent="0.25">
      <c r="A48" s="3100"/>
      <c r="B48" s="1255"/>
      <c r="C48" s="1256" t="s">
        <v>154</v>
      </c>
      <c r="D48" s="1257"/>
      <c r="E48" s="1258"/>
      <c r="F48" s="1259"/>
      <c r="G48" s="1262"/>
      <c r="H48" s="1261"/>
      <c r="I48" s="1261"/>
      <c r="J48" s="1261"/>
      <c r="K48" s="1261"/>
      <c r="L48" s="1261"/>
      <c r="M48" s="1262"/>
      <c r="N48" s="1258"/>
      <c r="O48" s="1259"/>
      <c r="P48" s="1262"/>
      <c r="Q48" s="1261"/>
      <c r="R48" s="1262"/>
      <c r="S48" s="1258"/>
      <c r="T48" s="1262"/>
      <c r="U48" s="1211">
        <f t="shared" si="10"/>
        <v>0</v>
      </c>
      <c r="V48" s="1211">
        <f>'Výdaje kapitol celkem'!CP69</f>
        <v>12063940</v>
      </c>
      <c r="W48" s="1217">
        <f t="shared" si="3"/>
        <v>12063940</v>
      </c>
      <c r="X48" s="1209"/>
    </row>
    <row r="49" spans="1:24" s="1263" customFormat="1" hidden="1" outlineLevel="1" x14ac:dyDescent="0.25">
      <c r="A49" s="3100"/>
      <c r="B49" s="1255"/>
      <c r="C49" s="1256" t="s">
        <v>153</v>
      </c>
      <c r="D49" s="1257"/>
      <c r="E49" s="1258"/>
      <c r="F49" s="1259"/>
      <c r="G49" s="1262"/>
      <c r="H49" s="1261"/>
      <c r="I49" s="1261"/>
      <c r="J49" s="1261"/>
      <c r="K49" s="1261"/>
      <c r="L49" s="1261"/>
      <c r="M49" s="1262"/>
      <c r="N49" s="1258"/>
      <c r="O49" s="1259"/>
      <c r="P49" s="1262"/>
      <c r="Q49" s="1261"/>
      <c r="R49" s="1262"/>
      <c r="S49" s="1258"/>
      <c r="T49" s="1262"/>
      <c r="U49" s="1211">
        <f t="shared" si="10"/>
        <v>0</v>
      </c>
      <c r="V49" s="1211">
        <f>'Výdaje kapitol celkem'!CJ69</f>
        <v>350000</v>
      </c>
      <c r="W49" s="1217">
        <f t="shared" si="3"/>
        <v>350000</v>
      </c>
      <c r="X49" s="1209"/>
    </row>
    <row r="50" spans="1:24" s="1263" customFormat="1" hidden="1" outlineLevel="1" x14ac:dyDescent="0.25">
      <c r="A50" s="3100"/>
      <c r="B50" s="1255"/>
      <c r="C50" s="1265" t="s">
        <v>1232</v>
      </c>
      <c r="D50" s="1266"/>
      <c r="E50" s="1267"/>
      <c r="F50" s="1268"/>
      <c r="G50" s="1269"/>
      <c r="H50" s="1270"/>
      <c r="I50" s="1270"/>
      <c r="J50" s="1270"/>
      <c r="K50" s="1270"/>
      <c r="L50" s="1270"/>
      <c r="M50" s="1269"/>
      <c r="N50" s="1267"/>
      <c r="O50" s="1268"/>
      <c r="P50" s="1269"/>
      <c r="Q50" s="1270"/>
      <c r="R50" s="1269"/>
      <c r="S50" s="1267"/>
      <c r="T50" s="1269"/>
      <c r="U50" s="1211">
        <f t="shared" si="10"/>
        <v>0</v>
      </c>
      <c r="V50" s="1211">
        <f>'Výdaje kapitol celkem'!CB69</f>
        <v>913550</v>
      </c>
      <c r="W50" s="1217">
        <f t="shared" si="3"/>
        <v>913550</v>
      </c>
      <c r="X50" s="1209"/>
    </row>
    <row r="51" spans="1:24" s="1263" customFormat="1" ht="14.25" hidden="1" outlineLevel="1" thickBot="1" x14ac:dyDescent="0.3">
      <c r="A51" s="3100"/>
      <c r="B51" s="1271"/>
      <c r="C51" s="1256" t="s">
        <v>151</v>
      </c>
      <c r="D51" s="1257"/>
      <c r="E51" s="1258"/>
      <c r="F51" s="1259"/>
      <c r="G51" s="1262"/>
      <c r="H51" s="1261"/>
      <c r="I51" s="1261"/>
      <c r="J51" s="1261"/>
      <c r="K51" s="1261"/>
      <c r="L51" s="1261"/>
      <c r="M51" s="1262"/>
      <c r="N51" s="1258"/>
      <c r="O51" s="1259"/>
      <c r="P51" s="1262"/>
      <c r="Q51" s="1261"/>
      <c r="R51" s="1262"/>
      <c r="S51" s="1258"/>
      <c r="T51" s="1262"/>
      <c r="U51" s="1211">
        <f t="shared" si="10"/>
        <v>0</v>
      </c>
      <c r="V51" s="1211">
        <f>'Výdaje kapitol celkem'!CC69</f>
        <v>592000</v>
      </c>
      <c r="W51" s="1217">
        <f>+V51-U51</f>
        <v>592000</v>
      </c>
      <c r="X51" s="1209"/>
    </row>
    <row r="52" spans="1:24" s="1210" customFormat="1" ht="14.25" collapsed="1" thickBot="1" x14ac:dyDescent="0.3">
      <c r="A52" s="3101"/>
      <c r="B52" s="3086" t="s">
        <v>1242</v>
      </c>
      <c r="C52" s="3087"/>
      <c r="D52" s="2842">
        <f>D31-D33</f>
        <v>15471958.57</v>
      </c>
      <c r="E52" s="2849">
        <f t="shared" ref="E52:S52" si="11">E31-E33</f>
        <v>13788704.26</v>
      </c>
      <c r="F52" s="2850">
        <f t="shared" si="11"/>
        <v>26118431.259999998</v>
      </c>
      <c r="G52" s="2843">
        <f t="shared" si="11"/>
        <v>15378891.259999998</v>
      </c>
      <c r="H52" s="2851">
        <f t="shared" si="11"/>
        <v>17837466.259999998</v>
      </c>
      <c r="I52" s="2851">
        <f t="shared" si="11"/>
        <v>0</v>
      </c>
      <c r="J52" s="2851">
        <f t="shared" si="11"/>
        <v>0</v>
      </c>
      <c r="K52" s="2851">
        <f t="shared" si="11"/>
        <v>0</v>
      </c>
      <c r="L52" s="2851">
        <f t="shared" si="11"/>
        <v>0</v>
      </c>
      <c r="M52" s="2843">
        <f t="shared" si="11"/>
        <v>39995656.939999998</v>
      </c>
      <c r="N52" s="2849">
        <f t="shared" si="11"/>
        <v>44136594.619999997</v>
      </c>
      <c r="O52" s="2850">
        <f t="shared" si="11"/>
        <v>32202641.299999997</v>
      </c>
      <c r="P52" s="2843">
        <f t="shared" si="11"/>
        <v>37297535.979999997</v>
      </c>
      <c r="Q52" s="2851">
        <f t="shared" si="11"/>
        <v>34587282.659999996</v>
      </c>
      <c r="R52" s="2843">
        <f t="shared" si="11"/>
        <v>22108017.468334541</v>
      </c>
      <c r="S52" s="2849">
        <f t="shared" si="11"/>
        <v>19249944.434469841</v>
      </c>
      <c r="T52" s="2843">
        <f t="shared" ref="T52" si="12">T31-T33</f>
        <v>17466793.434469841</v>
      </c>
      <c r="U52" s="1211"/>
      <c r="V52" s="1211"/>
      <c r="W52" s="1217"/>
      <c r="X52" s="1209"/>
    </row>
    <row r="53" spans="1:24" s="1218" customFormat="1" x14ac:dyDescent="0.25">
      <c r="A53" s="3097"/>
      <c r="B53" s="1255"/>
      <c r="C53" s="1272" t="s">
        <v>2532</v>
      </c>
      <c r="D53" s="1232">
        <v>1409522</v>
      </c>
      <c r="E53" s="1235">
        <v>1409522</v>
      </c>
      <c r="F53" s="1236">
        <v>1975563</v>
      </c>
      <c r="G53" s="1233">
        <v>483346</v>
      </c>
      <c r="H53" s="1233">
        <v>11963752</v>
      </c>
      <c r="I53" s="1236"/>
      <c r="J53" s="1236"/>
      <c r="K53" s="1236"/>
      <c r="L53" s="1236"/>
      <c r="M53" s="1236">
        <v>6209169</v>
      </c>
      <c r="N53" s="1233">
        <v>483346</v>
      </c>
      <c r="O53" s="1233">
        <v>483346</v>
      </c>
      <c r="P53" s="1236">
        <v>1049386</v>
      </c>
      <c r="Q53" s="1233">
        <v>483346</v>
      </c>
      <c r="R53" s="1233">
        <v>1409522</v>
      </c>
      <c r="S53" s="1236">
        <v>1783151</v>
      </c>
      <c r="T53" s="1233"/>
      <c r="U53" s="1211">
        <f>+D53+E53+F53+G53+H53+M53+N53+O53+P53+Q53+R53+S53</f>
        <v>29142971</v>
      </c>
      <c r="V53" s="1211">
        <f>'Souhrn příjmů a výdajů 2024'!H187</f>
        <v>29142971</v>
      </c>
      <c r="W53" s="1217">
        <f>+V53-U53</f>
        <v>0</v>
      </c>
      <c r="X53" s="1209"/>
    </row>
    <row r="54" spans="1:24" s="1280" customFormat="1" x14ac:dyDescent="0.25">
      <c r="A54" s="3090"/>
      <c r="B54" s="1273"/>
      <c r="C54" s="1274" t="s">
        <v>471</v>
      </c>
      <c r="D54" s="1275"/>
      <c r="E54" s="1276"/>
      <c r="F54" s="1277"/>
      <c r="G54" s="1278"/>
      <c r="H54" s="1279">
        <v>8821500</v>
      </c>
      <c r="I54" s="1279"/>
      <c r="J54" s="1279"/>
      <c r="K54" s="1279"/>
      <c r="L54" s="1279"/>
      <c r="M54" s="1278"/>
      <c r="N54" s="1276">
        <v>5630869</v>
      </c>
      <c r="O54" s="1277"/>
      <c r="P54" s="1278"/>
      <c r="Q54" s="1279"/>
      <c r="R54" s="1278"/>
      <c r="S54" s="1276"/>
      <c r="T54" s="1278"/>
      <c r="U54" s="1211">
        <f>+D54+E54+F54+G54+H54+M54+N54+O54+P54+Q54+R54+S54</f>
        <v>14452369</v>
      </c>
      <c r="V54" s="1211"/>
      <c r="W54" s="1217">
        <f>+V54-U54</f>
        <v>-14452369</v>
      </c>
      <c r="X54" s="1209"/>
    </row>
    <row r="55" spans="1:24" s="1218" customFormat="1" ht="14.25" thickBot="1" x14ac:dyDescent="0.3">
      <c r="A55" s="3090"/>
      <c r="B55" s="1271"/>
      <c r="C55" s="1281" t="s">
        <v>472</v>
      </c>
      <c r="D55" s="1238">
        <v>4118544</v>
      </c>
      <c r="E55" s="1239">
        <v>0</v>
      </c>
      <c r="F55" s="1242">
        <v>12597028</v>
      </c>
      <c r="G55" s="1240"/>
      <c r="H55" s="1241">
        <v>2451994</v>
      </c>
      <c r="I55" s="1241"/>
      <c r="J55" s="1241"/>
      <c r="K55" s="1241"/>
      <c r="L55" s="1241"/>
      <c r="M55" s="1240">
        <v>5855823</v>
      </c>
      <c r="N55" s="1239">
        <v>721450</v>
      </c>
      <c r="O55" s="1242">
        <v>4152517</v>
      </c>
      <c r="P55" s="1240">
        <v>6999223</v>
      </c>
      <c r="Q55" s="1241">
        <v>6681222</v>
      </c>
      <c r="R55" s="1240"/>
      <c r="S55" s="1239"/>
      <c r="T55" s="1240"/>
      <c r="U55" s="1211">
        <f>+D55+E55+F55+G55+H55+M55+N55+O55+P55+Q55+R55+S55</f>
        <v>43577801</v>
      </c>
      <c r="V55" s="1211"/>
      <c r="W55" s="1217">
        <f t="shared" si="3"/>
        <v>-43577801</v>
      </c>
      <c r="X55" s="1209"/>
    </row>
    <row r="56" spans="1:24" s="1218" customFormat="1" ht="14.25" thickBot="1" x14ac:dyDescent="0.3">
      <c r="A56" s="3098"/>
      <c r="B56" s="3086" t="s">
        <v>1243</v>
      </c>
      <c r="C56" s="3092"/>
      <c r="D56" s="2844">
        <f>+D53+D54+D55</f>
        <v>5528066</v>
      </c>
      <c r="E56" s="2845">
        <f t="shared" ref="E56:F56" si="13">+E53+E54+E55</f>
        <v>1409522</v>
      </c>
      <c r="F56" s="2846">
        <f t="shared" si="13"/>
        <v>14572591</v>
      </c>
      <c r="G56" s="2847">
        <f>+G53+G54+G55</f>
        <v>483346</v>
      </c>
      <c r="H56" s="2848">
        <f>+H53+H54+H55+H55</f>
        <v>25689240</v>
      </c>
      <c r="I56" s="2848">
        <f t="shared" ref="I56:L56" si="14">+I53+I54+I55</f>
        <v>0</v>
      </c>
      <c r="J56" s="2848">
        <f t="shared" si="14"/>
        <v>0</v>
      </c>
      <c r="K56" s="2848">
        <f t="shared" si="14"/>
        <v>0</v>
      </c>
      <c r="L56" s="2848">
        <f t="shared" si="14"/>
        <v>0</v>
      </c>
      <c r="M56" s="2847">
        <f t="shared" ref="M56:O56" si="15">+M53+M54+M55</f>
        <v>12064992</v>
      </c>
      <c r="N56" s="2845">
        <f t="shared" si="15"/>
        <v>6835665</v>
      </c>
      <c r="O56" s="2846">
        <f t="shared" si="15"/>
        <v>4635863</v>
      </c>
      <c r="P56" s="2847">
        <f>+P53+P54+P55</f>
        <v>8048609</v>
      </c>
      <c r="Q56" s="2848">
        <f>+Q53+Q54+Q55</f>
        <v>7164568</v>
      </c>
      <c r="R56" s="2847">
        <f t="shared" ref="R56:S56" si="16">+R53+R54+R55</f>
        <v>1409522</v>
      </c>
      <c r="S56" s="2845">
        <f t="shared" si="16"/>
        <v>1783151</v>
      </c>
      <c r="T56" s="2847">
        <f>+T53+T54+T55</f>
        <v>0</v>
      </c>
      <c r="U56" s="1211">
        <f>+D56+E56+F56+G56+H56+M56+N56+O56+P56+Q56+R56+S56</f>
        <v>89625135</v>
      </c>
      <c r="V56" s="1211"/>
      <c r="W56" s="1217"/>
      <c r="X56" s="1209"/>
    </row>
    <row r="57" spans="1:24" s="1210" customFormat="1" ht="15.75" customHeight="1" thickBot="1" x14ac:dyDescent="0.3">
      <c r="A57" s="1282"/>
      <c r="B57" s="3093" t="s">
        <v>1244</v>
      </c>
      <c r="C57" s="3094"/>
      <c r="D57" s="2857">
        <f>D52-D56</f>
        <v>9943892.5700000003</v>
      </c>
      <c r="E57" s="2858">
        <f t="shared" ref="E57:T57" si="17">E52-E56</f>
        <v>12379182.26</v>
      </c>
      <c r="F57" s="2859">
        <f>F52-F56</f>
        <v>11545840.259999998</v>
      </c>
      <c r="G57" s="2860">
        <f t="shared" si="17"/>
        <v>14895545.259999998</v>
      </c>
      <c r="H57" s="2861">
        <f>H52-H53+H54+H55</f>
        <v>17147208.259999998</v>
      </c>
      <c r="I57" s="2861">
        <f t="shared" ref="I57:L57" si="18">I52-I56</f>
        <v>0</v>
      </c>
      <c r="J57" s="2861">
        <f t="shared" si="18"/>
        <v>0</v>
      </c>
      <c r="K57" s="2861">
        <f t="shared" si="18"/>
        <v>0</v>
      </c>
      <c r="L57" s="2861">
        <f t="shared" si="18"/>
        <v>0</v>
      </c>
      <c r="M57" s="2860">
        <f t="shared" si="17"/>
        <v>27930664.939999998</v>
      </c>
      <c r="N57" s="2858">
        <f t="shared" si="17"/>
        <v>37300929.619999997</v>
      </c>
      <c r="O57" s="2859">
        <f t="shared" si="17"/>
        <v>27566778.299999997</v>
      </c>
      <c r="P57" s="2860">
        <f>P52-P56</f>
        <v>29248926.979999997</v>
      </c>
      <c r="Q57" s="2861">
        <f t="shared" si="17"/>
        <v>27422714.659999996</v>
      </c>
      <c r="R57" s="2860">
        <f t="shared" si="17"/>
        <v>20698495.468334541</v>
      </c>
      <c r="S57" s="2858">
        <f t="shared" si="17"/>
        <v>17466793.434469841</v>
      </c>
      <c r="T57" s="2860">
        <f t="shared" si="17"/>
        <v>17466793.434469841</v>
      </c>
      <c r="U57" s="1211">
        <f>+D57+E57+F57+G57+H57+M57+N57+O57+P57+Q57+R57+S57</f>
        <v>253546972.01280436</v>
      </c>
      <c r="V57" s="1211"/>
      <c r="W57" s="1217"/>
      <c r="X57" s="1209"/>
    </row>
    <row r="58" spans="1:24" s="1263" customFormat="1" ht="14.25" thickBot="1" x14ac:dyDescent="0.3">
      <c r="A58" s="1283"/>
      <c r="B58" s="1284" t="s">
        <v>759</v>
      </c>
      <c r="C58" s="1285"/>
      <c r="D58" s="1286">
        <v>5000000</v>
      </c>
      <c r="E58" s="1287">
        <v>5000000</v>
      </c>
      <c r="F58" s="1287">
        <v>5000000</v>
      </c>
      <c r="G58" s="1287">
        <v>5000000</v>
      </c>
      <c r="H58" s="1287">
        <v>5000000</v>
      </c>
      <c r="I58" s="1287"/>
      <c r="J58" s="1287"/>
      <c r="K58" s="1287"/>
      <c r="L58" s="1287"/>
      <c r="M58" s="1288">
        <v>5000000</v>
      </c>
      <c r="N58" s="1287">
        <v>5000000</v>
      </c>
      <c r="O58" s="1287">
        <v>5000000</v>
      </c>
      <c r="P58" s="1287">
        <v>5000000</v>
      </c>
      <c r="Q58" s="1287">
        <v>5000000</v>
      </c>
      <c r="R58" s="1288">
        <v>5000000</v>
      </c>
      <c r="S58" s="1287">
        <v>5000000</v>
      </c>
      <c r="T58" s="1289">
        <v>5000000</v>
      </c>
      <c r="U58" s="1211"/>
      <c r="V58" s="1211"/>
      <c r="W58" s="1217"/>
      <c r="X58" s="1209"/>
    </row>
    <row r="59" spans="1:24" s="1210" customFormat="1" ht="15.75" customHeight="1" thickBot="1" x14ac:dyDescent="0.3">
      <c r="A59" s="1290"/>
      <c r="B59" s="3093" t="s">
        <v>1249</v>
      </c>
      <c r="C59" s="3094"/>
      <c r="D59" s="2857">
        <f t="shared" ref="D59:T59" si="19">+D57+D58</f>
        <v>14943892.57</v>
      </c>
      <c r="E59" s="2858">
        <f t="shared" si="19"/>
        <v>17379182.259999998</v>
      </c>
      <c r="F59" s="2859">
        <f t="shared" si="19"/>
        <v>16545840.259999998</v>
      </c>
      <c r="G59" s="2860">
        <f t="shared" si="19"/>
        <v>19895545.259999998</v>
      </c>
      <c r="H59" s="2861">
        <f t="shared" si="19"/>
        <v>22147208.259999998</v>
      </c>
      <c r="I59" s="2861">
        <f t="shared" si="19"/>
        <v>0</v>
      </c>
      <c r="J59" s="2861">
        <f t="shared" si="19"/>
        <v>0</v>
      </c>
      <c r="K59" s="2861">
        <f t="shared" si="19"/>
        <v>0</v>
      </c>
      <c r="L59" s="2861">
        <f t="shared" si="19"/>
        <v>0</v>
      </c>
      <c r="M59" s="2860">
        <f t="shared" si="19"/>
        <v>32930664.939999998</v>
      </c>
      <c r="N59" s="2858">
        <f t="shared" si="19"/>
        <v>42300929.619999997</v>
      </c>
      <c r="O59" s="2859">
        <f t="shared" si="19"/>
        <v>32566778.299999997</v>
      </c>
      <c r="P59" s="2860">
        <f t="shared" si="19"/>
        <v>34248926.979999997</v>
      </c>
      <c r="Q59" s="2861">
        <f t="shared" si="19"/>
        <v>32422714.659999996</v>
      </c>
      <c r="R59" s="2860">
        <f t="shared" si="19"/>
        <v>25698495.468334541</v>
      </c>
      <c r="S59" s="2858">
        <f t="shared" si="19"/>
        <v>22466793.434469841</v>
      </c>
      <c r="T59" s="2860">
        <f t="shared" si="19"/>
        <v>22466793.434469841</v>
      </c>
      <c r="U59" s="1211"/>
      <c r="V59" s="1211"/>
      <c r="W59" s="1217"/>
      <c r="X59" s="1209"/>
    </row>
    <row r="60" spans="1:24" s="963" customFormat="1" x14ac:dyDescent="0.25">
      <c r="A60" s="958"/>
      <c r="B60" s="958"/>
      <c r="C60" s="958" t="s">
        <v>235</v>
      </c>
      <c r="D60" s="960">
        <f>9943893-D57</f>
        <v>0.42999999970197678</v>
      </c>
      <c r="E60" s="960">
        <f>12379182-E57</f>
        <v>-0.25999999977648258</v>
      </c>
      <c r="F60" s="960">
        <f>10845772-F57</f>
        <v>-700068.25999999791</v>
      </c>
      <c r="G60" s="960">
        <f>11935335-G57</f>
        <v>-2960210.2599999979</v>
      </c>
      <c r="H60" s="960">
        <f>17147208-H57</f>
        <v>-0.25999999791383743</v>
      </c>
      <c r="I60" s="960"/>
      <c r="J60" s="960"/>
      <c r="K60" s="960"/>
      <c r="L60" s="960"/>
      <c r="M60" s="960">
        <f>27930665-M57</f>
        <v>6.0000002384185791E-2</v>
      </c>
      <c r="N60" s="960">
        <f>37300930-N57</f>
        <v>0.38000000268220901</v>
      </c>
      <c r="O60" s="960">
        <f>27566778-O57</f>
        <v>-0.29999999701976776</v>
      </c>
      <c r="P60" s="960">
        <f>29248927-P57</f>
        <v>2.0000003278255463E-2</v>
      </c>
      <c r="Q60" s="960">
        <f>27422715-Q57</f>
        <v>0.34000000357627869</v>
      </c>
      <c r="R60" s="960"/>
      <c r="S60" s="960"/>
      <c r="T60" s="958"/>
      <c r="U60" s="958"/>
      <c r="V60" s="958"/>
      <c r="W60" s="953"/>
      <c r="X60" s="958"/>
    </row>
    <row r="61" spans="1:24" s="966" customFormat="1" x14ac:dyDescent="0.25">
      <c r="A61" s="965" t="s">
        <v>544</v>
      </c>
      <c r="B61" s="965"/>
      <c r="C61" s="965"/>
      <c r="D61" s="960"/>
      <c r="E61" s="960"/>
      <c r="F61" s="960"/>
      <c r="G61" s="960"/>
      <c r="H61" s="960"/>
      <c r="I61" s="960"/>
      <c r="J61" s="960"/>
      <c r="K61" s="960"/>
      <c r="L61" s="960"/>
      <c r="M61" s="960"/>
      <c r="N61" s="960"/>
      <c r="O61" s="960"/>
      <c r="P61" s="960"/>
      <c r="Q61" s="960"/>
      <c r="R61" s="960"/>
      <c r="S61" s="960"/>
      <c r="T61" s="960"/>
      <c r="U61" s="960"/>
      <c r="V61" s="960"/>
      <c r="W61" s="962"/>
      <c r="X61" s="962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" style="648" bestFit="1" customWidth="1"/>
    <col min="2" max="2" width="12.28515625" style="648" customWidth="1"/>
    <col min="3" max="3" width="8.7109375" style="648"/>
    <col min="4" max="4" width="11.28515625" style="648" bestFit="1" customWidth="1"/>
    <col min="5" max="5" width="11" style="648" bestFit="1" customWidth="1"/>
    <col min="6" max="6" width="11.28515625" style="648" bestFit="1" customWidth="1"/>
    <col min="7" max="7" width="7.28515625" style="648" bestFit="1" customWidth="1"/>
    <col min="8" max="9" width="6.28515625" style="648" bestFit="1" customWidth="1"/>
    <col min="10" max="10" width="7" style="648" bestFit="1" customWidth="1"/>
    <col min="11" max="13" width="6.28515625" style="648" bestFit="1" customWidth="1"/>
    <col min="14" max="14" width="6.5703125" style="648" bestFit="1" customWidth="1"/>
    <col min="15" max="15" width="9" style="648" customWidth="1"/>
    <col min="16" max="16" width="11.7109375" style="648" bestFit="1" customWidth="1"/>
    <col min="17" max="17" width="10" style="649" bestFit="1" customWidth="1"/>
    <col min="18" max="18" width="10" style="648" bestFit="1" customWidth="1"/>
    <col min="19" max="19" width="9.85546875" style="648" customWidth="1"/>
    <col min="20" max="28" width="8.7109375" style="648"/>
    <col min="29" max="29" width="11.28515625" style="648" customWidth="1"/>
    <col min="30" max="30" width="16.7109375" style="648" customWidth="1"/>
    <col min="31" max="16384" width="8.7109375" style="648"/>
  </cols>
  <sheetData>
    <row r="1" spans="1:29" ht="12.75" thickBot="1" x14ac:dyDescent="0.25"/>
    <row r="2" spans="1:29" ht="12.75" thickBot="1" x14ac:dyDescent="0.25">
      <c r="D2" s="650" t="s">
        <v>1040</v>
      </c>
      <c r="E2" s="650" t="s">
        <v>1041</v>
      </c>
      <c r="F2" s="650" t="s">
        <v>1042</v>
      </c>
      <c r="G2" s="650" t="s">
        <v>1043</v>
      </c>
      <c r="H2" s="650" t="s">
        <v>1044</v>
      </c>
      <c r="I2" s="650" t="s">
        <v>1045</v>
      </c>
      <c r="J2" s="650" t="s">
        <v>1046</v>
      </c>
      <c r="K2" s="650" t="s">
        <v>1047</v>
      </c>
      <c r="L2" s="650" t="s">
        <v>1048</v>
      </c>
      <c r="M2" s="650" t="s">
        <v>1049</v>
      </c>
      <c r="N2" s="650" t="s">
        <v>1050</v>
      </c>
      <c r="O2" s="651" t="s">
        <v>1051</v>
      </c>
      <c r="P2" s="652" t="s">
        <v>598</v>
      </c>
      <c r="Q2" s="649" t="s">
        <v>609</v>
      </c>
      <c r="R2" s="648" t="s">
        <v>610</v>
      </c>
      <c r="S2" s="648" t="s">
        <v>611</v>
      </c>
      <c r="T2" s="648" t="s">
        <v>612</v>
      </c>
      <c r="U2" s="648" t="s">
        <v>613</v>
      </c>
      <c r="V2" s="648" t="s">
        <v>188</v>
      </c>
      <c r="W2" s="648" t="s">
        <v>189</v>
      </c>
      <c r="X2" s="648" t="s">
        <v>614</v>
      </c>
      <c r="Y2" s="648" t="s">
        <v>615</v>
      </c>
      <c r="Z2" s="648" t="s">
        <v>616</v>
      </c>
      <c r="AA2" s="648" t="s">
        <v>617</v>
      </c>
      <c r="AB2" s="648" t="s">
        <v>618</v>
      </c>
      <c r="AC2" s="648" t="s">
        <v>863</v>
      </c>
    </row>
    <row r="3" spans="1:29" x14ac:dyDescent="0.2">
      <c r="A3" s="3151" t="s">
        <v>1052</v>
      </c>
      <c r="B3" s="3153" t="s">
        <v>1053</v>
      </c>
      <c r="C3" s="653" t="s">
        <v>1054</v>
      </c>
      <c r="D3" s="654">
        <v>6407717</v>
      </c>
      <c r="E3" s="654">
        <v>6453103</v>
      </c>
      <c r="F3" s="654">
        <v>6518846</v>
      </c>
      <c r="G3" s="654"/>
      <c r="H3" s="654"/>
      <c r="I3" s="654"/>
      <c r="J3" s="654"/>
      <c r="K3" s="654"/>
      <c r="L3" s="654"/>
      <c r="M3" s="654"/>
      <c r="N3" s="654"/>
      <c r="O3" s="655"/>
      <c r="P3" s="656"/>
    </row>
    <row r="4" spans="1:29" x14ac:dyDescent="0.2">
      <c r="A4" s="3152"/>
      <c r="B4" s="3154"/>
      <c r="C4" s="657" t="s">
        <v>1055</v>
      </c>
      <c r="D4" s="658">
        <v>6453103</v>
      </c>
      <c r="E4" s="658">
        <v>6518846</v>
      </c>
      <c r="F4" s="658">
        <v>6586132</v>
      </c>
      <c r="G4" s="658"/>
      <c r="H4" s="658"/>
      <c r="I4" s="658"/>
      <c r="J4" s="658"/>
      <c r="K4" s="658"/>
      <c r="L4" s="658"/>
      <c r="M4" s="658"/>
      <c r="N4" s="658"/>
      <c r="O4" s="659"/>
      <c r="P4" s="660"/>
    </row>
    <row r="5" spans="1:29" x14ac:dyDescent="0.2">
      <c r="A5" s="3152"/>
      <c r="B5" s="3154"/>
      <c r="C5" s="657" t="s">
        <v>1056</v>
      </c>
      <c r="D5" s="658">
        <f>D4-D3</f>
        <v>45386</v>
      </c>
      <c r="E5" s="658">
        <f t="shared" ref="E5" si="0">E4-E3</f>
        <v>65743</v>
      </c>
      <c r="F5" s="658">
        <f>F4-F3</f>
        <v>67286</v>
      </c>
      <c r="G5" s="658">
        <f>G4-G3</f>
        <v>0</v>
      </c>
      <c r="H5" s="658">
        <f>H4-H3</f>
        <v>0</v>
      </c>
      <c r="I5" s="658">
        <f>SUM(I4-I3)</f>
        <v>0</v>
      </c>
      <c r="J5" s="658">
        <f>SUM(J4-J3)</f>
        <v>0</v>
      </c>
      <c r="K5" s="658">
        <f>SUM(K4-K3)</f>
        <v>0</v>
      </c>
      <c r="L5" s="658">
        <v>0</v>
      </c>
      <c r="M5" s="658">
        <f>SUM(M4-M3)</f>
        <v>0</v>
      </c>
      <c r="N5" s="658">
        <f>SUM(N4-N3)</f>
        <v>0</v>
      </c>
      <c r="O5" s="661">
        <v>0</v>
      </c>
      <c r="P5" s="662">
        <f>SUM(D5:O5)</f>
        <v>178415</v>
      </c>
      <c r="Q5" s="649">
        <v>52110</v>
      </c>
    </row>
    <row r="6" spans="1:29" x14ac:dyDescent="0.2">
      <c r="A6" s="3152"/>
      <c r="B6" s="3154"/>
      <c r="C6" s="657" t="s">
        <v>1057</v>
      </c>
      <c r="D6" s="663">
        <v>12.65</v>
      </c>
      <c r="E6" s="663">
        <v>12.65</v>
      </c>
      <c r="F6" s="663">
        <v>12.65</v>
      </c>
      <c r="G6" s="663">
        <v>12.65</v>
      </c>
      <c r="H6" s="663">
        <v>13</v>
      </c>
      <c r="I6" s="663">
        <v>13</v>
      </c>
      <c r="J6" s="663">
        <v>13</v>
      </c>
      <c r="K6" s="663">
        <v>13</v>
      </c>
      <c r="L6" s="663">
        <v>13</v>
      </c>
      <c r="M6" s="663">
        <v>13</v>
      </c>
      <c r="N6" s="663">
        <v>13</v>
      </c>
      <c r="O6" s="664">
        <v>13</v>
      </c>
      <c r="P6" s="660"/>
    </row>
    <row r="7" spans="1:29" ht="12.75" thickBot="1" x14ac:dyDescent="0.25">
      <c r="A7" s="3152"/>
      <c r="B7" s="3155"/>
      <c r="C7" s="665" t="s">
        <v>1058</v>
      </c>
      <c r="D7" s="666">
        <f>D5*D6</f>
        <v>574132.9</v>
      </c>
      <c r="E7" s="666">
        <f t="shared" ref="E7:O7" si="1">E5*E6</f>
        <v>831648.95000000007</v>
      </c>
      <c r="F7" s="666">
        <f>F5*F6</f>
        <v>851167.9</v>
      </c>
      <c r="G7" s="666">
        <f t="shared" si="1"/>
        <v>0</v>
      </c>
      <c r="H7" s="666">
        <f>H5*H6</f>
        <v>0</v>
      </c>
      <c r="I7" s="666">
        <f>SUM(I6*I5)</f>
        <v>0</v>
      </c>
      <c r="J7" s="666">
        <f t="shared" si="1"/>
        <v>0</v>
      </c>
      <c r="K7" s="666">
        <f>K5*K6</f>
        <v>0</v>
      </c>
      <c r="L7" s="666">
        <f t="shared" si="1"/>
        <v>0</v>
      </c>
      <c r="M7" s="666">
        <f t="shared" si="1"/>
        <v>0</v>
      </c>
      <c r="N7" s="666">
        <f t="shared" si="1"/>
        <v>0</v>
      </c>
      <c r="O7" s="667">
        <f t="shared" si="1"/>
        <v>0</v>
      </c>
      <c r="P7" s="668"/>
    </row>
    <row r="8" spans="1:29" x14ac:dyDescent="0.2">
      <c r="A8" s="3117" t="s">
        <v>1059</v>
      </c>
      <c r="B8" s="3156" t="s">
        <v>964</v>
      </c>
      <c r="C8" s="669" t="s">
        <v>1054</v>
      </c>
      <c r="D8" s="670">
        <v>253887</v>
      </c>
      <c r="E8" s="670">
        <v>256472</v>
      </c>
      <c r="F8" s="670">
        <v>258747</v>
      </c>
      <c r="G8" s="670">
        <f>F9</f>
        <v>261590</v>
      </c>
      <c r="H8" s="670">
        <f t="shared" ref="H8:O8" si="2">G9</f>
        <v>0</v>
      </c>
      <c r="I8" s="670">
        <f t="shared" si="2"/>
        <v>0</v>
      </c>
      <c r="J8" s="670">
        <f t="shared" si="2"/>
        <v>0</v>
      </c>
      <c r="K8" s="670">
        <f t="shared" si="2"/>
        <v>0</v>
      </c>
      <c r="L8" s="670">
        <f t="shared" si="2"/>
        <v>0</v>
      </c>
      <c r="M8" s="670">
        <f t="shared" si="2"/>
        <v>0</v>
      </c>
      <c r="N8" s="670">
        <f t="shared" si="2"/>
        <v>0</v>
      </c>
      <c r="O8" s="670">
        <f t="shared" si="2"/>
        <v>0</v>
      </c>
      <c r="P8" s="671"/>
      <c r="AC8" s="3159">
        <f>SUM(P15,P10)</f>
        <v>195272</v>
      </c>
    </row>
    <row r="9" spans="1:29" x14ac:dyDescent="0.2">
      <c r="A9" s="3118"/>
      <c r="B9" s="3157"/>
      <c r="C9" s="672" t="s">
        <v>1055</v>
      </c>
      <c r="D9" s="673">
        <v>256472</v>
      </c>
      <c r="E9" s="673">
        <v>258747</v>
      </c>
      <c r="F9" s="673">
        <v>261590</v>
      </c>
      <c r="G9" s="673"/>
      <c r="H9" s="673"/>
      <c r="I9" s="673"/>
      <c r="J9" s="673"/>
      <c r="K9" s="673"/>
      <c r="L9" s="673"/>
      <c r="M9" s="673"/>
      <c r="N9" s="673"/>
      <c r="O9" s="674"/>
      <c r="P9" s="662"/>
      <c r="AC9" s="3160"/>
    </row>
    <row r="10" spans="1:29" x14ac:dyDescent="0.2">
      <c r="A10" s="3118"/>
      <c r="B10" s="3157"/>
      <c r="C10" s="672" t="s">
        <v>1056</v>
      </c>
      <c r="D10" s="673">
        <f>D9-D8</f>
        <v>2585</v>
      </c>
      <c r="E10" s="673">
        <f t="shared" ref="E10:O10" si="3">E9-E8</f>
        <v>2275</v>
      </c>
      <c r="F10" s="673">
        <f>F9-F8</f>
        <v>2843</v>
      </c>
      <c r="G10" s="673">
        <v>0</v>
      </c>
      <c r="H10" s="673">
        <f t="shared" si="3"/>
        <v>0</v>
      </c>
      <c r="I10" s="673">
        <f>I9-I8</f>
        <v>0</v>
      </c>
      <c r="J10" s="673">
        <f t="shared" si="3"/>
        <v>0</v>
      </c>
      <c r="K10" s="673">
        <f t="shared" si="3"/>
        <v>0</v>
      </c>
      <c r="L10" s="673">
        <f t="shared" si="3"/>
        <v>0</v>
      </c>
      <c r="M10" s="673">
        <f t="shared" si="3"/>
        <v>0</v>
      </c>
      <c r="N10" s="673">
        <f t="shared" si="3"/>
        <v>0</v>
      </c>
      <c r="O10" s="674">
        <f t="shared" si="3"/>
        <v>0</v>
      </c>
      <c r="P10" s="675">
        <f>SUM(D10:O10)</f>
        <v>7703</v>
      </c>
      <c r="AC10" s="3160"/>
    </row>
    <row r="11" spans="1:29" x14ac:dyDescent="0.2">
      <c r="A11" s="3118"/>
      <c r="B11" s="3157"/>
      <c r="C11" s="672" t="s">
        <v>1057</v>
      </c>
      <c r="D11" s="676">
        <v>12.65</v>
      </c>
      <c r="E11" s="676">
        <v>12.65</v>
      </c>
      <c r="F11" s="676">
        <v>12.65</v>
      </c>
      <c r="G11" s="676">
        <v>12.65</v>
      </c>
      <c r="H11" s="676">
        <v>13</v>
      </c>
      <c r="I11" s="676">
        <v>13</v>
      </c>
      <c r="J11" s="676">
        <v>13</v>
      </c>
      <c r="K11" s="676">
        <v>13</v>
      </c>
      <c r="L11" s="676">
        <v>13</v>
      </c>
      <c r="M11" s="676">
        <v>13</v>
      </c>
      <c r="N11" s="676">
        <v>13</v>
      </c>
      <c r="O11" s="677">
        <v>13</v>
      </c>
      <c r="P11" s="662"/>
      <c r="AC11" s="3160"/>
    </row>
    <row r="12" spans="1:29" ht="12.75" thickBot="1" x14ac:dyDescent="0.25">
      <c r="A12" s="3118"/>
      <c r="B12" s="3158"/>
      <c r="C12" s="678" t="s">
        <v>1058</v>
      </c>
      <c r="D12" s="679">
        <f>D10*D11</f>
        <v>32700.25</v>
      </c>
      <c r="E12" s="679">
        <f t="shared" ref="E12:O12" si="4">E10*E11</f>
        <v>28778.75</v>
      </c>
      <c r="F12" s="679">
        <f t="shared" si="4"/>
        <v>35963.950000000004</v>
      </c>
      <c r="G12" s="679">
        <f t="shared" si="4"/>
        <v>0</v>
      </c>
      <c r="H12" s="679">
        <f t="shared" si="4"/>
        <v>0</v>
      </c>
      <c r="I12" s="679">
        <f t="shared" si="4"/>
        <v>0</v>
      </c>
      <c r="J12" s="679">
        <f>J10*J11</f>
        <v>0</v>
      </c>
      <c r="K12" s="679">
        <f t="shared" si="4"/>
        <v>0</v>
      </c>
      <c r="L12" s="679">
        <f t="shared" si="4"/>
        <v>0</v>
      </c>
      <c r="M12" s="679">
        <f t="shared" si="4"/>
        <v>0</v>
      </c>
      <c r="N12" s="679">
        <f t="shared" si="4"/>
        <v>0</v>
      </c>
      <c r="O12" s="680">
        <f t="shared" si="4"/>
        <v>0</v>
      </c>
      <c r="P12" s="681"/>
      <c r="AC12" s="3160"/>
    </row>
    <row r="13" spans="1:29" x14ac:dyDescent="0.2">
      <c r="A13" s="3118"/>
      <c r="B13" s="3162" t="s">
        <v>1060</v>
      </c>
      <c r="C13" s="682" t="s">
        <v>1054</v>
      </c>
      <c r="D13" s="673">
        <v>6182520</v>
      </c>
      <c r="E13" s="683">
        <v>6246547</v>
      </c>
      <c r="F13" s="683">
        <v>6304124</v>
      </c>
      <c r="G13" s="683">
        <f>F14</f>
        <v>6370089</v>
      </c>
      <c r="H13" s="683">
        <f t="shared" ref="H13:O13" si="5">G14</f>
        <v>0</v>
      </c>
      <c r="I13" s="683">
        <f t="shared" si="5"/>
        <v>0</v>
      </c>
      <c r="J13" s="683">
        <f t="shared" si="5"/>
        <v>0</v>
      </c>
      <c r="K13" s="683">
        <f t="shared" si="5"/>
        <v>0</v>
      </c>
      <c r="L13" s="683">
        <f t="shared" si="5"/>
        <v>0</v>
      </c>
      <c r="M13" s="683">
        <f t="shared" si="5"/>
        <v>0</v>
      </c>
      <c r="N13" s="683">
        <f t="shared" si="5"/>
        <v>0</v>
      </c>
      <c r="O13" s="683">
        <f t="shared" si="5"/>
        <v>0</v>
      </c>
      <c r="P13" s="671"/>
      <c r="AC13" s="3160"/>
    </row>
    <row r="14" spans="1:29" x14ac:dyDescent="0.2">
      <c r="A14" s="3118"/>
      <c r="B14" s="3163"/>
      <c r="C14" s="672" t="s">
        <v>1055</v>
      </c>
      <c r="D14" s="673">
        <v>6246547</v>
      </c>
      <c r="E14" s="673">
        <v>6304124</v>
      </c>
      <c r="F14" s="673">
        <v>6370089</v>
      </c>
      <c r="G14" s="673"/>
      <c r="H14" s="673"/>
      <c r="I14" s="673"/>
      <c r="J14" s="673"/>
      <c r="K14" s="673"/>
      <c r="L14" s="673"/>
      <c r="M14" s="673"/>
      <c r="N14" s="673"/>
      <c r="O14" s="674"/>
      <c r="P14" s="662"/>
      <c r="AC14" s="3160"/>
    </row>
    <row r="15" spans="1:29" x14ac:dyDescent="0.2">
      <c r="A15" s="3118"/>
      <c r="B15" s="3163"/>
      <c r="C15" s="672" t="s">
        <v>1056</v>
      </c>
      <c r="D15" s="673">
        <f>D14-D13</f>
        <v>64027</v>
      </c>
      <c r="E15" s="673">
        <f t="shared" ref="E15:O15" si="6">E14-E13</f>
        <v>57577</v>
      </c>
      <c r="F15" s="673">
        <f>F14-F13</f>
        <v>65965</v>
      </c>
      <c r="G15" s="673">
        <v>0</v>
      </c>
      <c r="H15" s="673">
        <f t="shared" si="6"/>
        <v>0</v>
      </c>
      <c r="I15" s="673">
        <f>I14-I13</f>
        <v>0</v>
      </c>
      <c r="J15" s="673">
        <f t="shared" si="6"/>
        <v>0</v>
      </c>
      <c r="K15" s="673">
        <f t="shared" si="6"/>
        <v>0</v>
      </c>
      <c r="L15" s="673">
        <f t="shared" si="6"/>
        <v>0</v>
      </c>
      <c r="M15" s="673">
        <f t="shared" si="6"/>
        <v>0</v>
      </c>
      <c r="N15" s="673">
        <f t="shared" si="6"/>
        <v>0</v>
      </c>
      <c r="O15" s="674">
        <f t="shared" si="6"/>
        <v>0</v>
      </c>
      <c r="P15" s="675">
        <f>SUM(D15:O15)</f>
        <v>187569</v>
      </c>
      <c r="Q15" s="684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3160"/>
    </row>
    <row r="16" spans="1:29" ht="14.65" customHeight="1" x14ac:dyDescent="0.2">
      <c r="A16" s="3118"/>
      <c r="B16" s="3163"/>
      <c r="C16" s="672" t="s">
        <v>1057</v>
      </c>
      <c r="D16" s="676">
        <v>16.62</v>
      </c>
      <c r="E16" s="676">
        <v>16.62</v>
      </c>
      <c r="F16" s="676">
        <v>16.62</v>
      </c>
      <c r="G16" s="676">
        <v>16.62</v>
      </c>
      <c r="H16" s="676">
        <v>17</v>
      </c>
      <c r="I16" s="676">
        <v>17</v>
      </c>
      <c r="J16" s="676">
        <v>17</v>
      </c>
      <c r="K16" s="676">
        <v>17</v>
      </c>
      <c r="L16" s="676">
        <v>17</v>
      </c>
      <c r="M16" s="676">
        <v>17</v>
      </c>
      <c r="N16" s="676">
        <v>17</v>
      </c>
      <c r="O16" s="677">
        <v>17</v>
      </c>
      <c r="P16" s="662"/>
      <c r="AC16" s="3160"/>
    </row>
    <row r="17" spans="1:29" ht="12.75" thickBot="1" x14ac:dyDescent="0.25">
      <c r="A17" s="3118"/>
      <c r="B17" s="3163"/>
      <c r="C17" s="672" t="s">
        <v>1058</v>
      </c>
      <c r="D17" s="676">
        <f>D15*D16</f>
        <v>1064128.74</v>
      </c>
      <c r="E17" s="676">
        <f t="shared" ref="E17:O17" si="7">E15*E16</f>
        <v>956929.74000000011</v>
      </c>
      <c r="F17" s="676">
        <f>F15*F16</f>
        <v>1096338.3</v>
      </c>
      <c r="G17" s="676">
        <f t="shared" si="7"/>
        <v>0</v>
      </c>
      <c r="H17" s="676">
        <f t="shared" si="7"/>
        <v>0</v>
      </c>
      <c r="I17" s="676">
        <f t="shared" si="7"/>
        <v>0</v>
      </c>
      <c r="J17" s="676">
        <f t="shared" si="7"/>
        <v>0</v>
      </c>
      <c r="K17" s="676">
        <f t="shared" si="7"/>
        <v>0</v>
      </c>
      <c r="L17" s="676">
        <f t="shared" si="7"/>
        <v>0</v>
      </c>
      <c r="M17" s="676">
        <f t="shared" si="7"/>
        <v>0</v>
      </c>
      <c r="N17" s="676">
        <f t="shared" si="7"/>
        <v>0</v>
      </c>
      <c r="O17" s="677">
        <f t="shared" si="7"/>
        <v>0</v>
      </c>
      <c r="P17" s="662"/>
      <c r="AC17" s="3161"/>
    </row>
    <row r="18" spans="1:29" ht="12.75" thickBot="1" x14ac:dyDescent="0.25">
      <c r="A18" s="686" t="s">
        <v>1061</v>
      </c>
      <c r="B18" s="687"/>
      <c r="C18" s="688"/>
      <c r="D18" s="689">
        <f>+D15+D10-D5</f>
        <v>21226</v>
      </c>
      <c r="E18" s="689">
        <f t="shared" ref="E18:O18" si="8">+E15+E10-E5</f>
        <v>-5891</v>
      </c>
      <c r="F18" s="689">
        <f t="shared" si="8"/>
        <v>1522</v>
      </c>
      <c r="G18" s="689">
        <f t="shared" si="8"/>
        <v>0</v>
      </c>
      <c r="H18" s="689">
        <f t="shared" si="8"/>
        <v>0</v>
      </c>
      <c r="I18" s="689">
        <f t="shared" si="8"/>
        <v>0</v>
      </c>
      <c r="J18" s="689">
        <f t="shared" si="8"/>
        <v>0</v>
      </c>
      <c r="K18" s="689">
        <f t="shared" si="8"/>
        <v>0</v>
      </c>
      <c r="L18" s="689">
        <f t="shared" si="8"/>
        <v>0</v>
      </c>
      <c r="M18" s="689">
        <f t="shared" si="8"/>
        <v>0</v>
      </c>
      <c r="N18" s="689">
        <f t="shared" si="8"/>
        <v>0</v>
      </c>
      <c r="O18" s="689">
        <f t="shared" si="8"/>
        <v>0</v>
      </c>
      <c r="P18" s="690"/>
      <c r="AC18" s="691"/>
    </row>
    <row r="19" spans="1:29" x14ac:dyDescent="0.2">
      <c r="A19" s="3131" t="s">
        <v>1052</v>
      </c>
      <c r="B19" s="3133" t="s">
        <v>1062</v>
      </c>
      <c r="C19" s="692" t="s">
        <v>1054</v>
      </c>
      <c r="D19" s="693">
        <v>3505992</v>
      </c>
      <c r="E19" s="693">
        <v>3549255</v>
      </c>
      <c r="F19" s="693">
        <f>E20</f>
        <v>3588926</v>
      </c>
      <c r="G19" s="693">
        <f t="shared" ref="G19:O19" si="9">F20</f>
        <v>3634738</v>
      </c>
      <c r="H19" s="693">
        <f t="shared" si="9"/>
        <v>0</v>
      </c>
      <c r="I19" s="693">
        <f t="shared" si="9"/>
        <v>0</v>
      </c>
      <c r="J19" s="693">
        <f t="shared" si="9"/>
        <v>0</v>
      </c>
      <c r="K19" s="693">
        <f t="shared" si="9"/>
        <v>0</v>
      </c>
      <c r="L19" s="693">
        <f t="shared" si="9"/>
        <v>0</v>
      </c>
      <c r="M19" s="693">
        <f t="shared" si="9"/>
        <v>0</v>
      </c>
      <c r="N19" s="693">
        <f t="shared" si="9"/>
        <v>0</v>
      </c>
      <c r="O19" s="693">
        <f t="shared" si="9"/>
        <v>0</v>
      </c>
      <c r="P19" s="662"/>
      <c r="AC19" s="694"/>
    </row>
    <row r="20" spans="1:29" x14ac:dyDescent="0.2">
      <c r="A20" s="3131"/>
      <c r="B20" s="3133"/>
      <c r="C20" s="692" t="s">
        <v>1055</v>
      </c>
      <c r="D20" s="693">
        <v>3549255</v>
      </c>
      <c r="E20" s="693">
        <v>3588926</v>
      </c>
      <c r="F20" s="693">
        <v>3634738</v>
      </c>
      <c r="G20" s="693"/>
      <c r="H20" s="693"/>
      <c r="I20" s="693"/>
      <c r="J20" s="693"/>
      <c r="K20" s="693"/>
      <c r="L20" s="693"/>
      <c r="M20" s="693"/>
      <c r="N20" s="693"/>
      <c r="O20" s="695"/>
      <c r="P20" s="662"/>
      <c r="AC20" s="696"/>
    </row>
    <row r="21" spans="1:29" x14ac:dyDescent="0.2">
      <c r="A21" s="3131"/>
      <c r="B21" s="3133"/>
      <c r="C21" s="692" t="s">
        <v>1056</v>
      </c>
      <c r="D21" s="693">
        <f>D20-D19</f>
        <v>43263</v>
      </c>
      <c r="E21" s="693">
        <f t="shared" ref="E21:O21" si="10">E20-E19</f>
        <v>39671</v>
      </c>
      <c r="F21" s="693">
        <f t="shared" si="10"/>
        <v>45812</v>
      </c>
      <c r="G21" s="693">
        <v>0</v>
      </c>
      <c r="H21" s="693">
        <f t="shared" si="10"/>
        <v>0</v>
      </c>
      <c r="I21" s="693">
        <f t="shared" si="10"/>
        <v>0</v>
      </c>
      <c r="J21" s="693">
        <f t="shared" si="10"/>
        <v>0</v>
      </c>
      <c r="K21" s="693">
        <f t="shared" si="10"/>
        <v>0</v>
      </c>
      <c r="L21" s="693">
        <f t="shared" si="10"/>
        <v>0</v>
      </c>
      <c r="M21" s="693">
        <f t="shared" si="10"/>
        <v>0</v>
      </c>
      <c r="N21" s="693">
        <f t="shared" si="10"/>
        <v>0</v>
      </c>
      <c r="O21" s="697">
        <f t="shared" si="10"/>
        <v>0</v>
      </c>
      <c r="P21" s="662">
        <f>SUM(D21:O21)</f>
        <v>128746</v>
      </c>
      <c r="AC21" s="696"/>
    </row>
    <row r="22" spans="1:29" x14ac:dyDescent="0.2">
      <c r="A22" s="3131"/>
      <c r="B22" s="3133"/>
      <c r="C22" s="692" t="s">
        <v>1057</v>
      </c>
      <c r="D22" s="698">
        <v>17.52</v>
      </c>
      <c r="E22" s="698">
        <v>17.52</v>
      </c>
      <c r="F22" s="698">
        <v>17.52</v>
      </c>
      <c r="G22" s="698">
        <v>17.52</v>
      </c>
      <c r="H22" s="698">
        <v>17.899999999999999</v>
      </c>
      <c r="I22" s="698">
        <v>17.899999999999999</v>
      </c>
      <c r="J22" s="698">
        <v>17.899999999999999</v>
      </c>
      <c r="K22" s="698">
        <v>17.899999999999999</v>
      </c>
      <c r="L22" s="698">
        <v>17.899999999999999</v>
      </c>
      <c r="M22" s="698">
        <v>17.899999999999999</v>
      </c>
      <c r="N22" s="698">
        <v>17.899999999999999</v>
      </c>
      <c r="O22" s="699">
        <v>17.899999999999999</v>
      </c>
      <c r="P22" s="662"/>
      <c r="AC22" s="696"/>
    </row>
    <row r="23" spans="1:29" ht="12.75" thickBot="1" x14ac:dyDescent="0.25">
      <c r="A23" s="3132"/>
      <c r="B23" s="3133"/>
      <c r="C23" s="692" t="s">
        <v>1058</v>
      </c>
      <c r="D23" s="698">
        <f>D21*D22</f>
        <v>757967.76</v>
      </c>
      <c r="E23" s="698">
        <f t="shared" ref="E23:O23" si="11">E21*E22</f>
        <v>695035.91999999993</v>
      </c>
      <c r="F23" s="698">
        <f>F21*F22</f>
        <v>802626.24</v>
      </c>
      <c r="G23" s="698">
        <f t="shared" si="11"/>
        <v>0</v>
      </c>
      <c r="H23" s="698">
        <f t="shared" si="11"/>
        <v>0</v>
      </c>
      <c r="I23" s="698">
        <f t="shared" si="11"/>
        <v>0</v>
      </c>
      <c r="J23" s="698">
        <f t="shared" si="11"/>
        <v>0</v>
      </c>
      <c r="K23" s="698">
        <f t="shared" si="11"/>
        <v>0</v>
      </c>
      <c r="L23" s="698">
        <f t="shared" si="11"/>
        <v>0</v>
      </c>
      <c r="M23" s="698">
        <f t="shared" si="11"/>
        <v>0</v>
      </c>
      <c r="N23" s="698">
        <f t="shared" si="11"/>
        <v>0</v>
      </c>
      <c r="O23" s="700">
        <f t="shared" si="11"/>
        <v>0</v>
      </c>
      <c r="P23" s="681"/>
      <c r="Q23" s="649">
        <f>+D23</f>
        <v>757967.76</v>
      </c>
      <c r="R23" s="701">
        <f t="shared" ref="R23:S23" si="12">+E23</f>
        <v>695035.91999999993</v>
      </c>
      <c r="S23" s="701">
        <f t="shared" si="12"/>
        <v>802626.24</v>
      </c>
      <c r="AC23" s="702">
        <f>SUM(Q23:AB23)</f>
        <v>2255629.92</v>
      </c>
    </row>
    <row r="24" spans="1:29" x14ac:dyDescent="0.2">
      <c r="A24" s="3134" t="s">
        <v>1059</v>
      </c>
      <c r="B24" s="3137" t="s">
        <v>1063</v>
      </c>
      <c r="C24" s="703" t="s">
        <v>1054</v>
      </c>
      <c r="D24" s="704">
        <v>119891</v>
      </c>
      <c r="E24" s="704">
        <v>121655</v>
      </c>
      <c r="F24" s="704">
        <v>123248</v>
      </c>
      <c r="G24" s="704"/>
      <c r="H24" s="704"/>
      <c r="I24" s="704"/>
      <c r="J24" s="704"/>
      <c r="K24" s="704"/>
      <c r="L24" s="704"/>
      <c r="M24" s="704"/>
      <c r="N24" s="704"/>
      <c r="O24" s="705"/>
      <c r="Q24" s="3140" t="s">
        <v>1064</v>
      </c>
      <c r="R24" s="3141"/>
      <c r="S24" s="3141"/>
      <c r="T24" s="3141"/>
      <c r="U24" s="3141"/>
      <c r="V24" s="3141"/>
      <c r="W24" s="3141"/>
      <c r="X24" s="3141"/>
      <c r="Y24" s="3141"/>
      <c r="Z24" s="3141"/>
      <c r="AA24" s="3141"/>
      <c r="AB24" s="3142"/>
    </row>
    <row r="25" spans="1:29" x14ac:dyDescent="0.2">
      <c r="A25" s="3135"/>
      <c r="B25" s="3138"/>
      <c r="C25" s="706" t="s">
        <v>1055</v>
      </c>
      <c r="D25" s="707">
        <v>121655</v>
      </c>
      <c r="E25" s="707">
        <v>123248</v>
      </c>
      <c r="F25" s="707">
        <v>125354</v>
      </c>
      <c r="G25" s="707"/>
      <c r="H25" s="707"/>
      <c r="I25" s="707"/>
      <c r="J25" s="707"/>
      <c r="K25" s="707"/>
      <c r="L25" s="707"/>
      <c r="M25" s="707"/>
      <c r="N25" s="707"/>
      <c r="O25" s="708"/>
      <c r="Q25" s="3143"/>
      <c r="R25" s="3144"/>
      <c r="S25" s="3144"/>
      <c r="T25" s="3144"/>
      <c r="U25" s="3144"/>
      <c r="V25" s="3144"/>
      <c r="W25" s="3144"/>
      <c r="X25" s="3144"/>
      <c r="Y25" s="3144"/>
      <c r="Z25" s="3144"/>
      <c r="AA25" s="3144"/>
      <c r="AB25" s="3145"/>
    </row>
    <row r="26" spans="1:29" x14ac:dyDescent="0.2">
      <c r="A26" s="3135"/>
      <c r="B26" s="3138"/>
      <c r="C26" s="706" t="s">
        <v>1056</v>
      </c>
      <c r="D26" s="707">
        <f>SUM(D25-D24)</f>
        <v>1764</v>
      </c>
      <c r="E26" s="707">
        <f t="shared" ref="E26:O26" si="13">SUM(E25-E24)</f>
        <v>1593</v>
      </c>
      <c r="F26" s="707">
        <f>SUM(F25-F24)</f>
        <v>2106</v>
      </c>
      <c r="G26" s="707">
        <f t="shared" si="13"/>
        <v>0</v>
      </c>
      <c r="H26" s="707">
        <f t="shared" si="13"/>
        <v>0</v>
      </c>
      <c r="I26" s="707">
        <f>SUM(I25-I24)</f>
        <v>0</v>
      </c>
      <c r="J26" s="707">
        <f t="shared" si="13"/>
        <v>0</v>
      </c>
      <c r="K26" s="707">
        <f t="shared" si="13"/>
        <v>0</v>
      </c>
      <c r="L26" s="707">
        <f t="shared" si="13"/>
        <v>0</v>
      </c>
      <c r="M26" s="707">
        <f t="shared" si="13"/>
        <v>0</v>
      </c>
      <c r="N26" s="707">
        <f t="shared" si="13"/>
        <v>0</v>
      </c>
      <c r="O26" s="709">
        <f t="shared" si="13"/>
        <v>0</v>
      </c>
      <c r="Q26" s="3143"/>
      <c r="R26" s="3144"/>
      <c r="S26" s="3144"/>
      <c r="T26" s="3144"/>
      <c r="U26" s="3144"/>
      <c r="V26" s="3144"/>
      <c r="W26" s="3144"/>
      <c r="X26" s="3144"/>
      <c r="Y26" s="3144"/>
      <c r="Z26" s="3144"/>
      <c r="AA26" s="3144"/>
      <c r="AB26" s="3145"/>
    </row>
    <row r="27" spans="1:29" x14ac:dyDescent="0.2">
      <c r="A27" s="3135"/>
      <c r="B27" s="3138"/>
      <c r="C27" s="706" t="s">
        <v>1057</v>
      </c>
      <c r="D27" s="710">
        <v>18.7</v>
      </c>
      <c r="E27" s="710">
        <v>18.7</v>
      </c>
      <c r="F27" s="710">
        <v>18.7</v>
      </c>
      <c r="G27" s="710">
        <v>18.7</v>
      </c>
      <c r="H27" s="710">
        <v>19.079999999999998</v>
      </c>
      <c r="I27" s="710">
        <v>19.079999999999998</v>
      </c>
      <c r="J27" s="710">
        <v>19.079999999999998</v>
      </c>
      <c r="K27" s="710">
        <v>19.079999999999998</v>
      </c>
      <c r="L27" s="710">
        <v>19.079999999999998</v>
      </c>
      <c r="M27" s="710">
        <v>19.079999999999998</v>
      </c>
      <c r="N27" s="710">
        <v>19.079999999999998</v>
      </c>
      <c r="O27" s="711">
        <v>19.079999999999998</v>
      </c>
      <c r="Q27" s="3143"/>
      <c r="R27" s="3144"/>
      <c r="S27" s="3144"/>
      <c r="T27" s="3144"/>
      <c r="U27" s="3144"/>
      <c r="V27" s="3144"/>
      <c r="W27" s="3144"/>
      <c r="X27" s="3144"/>
      <c r="Y27" s="3144"/>
      <c r="Z27" s="3144"/>
      <c r="AA27" s="3144"/>
      <c r="AB27" s="3145"/>
    </row>
    <row r="28" spans="1:29" x14ac:dyDescent="0.2">
      <c r="A28" s="3135"/>
      <c r="B28" s="3139"/>
      <c r="C28" s="712" t="s">
        <v>1058</v>
      </c>
      <c r="D28" s="713">
        <f>D26*D27</f>
        <v>32986.799999999996</v>
      </c>
      <c r="E28" s="713">
        <f t="shared" ref="E28:O28" si="14">E26*E27</f>
        <v>29789.1</v>
      </c>
      <c r="F28" s="713">
        <f>F26*F27</f>
        <v>39382.199999999997</v>
      </c>
      <c r="G28" s="713">
        <f t="shared" si="14"/>
        <v>0</v>
      </c>
      <c r="H28" s="713">
        <f t="shared" si="14"/>
        <v>0</v>
      </c>
      <c r="I28" s="713">
        <f t="shared" si="14"/>
        <v>0</v>
      </c>
      <c r="J28" s="713">
        <f t="shared" si="14"/>
        <v>0</v>
      </c>
      <c r="K28" s="713">
        <f t="shared" si="14"/>
        <v>0</v>
      </c>
      <c r="L28" s="713">
        <f t="shared" si="14"/>
        <v>0</v>
      </c>
      <c r="M28" s="713">
        <f t="shared" si="14"/>
        <v>0</v>
      </c>
      <c r="N28" s="713">
        <f t="shared" si="14"/>
        <v>0</v>
      </c>
      <c r="O28" s="714">
        <f t="shared" si="14"/>
        <v>0</v>
      </c>
      <c r="Q28" s="3143"/>
      <c r="R28" s="3144"/>
      <c r="S28" s="3144"/>
      <c r="T28" s="3144"/>
      <c r="U28" s="3144"/>
      <c r="V28" s="3144"/>
      <c r="W28" s="3144"/>
      <c r="X28" s="3144"/>
      <c r="Y28" s="3144"/>
      <c r="Z28" s="3144"/>
      <c r="AA28" s="3144"/>
      <c r="AB28" s="3145"/>
    </row>
    <row r="29" spans="1:29" x14ac:dyDescent="0.2">
      <c r="A29" s="3135"/>
      <c r="B29" s="3149" t="s">
        <v>1065</v>
      </c>
      <c r="C29" s="715" t="s">
        <v>1054</v>
      </c>
      <c r="D29" s="707">
        <v>13325</v>
      </c>
      <c r="E29" s="707">
        <v>16885</v>
      </c>
      <c r="F29" s="707">
        <v>19963</v>
      </c>
      <c r="G29" s="707">
        <f>F30</f>
        <v>23985</v>
      </c>
      <c r="H29" s="707">
        <f t="shared" ref="H29:O29" si="15">G30</f>
        <v>0</v>
      </c>
      <c r="I29" s="707">
        <f t="shared" si="15"/>
        <v>0</v>
      </c>
      <c r="J29" s="707">
        <f t="shared" si="15"/>
        <v>0</v>
      </c>
      <c r="K29" s="707">
        <f t="shared" si="15"/>
        <v>0</v>
      </c>
      <c r="L29" s="707">
        <f t="shared" si="15"/>
        <v>0</v>
      </c>
      <c r="M29" s="707">
        <f t="shared" si="15"/>
        <v>0</v>
      </c>
      <c r="N29" s="707">
        <f t="shared" si="15"/>
        <v>0</v>
      </c>
      <c r="O29" s="709">
        <f t="shared" si="15"/>
        <v>0</v>
      </c>
      <c r="Q29" s="3143"/>
      <c r="R29" s="3144"/>
      <c r="S29" s="3144"/>
      <c r="T29" s="3144"/>
      <c r="U29" s="3144"/>
      <c r="V29" s="3144"/>
      <c r="W29" s="3144"/>
      <c r="X29" s="3144"/>
      <c r="Y29" s="3144"/>
      <c r="Z29" s="3144"/>
      <c r="AA29" s="3144"/>
      <c r="AB29" s="3145"/>
    </row>
    <row r="30" spans="1:29" x14ac:dyDescent="0.2">
      <c r="A30" s="3135"/>
      <c r="B30" s="3138"/>
      <c r="C30" s="706" t="s">
        <v>1055</v>
      </c>
      <c r="D30" s="707">
        <v>16885</v>
      </c>
      <c r="E30" s="707">
        <v>19963</v>
      </c>
      <c r="F30" s="707">
        <v>23985</v>
      </c>
      <c r="G30" s="707"/>
      <c r="H30" s="707"/>
      <c r="I30" s="707"/>
      <c r="J30" s="707"/>
      <c r="K30" s="707"/>
      <c r="L30" s="707"/>
      <c r="M30" s="707"/>
      <c r="N30" s="707"/>
      <c r="O30" s="708"/>
      <c r="Q30" s="3143"/>
      <c r="R30" s="3144"/>
      <c r="S30" s="3144"/>
      <c r="T30" s="3144"/>
      <c r="U30" s="3144"/>
      <c r="V30" s="3144"/>
      <c r="W30" s="3144"/>
      <c r="X30" s="3144"/>
      <c r="Y30" s="3144"/>
      <c r="Z30" s="3144"/>
      <c r="AA30" s="3144"/>
      <c r="AB30" s="3145"/>
    </row>
    <row r="31" spans="1:29" x14ac:dyDescent="0.2">
      <c r="A31" s="3135"/>
      <c r="B31" s="3138"/>
      <c r="C31" s="706" t="s">
        <v>1056</v>
      </c>
      <c r="D31" s="707">
        <f>SUM(D30-D29)</f>
        <v>3560</v>
      </c>
      <c r="E31" s="707">
        <f t="shared" ref="E31:O31" si="16">SUM(E30-E29)</f>
        <v>3078</v>
      </c>
      <c r="F31" s="707">
        <f>SUM(F30-F29)</f>
        <v>4022</v>
      </c>
      <c r="G31" s="707">
        <v>0</v>
      </c>
      <c r="H31" s="707">
        <f t="shared" si="16"/>
        <v>0</v>
      </c>
      <c r="I31" s="707">
        <f>SUM(I30-I29)</f>
        <v>0</v>
      </c>
      <c r="J31" s="707">
        <f t="shared" si="16"/>
        <v>0</v>
      </c>
      <c r="K31" s="707">
        <f t="shared" si="16"/>
        <v>0</v>
      </c>
      <c r="L31" s="707">
        <f t="shared" si="16"/>
        <v>0</v>
      </c>
      <c r="M31" s="707">
        <f t="shared" si="16"/>
        <v>0</v>
      </c>
      <c r="N31" s="707">
        <f t="shared" si="16"/>
        <v>0</v>
      </c>
      <c r="O31" s="709">
        <f t="shared" si="16"/>
        <v>0</v>
      </c>
      <c r="Q31" s="3143"/>
      <c r="R31" s="3144"/>
      <c r="S31" s="3144"/>
      <c r="T31" s="3144"/>
      <c r="U31" s="3144"/>
      <c r="V31" s="3144"/>
      <c r="W31" s="3144"/>
      <c r="X31" s="3144"/>
      <c r="Y31" s="3144"/>
      <c r="Z31" s="3144"/>
      <c r="AA31" s="3144"/>
      <c r="AB31" s="3145"/>
    </row>
    <row r="32" spans="1:29" x14ac:dyDescent="0.2">
      <c r="A32" s="3135"/>
      <c r="B32" s="3138"/>
      <c r="C32" s="706" t="s">
        <v>1057</v>
      </c>
      <c r="D32" s="710">
        <v>18.7</v>
      </c>
      <c r="E32" s="710">
        <v>18.7</v>
      </c>
      <c r="F32" s="710">
        <v>18.7</v>
      </c>
      <c r="G32" s="710">
        <v>18.7</v>
      </c>
      <c r="H32" s="710">
        <v>19.079999999999998</v>
      </c>
      <c r="I32" s="710">
        <v>19.079999999999998</v>
      </c>
      <c r="J32" s="710">
        <v>19.079999999999998</v>
      </c>
      <c r="K32" s="710">
        <v>19.079999999999998</v>
      </c>
      <c r="L32" s="710">
        <v>19.079999999999998</v>
      </c>
      <c r="M32" s="710">
        <v>19.079999999999998</v>
      </c>
      <c r="N32" s="710">
        <v>19.079999999999998</v>
      </c>
      <c r="O32" s="711">
        <v>19.079999999999998</v>
      </c>
      <c r="Q32" s="3143"/>
      <c r="R32" s="3144"/>
      <c r="S32" s="3144"/>
      <c r="T32" s="3144"/>
      <c r="U32" s="3144"/>
      <c r="V32" s="3144"/>
      <c r="W32" s="3144"/>
      <c r="X32" s="3144"/>
      <c r="Y32" s="3144"/>
      <c r="Z32" s="3144"/>
      <c r="AA32" s="3144"/>
      <c r="AB32" s="3145"/>
    </row>
    <row r="33" spans="1:31" x14ac:dyDescent="0.2">
      <c r="A33" s="3135"/>
      <c r="B33" s="3139"/>
      <c r="C33" s="712" t="s">
        <v>1058</v>
      </c>
      <c r="D33" s="713">
        <f>D31*D32</f>
        <v>66572</v>
      </c>
      <c r="E33" s="713">
        <f t="shared" ref="E33:O33" si="17">E31*E32</f>
        <v>57558.6</v>
      </c>
      <c r="F33" s="713">
        <f>F31*F32</f>
        <v>75211.399999999994</v>
      </c>
      <c r="G33" s="713">
        <f t="shared" si="17"/>
        <v>0</v>
      </c>
      <c r="H33" s="713">
        <f t="shared" si="17"/>
        <v>0</v>
      </c>
      <c r="I33" s="713">
        <f t="shared" si="17"/>
        <v>0</v>
      </c>
      <c r="J33" s="713">
        <f t="shared" si="17"/>
        <v>0</v>
      </c>
      <c r="K33" s="713">
        <f t="shared" si="17"/>
        <v>0</v>
      </c>
      <c r="L33" s="713">
        <f t="shared" si="17"/>
        <v>0</v>
      </c>
      <c r="M33" s="713">
        <f t="shared" si="17"/>
        <v>0</v>
      </c>
      <c r="N33" s="713">
        <f t="shared" si="17"/>
        <v>0</v>
      </c>
      <c r="O33" s="714">
        <f t="shared" si="17"/>
        <v>0</v>
      </c>
      <c r="Q33" s="3143"/>
      <c r="R33" s="3144"/>
      <c r="S33" s="3144"/>
      <c r="T33" s="3144"/>
      <c r="U33" s="3144"/>
      <c r="V33" s="3144"/>
      <c r="W33" s="3144"/>
      <c r="X33" s="3144"/>
      <c r="Y33" s="3144"/>
      <c r="Z33" s="3144"/>
      <c r="AA33" s="3144"/>
      <c r="AB33" s="3145"/>
    </row>
    <row r="34" spans="1:31" ht="15" customHeight="1" x14ac:dyDescent="0.2">
      <c r="A34" s="3135"/>
      <c r="B34" s="3149" t="s">
        <v>1066</v>
      </c>
      <c r="C34" s="715" t="s">
        <v>1054</v>
      </c>
      <c r="D34" s="707"/>
      <c r="E34" s="707">
        <v>0</v>
      </c>
      <c r="F34" s="707">
        <v>197</v>
      </c>
      <c r="G34" s="707">
        <v>335</v>
      </c>
      <c r="H34" s="707"/>
      <c r="I34" s="707"/>
      <c r="J34" s="707"/>
      <c r="K34" s="707"/>
      <c r="L34" s="707"/>
      <c r="M34" s="707"/>
      <c r="N34" s="707"/>
      <c r="O34" s="709"/>
      <c r="Q34" s="3143"/>
      <c r="R34" s="3144"/>
      <c r="S34" s="3144"/>
      <c r="T34" s="3144"/>
      <c r="U34" s="3144"/>
      <c r="V34" s="3144"/>
      <c r="W34" s="3144"/>
      <c r="X34" s="3144"/>
      <c r="Y34" s="3144"/>
      <c r="Z34" s="3144"/>
      <c r="AA34" s="3144"/>
      <c r="AB34" s="3145"/>
    </row>
    <row r="35" spans="1:31" x14ac:dyDescent="0.2">
      <c r="A35" s="3135"/>
      <c r="B35" s="3138"/>
      <c r="C35" s="706" t="s">
        <v>1055</v>
      </c>
      <c r="D35" s="707"/>
      <c r="E35" s="707">
        <v>107</v>
      </c>
      <c r="F35" s="707">
        <v>335</v>
      </c>
      <c r="G35" s="707"/>
      <c r="H35" s="707"/>
      <c r="I35" s="707"/>
      <c r="J35" s="707"/>
      <c r="K35" s="707"/>
      <c r="L35" s="707"/>
      <c r="M35" s="707"/>
      <c r="N35" s="707"/>
      <c r="O35" s="708"/>
      <c r="Q35" s="3143"/>
      <c r="R35" s="3144"/>
      <c r="S35" s="3144"/>
      <c r="T35" s="3144"/>
      <c r="U35" s="3144"/>
      <c r="V35" s="3144"/>
      <c r="W35" s="3144"/>
      <c r="X35" s="3144"/>
      <c r="Y35" s="3144"/>
      <c r="Z35" s="3144"/>
      <c r="AA35" s="3144"/>
      <c r="AB35" s="3145"/>
    </row>
    <row r="36" spans="1:31" x14ac:dyDescent="0.2">
      <c r="A36" s="3135"/>
      <c r="B36" s="3138"/>
      <c r="C36" s="706" t="s">
        <v>1056</v>
      </c>
      <c r="D36" s="707"/>
      <c r="E36" s="707">
        <f t="shared" ref="E36" si="18">SUM(E35-E34)</f>
        <v>107</v>
      </c>
      <c r="F36" s="707">
        <f>SUM(F35-F34)</f>
        <v>138</v>
      </c>
      <c r="G36" s="707">
        <v>0</v>
      </c>
      <c r="H36" s="707">
        <f t="shared" ref="H36" si="19">SUM(H35-H34)</f>
        <v>0</v>
      </c>
      <c r="I36" s="707">
        <f>SUM(I35-I34)</f>
        <v>0</v>
      </c>
      <c r="J36" s="707">
        <f t="shared" ref="J36:O36" si="20">SUM(J35-J34)</f>
        <v>0</v>
      </c>
      <c r="K36" s="707">
        <f t="shared" si="20"/>
        <v>0</v>
      </c>
      <c r="L36" s="707">
        <f t="shared" si="20"/>
        <v>0</v>
      </c>
      <c r="M36" s="707">
        <f t="shared" si="20"/>
        <v>0</v>
      </c>
      <c r="N36" s="707">
        <f t="shared" si="20"/>
        <v>0</v>
      </c>
      <c r="O36" s="709">
        <f t="shared" si="20"/>
        <v>0</v>
      </c>
      <c r="Q36" s="3143"/>
      <c r="R36" s="3144"/>
      <c r="S36" s="3144"/>
      <c r="T36" s="3144"/>
      <c r="U36" s="3144"/>
      <c r="V36" s="3144"/>
      <c r="W36" s="3144"/>
      <c r="X36" s="3144"/>
      <c r="Y36" s="3144"/>
      <c r="Z36" s="3144"/>
      <c r="AA36" s="3144"/>
      <c r="AB36" s="3145"/>
    </row>
    <row r="37" spans="1:31" x14ac:dyDescent="0.2">
      <c r="A37" s="3135"/>
      <c r="B37" s="3138"/>
      <c r="C37" s="706" t="s">
        <v>1057</v>
      </c>
      <c r="D37" s="710"/>
      <c r="E37" s="710">
        <v>18.7</v>
      </c>
      <c r="F37" s="710">
        <v>18.7</v>
      </c>
      <c r="G37" s="710">
        <v>18.7</v>
      </c>
      <c r="H37" s="710">
        <v>19.079999999999998</v>
      </c>
      <c r="I37" s="710">
        <v>19.079999999999998</v>
      </c>
      <c r="J37" s="710">
        <v>19.079999999999998</v>
      </c>
      <c r="K37" s="710">
        <v>19.079999999999998</v>
      </c>
      <c r="L37" s="710">
        <v>19.079999999999998</v>
      </c>
      <c r="M37" s="710">
        <v>19.079999999999998</v>
      </c>
      <c r="N37" s="710">
        <v>19.079999999999998</v>
      </c>
      <c r="O37" s="711">
        <v>19.079999999999998</v>
      </c>
      <c r="Q37" s="3143"/>
      <c r="R37" s="3144"/>
      <c r="S37" s="3144"/>
      <c r="T37" s="3144"/>
      <c r="U37" s="3144"/>
      <c r="V37" s="3144"/>
      <c r="W37" s="3144"/>
      <c r="X37" s="3144"/>
      <c r="Y37" s="3144"/>
      <c r="Z37" s="3144"/>
      <c r="AA37" s="3144"/>
      <c r="AB37" s="3145"/>
    </row>
    <row r="38" spans="1:31" x14ac:dyDescent="0.2">
      <c r="A38" s="3135"/>
      <c r="B38" s="3139"/>
      <c r="C38" s="712" t="s">
        <v>1058</v>
      </c>
      <c r="D38" s="713"/>
      <c r="E38" s="713">
        <f t="shared" ref="E38" si="21">E36*E37</f>
        <v>2000.8999999999999</v>
      </c>
      <c r="F38" s="713">
        <f>F36*F37</f>
        <v>2580.6</v>
      </c>
      <c r="G38" s="713">
        <f t="shared" ref="G38:O38" si="22">G36*G37</f>
        <v>0</v>
      </c>
      <c r="H38" s="713">
        <f t="shared" si="22"/>
        <v>0</v>
      </c>
      <c r="I38" s="713">
        <f t="shared" si="22"/>
        <v>0</v>
      </c>
      <c r="J38" s="713">
        <f t="shared" si="22"/>
        <v>0</v>
      </c>
      <c r="K38" s="713">
        <f t="shared" si="22"/>
        <v>0</v>
      </c>
      <c r="L38" s="713">
        <f t="shared" si="22"/>
        <v>0</v>
      </c>
      <c r="M38" s="713">
        <f t="shared" si="22"/>
        <v>0</v>
      </c>
      <c r="N38" s="713">
        <f t="shared" si="22"/>
        <v>0</v>
      </c>
      <c r="O38" s="714">
        <f t="shared" si="22"/>
        <v>0</v>
      </c>
      <c r="Q38" s="3143"/>
      <c r="R38" s="3144"/>
      <c r="S38" s="3144"/>
      <c r="T38" s="3144"/>
      <c r="U38" s="3144"/>
      <c r="V38" s="3144"/>
      <c r="W38" s="3144"/>
      <c r="X38" s="3144"/>
      <c r="Y38" s="3144"/>
      <c r="Z38" s="3144"/>
      <c r="AA38" s="3144"/>
      <c r="AB38" s="3145"/>
    </row>
    <row r="39" spans="1:31" x14ac:dyDescent="0.2">
      <c r="A39" s="3135"/>
      <c r="B39" s="3149" t="s">
        <v>1067</v>
      </c>
      <c r="C39" s="715" t="s">
        <v>1054</v>
      </c>
      <c r="D39" s="707"/>
      <c r="E39" s="707">
        <v>0</v>
      </c>
      <c r="F39" s="707">
        <v>266</v>
      </c>
      <c r="G39" s="707">
        <v>463</v>
      </c>
      <c r="H39" s="707"/>
      <c r="I39" s="707"/>
      <c r="J39" s="707"/>
      <c r="K39" s="707"/>
      <c r="L39" s="707"/>
      <c r="M39" s="707"/>
      <c r="N39" s="707"/>
      <c r="O39" s="709"/>
      <c r="Q39" s="3143"/>
      <c r="R39" s="3144"/>
      <c r="S39" s="3144"/>
      <c r="T39" s="3144"/>
      <c r="U39" s="3144"/>
      <c r="V39" s="3144"/>
      <c r="W39" s="3144"/>
      <c r="X39" s="3144"/>
      <c r="Y39" s="3144"/>
      <c r="Z39" s="3144"/>
      <c r="AA39" s="3144"/>
      <c r="AB39" s="3145"/>
    </row>
    <row r="40" spans="1:31" x14ac:dyDescent="0.2">
      <c r="A40" s="3135"/>
      <c r="B40" s="3138"/>
      <c r="C40" s="706" t="s">
        <v>1055</v>
      </c>
      <c r="D40" s="707"/>
      <c r="E40" s="707">
        <v>137</v>
      </c>
      <c r="F40" s="707">
        <v>463</v>
      </c>
      <c r="G40" s="707"/>
      <c r="H40" s="707"/>
      <c r="I40" s="707"/>
      <c r="J40" s="707"/>
      <c r="K40" s="707"/>
      <c r="L40" s="707"/>
      <c r="M40" s="707"/>
      <c r="N40" s="707"/>
      <c r="O40" s="708"/>
      <c r="Q40" s="3143"/>
      <c r="R40" s="3144"/>
      <c r="S40" s="3144"/>
      <c r="T40" s="3144"/>
      <c r="U40" s="3144"/>
      <c r="V40" s="3144"/>
      <c r="W40" s="3144"/>
      <c r="X40" s="3144"/>
      <c r="Y40" s="3144"/>
      <c r="Z40" s="3144"/>
      <c r="AA40" s="3144"/>
      <c r="AB40" s="3145"/>
    </row>
    <row r="41" spans="1:31" ht="12.75" thickBot="1" x14ac:dyDescent="0.25">
      <c r="A41" s="3135"/>
      <c r="B41" s="3138"/>
      <c r="C41" s="706" t="s">
        <v>1056</v>
      </c>
      <c r="D41" s="707"/>
      <c r="E41" s="707">
        <f t="shared" ref="E41" si="23">SUM(E40-E39)</f>
        <v>137</v>
      </c>
      <c r="F41" s="707">
        <f>SUM(F40-F39)</f>
        <v>197</v>
      </c>
      <c r="G41" s="707">
        <v>0</v>
      </c>
      <c r="H41" s="707">
        <f t="shared" ref="H41" si="24">SUM(H40-H39)</f>
        <v>0</v>
      </c>
      <c r="I41" s="707">
        <f>SUM(I40-I39)</f>
        <v>0</v>
      </c>
      <c r="J41" s="707">
        <f t="shared" ref="J41:O41" si="25">SUM(J40-J39)</f>
        <v>0</v>
      </c>
      <c r="K41" s="707">
        <f t="shared" si="25"/>
        <v>0</v>
      </c>
      <c r="L41" s="707">
        <f t="shared" si="25"/>
        <v>0</v>
      </c>
      <c r="M41" s="707">
        <f t="shared" si="25"/>
        <v>0</v>
      </c>
      <c r="N41" s="707">
        <f t="shared" si="25"/>
        <v>0</v>
      </c>
      <c r="O41" s="709">
        <f t="shared" si="25"/>
        <v>0</v>
      </c>
      <c r="Q41" s="3146"/>
      <c r="R41" s="3147"/>
      <c r="S41" s="3147"/>
      <c r="T41" s="3147"/>
      <c r="U41" s="3147"/>
      <c r="V41" s="3147"/>
      <c r="W41" s="3147"/>
      <c r="X41" s="3147"/>
      <c r="Y41" s="3147"/>
      <c r="Z41" s="3147"/>
      <c r="AA41" s="3147"/>
      <c r="AB41" s="3148"/>
    </row>
    <row r="42" spans="1:31" x14ac:dyDescent="0.2">
      <c r="A42" s="3135"/>
      <c r="B42" s="3138"/>
      <c r="C42" s="706" t="s">
        <v>1057</v>
      </c>
      <c r="D42" s="710"/>
      <c r="E42" s="710">
        <v>18.7</v>
      </c>
      <c r="F42" s="710">
        <v>18.7</v>
      </c>
      <c r="G42" s="710">
        <v>18.7</v>
      </c>
      <c r="H42" s="710">
        <v>19.079999999999998</v>
      </c>
      <c r="I42" s="710">
        <v>19.079999999999998</v>
      </c>
      <c r="J42" s="710">
        <v>19.079999999999998</v>
      </c>
      <c r="K42" s="710">
        <v>19.079999999999998</v>
      </c>
      <c r="L42" s="710">
        <v>19.079999999999998</v>
      </c>
      <c r="M42" s="710">
        <v>19.079999999999998</v>
      </c>
      <c r="N42" s="710">
        <v>19.079999999999998</v>
      </c>
      <c r="O42" s="711">
        <v>19.079999999999998</v>
      </c>
      <c r="P42" s="716"/>
      <c r="Q42" s="717">
        <f t="shared" ref="Q42:AB42" si="26">SUM(D26,D31,D36,D41)</f>
        <v>5324</v>
      </c>
      <c r="R42" s="718">
        <f t="shared" si="26"/>
        <v>4915</v>
      </c>
      <c r="S42" s="718">
        <f t="shared" si="26"/>
        <v>6463</v>
      </c>
      <c r="T42" s="718">
        <f t="shared" si="26"/>
        <v>0</v>
      </c>
      <c r="U42" s="718">
        <f t="shared" si="26"/>
        <v>0</v>
      </c>
      <c r="V42" s="718">
        <f t="shared" si="26"/>
        <v>0</v>
      </c>
      <c r="W42" s="718">
        <f t="shared" si="26"/>
        <v>0</v>
      </c>
      <c r="X42" s="718">
        <f t="shared" si="26"/>
        <v>0</v>
      </c>
      <c r="Y42" s="718">
        <f t="shared" si="26"/>
        <v>0</v>
      </c>
      <c r="Z42" s="718">
        <f t="shared" si="26"/>
        <v>0</v>
      </c>
      <c r="AA42" s="718">
        <f t="shared" si="26"/>
        <v>0</v>
      </c>
      <c r="AB42" s="718">
        <f t="shared" si="26"/>
        <v>0</v>
      </c>
      <c r="AC42" s="719">
        <f>SUM(Q42:AB42)</f>
        <v>16702</v>
      </c>
      <c r="AD42" s="720" t="s">
        <v>1068</v>
      </c>
    </row>
    <row r="43" spans="1:31" ht="12.75" thickBot="1" x14ac:dyDescent="0.25">
      <c r="A43" s="3136"/>
      <c r="B43" s="3150"/>
      <c r="C43" s="721" t="s">
        <v>1058</v>
      </c>
      <c r="D43" s="722"/>
      <c r="E43" s="722">
        <f t="shared" ref="E43" si="27">E41*E42</f>
        <v>2561.9</v>
      </c>
      <c r="F43" s="722">
        <f>F41*F42</f>
        <v>3683.8999999999996</v>
      </c>
      <c r="G43" s="722">
        <f t="shared" ref="G43:O43" si="28">G41*G42</f>
        <v>0</v>
      </c>
      <c r="H43" s="722">
        <f t="shared" si="28"/>
        <v>0</v>
      </c>
      <c r="I43" s="722">
        <f t="shared" si="28"/>
        <v>0</v>
      </c>
      <c r="J43" s="722">
        <f t="shared" si="28"/>
        <v>0</v>
      </c>
      <c r="K43" s="722">
        <f t="shared" si="28"/>
        <v>0</v>
      </c>
      <c r="L43" s="722">
        <f t="shared" si="28"/>
        <v>0</v>
      </c>
      <c r="M43" s="722">
        <f t="shared" si="28"/>
        <v>0</v>
      </c>
      <c r="N43" s="722">
        <f t="shared" si="28"/>
        <v>0</v>
      </c>
      <c r="O43" s="723">
        <f t="shared" si="28"/>
        <v>0</v>
      </c>
      <c r="P43" s="716"/>
      <c r="Q43" s="724">
        <f>SUM(D28,D33,D38,D43)</f>
        <v>99558.799999999988</v>
      </c>
      <c r="R43" s="725">
        <f t="shared" ref="R43:AB43" si="29">SUM(E28,E33,E38,E43)</f>
        <v>91910.499999999985</v>
      </c>
      <c r="S43" s="725">
        <f t="shared" si="29"/>
        <v>120858.09999999999</v>
      </c>
      <c r="T43" s="725">
        <f t="shared" si="29"/>
        <v>0</v>
      </c>
      <c r="U43" s="725">
        <f t="shared" si="29"/>
        <v>0</v>
      </c>
      <c r="V43" s="725">
        <f t="shared" si="29"/>
        <v>0</v>
      </c>
      <c r="W43" s="725">
        <f t="shared" si="29"/>
        <v>0</v>
      </c>
      <c r="X43" s="725">
        <f t="shared" si="29"/>
        <v>0</v>
      </c>
      <c r="Y43" s="725">
        <f t="shared" si="29"/>
        <v>0</v>
      </c>
      <c r="Z43" s="725">
        <f t="shared" si="29"/>
        <v>0</v>
      </c>
      <c r="AA43" s="725">
        <f t="shared" si="29"/>
        <v>0</v>
      </c>
      <c r="AB43" s="726">
        <f t="shared" si="29"/>
        <v>0</v>
      </c>
      <c r="AC43" s="727">
        <f>SUM(Q43:AB43)</f>
        <v>312327.39999999997</v>
      </c>
      <c r="AD43" s="720" t="s">
        <v>1069</v>
      </c>
    </row>
    <row r="44" spans="1:31" ht="15" customHeight="1" x14ac:dyDescent="0.2">
      <c r="A44" s="3105" t="s">
        <v>1070</v>
      </c>
      <c r="B44" s="3123" t="s">
        <v>1071</v>
      </c>
      <c r="C44" s="728" t="s">
        <v>1054</v>
      </c>
      <c r="D44" s="729">
        <v>557642</v>
      </c>
      <c r="E44" s="729">
        <v>586475</v>
      </c>
      <c r="F44" s="729">
        <f>E45</f>
        <v>612954</v>
      </c>
      <c r="G44" s="729">
        <f t="shared" ref="G44:O44" si="30">F45</f>
        <v>642659</v>
      </c>
      <c r="H44" s="729">
        <f t="shared" si="30"/>
        <v>0</v>
      </c>
      <c r="I44" s="729">
        <f t="shared" si="30"/>
        <v>0</v>
      </c>
      <c r="J44" s="729">
        <f t="shared" si="30"/>
        <v>0</v>
      </c>
      <c r="K44" s="729">
        <f t="shared" si="30"/>
        <v>0</v>
      </c>
      <c r="L44" s="729">
        <f t="shared" si="30"/>
        <v>0</v>
      </c>
      <c r="M44" s="729">
        <f t="shared" si="30"/>
        <v>0</v>
      </c>
      <c r="N44" s="729">
        <f t="shared" si="30"/>
        <v>0</v>
      </c>
      <c r="O44" s="729">
        <f t="shared" si="30"/>
        <v>0</v>
      </c>
      <c r="P44" s="730"/>
      <c r="Q44" s="3126" t="s">
        <v>1072</v>
      </c>
      <c r="R44" s="3126"/>
      <c r="S44" s="3126"/>
      <c r="T44" s="3126"/>
      <c r="U44" s="3126"/>
      <c r="V44" s="3126"/>
      <c r="W44" s="3126"/>
      <c r="X44" s="3126"/>
      <c r="Y44" s="3126"/>
      <c r="Z44" s="3126"/>
      <c r="AA44" s="3126"/>
      <c r="AB44" s="3127"/>
      <c r="AE44" s="648">
        <v>557642</v>
      </c>
    </row>
    <row r="45" spans="1:31" x14ac:dyDescent="0.2">
      <c r="A45" s="3106"/>
      <c r="B45" s="3124"/>
      <c r="C45" s="731" t="s">
        <v>1055</v>
      </c>
      <c r="D45" s="732">
        <v>586475</v>
      </c>
      <c r="E45" s="732">
        <v>612954</v>
      </c>
      <c r="F45" s="732">
        <v>642659</v>
      </c>
      <c r="G45" s="732"/>
      <c r="H45" s="732"/>
      <c r="I45" s="732"/>
      <c r="J45" s="732"/>
      <c r="K45" s="732"/>
      <c r="L45" s="732"/>
      <c r="M45" s="732"/>
      <c r="N45" s="732"/>
      <c r="O45" s="733"/>
      <c r="P45" s="734"/>
      <c r="Q45" s="3128"/>
      <c r="R45" s="3128"/>
      <c r="S45" s="3128"/>
      <c r="T45" s="3128"/>
      <c r="U45" s="3128"/>
      <c r="V45" s="3128"/>
      <c r="W45" s="3128"/>
      <c r="X45" s="3128"/>
      <c r="Y45" s="3128"/>
      <c r="Z45" s="3128"/>
      <c r="AA45" s="3128"/>
      <c r="AB45" s="3129"/>
      <c r="AE45" s="648">
        <v>-6873</v>
      </c>
    </row>
    <row r="46" spans="1:31" x14ac:dyDescent="0.2">
      <c r="A46" s="3106"/>
      <c r="B46" s="3124"/>
      <c r="C46" s="731" t="s">
        <v>1056</v>
      </c>
      <c r="D46" s="732">
        <f>SUM(D45-D44)</f>
        <v>28833</v>
      </c>
      <c r="E46" s="732">
        <f t="shared" ref="E46" si="31">SUM(E45-E44)</f>
        <v>26479</v>
      </c>
      <c r="F46" s="732">
        <f>SUM(F45-F44)</f>
        <v>29705</v>
      </c>
      <c r="G46" s="732">
        <v>0</v>
      </c>
      <c r="H46" s="732">
        <f t="shared" ref="H46" si="32">SUM(H45-H44)</f>
        <v>0</v>
      </c>
      <c r="I46" s="732">
        <f>SUM(I45-I44)</f>
        <v>0</v>
      </c>
      <c r="J46" s="732">
        <f t="shared" ref="J46:O46" si="33">SUM(J45-J44)</f>
        <v>0</v>
      </c>
      <c r="K46" s="732">
        <f t="shared" si="33"/>
        <v>0</v>
      </c>
      <c r="L46" s="732">
        <f t="shared" si="33"/>
        <v>0</v>
      </c>
      <c r="M46" s="732">
        <f t="shared" si="33"/>
        <v>0</v>
      </c>
      <c r="N46" s="732">
        <f t="shared" si="33"/>
        <v>0</v>
      </c>
      <c r="O46" s="735">
        <f t="shared" si="33"/>
        <v>0</v>
      </c>
      <c r="P46" s="734"/>
      <c r="Q46" s="3128"/>
      <c r="R46" s="3128"/>
      <c r="S46" s="3128"/>
      <c r="T46" s="3128"/>
      <c r="U46" s="3128"/>
      <c r="V46" s="3128"/>
      <c r="W46" s="3128"/>
      <c r="X46" s="3128"/>
      <c r="Y46" s="3128"/>
      <c r="Z46" s="3128"/>
      <c r="AA46" s="3128"/>
      <c r="AB46" s="3129"/>
      <c r="AE46" s="648">
        <f>SUM(AE44:AE45)</f>
        <v>550769</v>
      </c>
    </row>
    <row r="47" spans="1:31" x14ac:dyDescent="0.2">
      <c r="A47" s="3106"/>
      <c r="B47" s="3124"/>
      <c r="C47" s="731" t="s">
        <v>1057</v>
      </c>
      <c r="D47" s="736">
        <v>19.190000000000001</v>
      </c>
      <c r="E47" s="736">
        <v>19.190000000000001</v>
      </c>
      <c r="F47" s="736">
        <v>19.190000000000001</v>
      </c>
      <c r="G47" s="736">
        <v>19.190000000000001</v>
      </c>
      <c r="H47" s="736">
        <v>19.57</v>
      </c>
      <c r="I47" s="736">
        <v>19.57</v>
      </c>
      <c r="J47" s="736">
        <v>19.57</v>
      </c>
      <c r="K47" s="736">
        <v>19.57</v>
      </c>
      <c r="L47" s="736">
        <v>19.57</v>
      </c>
      <c r="M47" s="736">
        <v>19.57</v>
      </c>
      <c r="N47" s="736">
        <v>19.57</v>
      </c>
      <c r="O47" s="737">
        <v>19.57</v>
      </c>
      <c r="P47" s="734"/>
      <c r="Q47" s="3128"/>
      <c r="R47" s="3128"/>
      <c r="S47" s="3128"/>
      <c r="T47" s="3128"/>
      <c r="U47" s="3128"/>
      <c r="V47" s="3128"/>
      <c r="W47" s="3128"/>
      <c r="X47" s="3128"/>
      <c r="Y47" s="3128"/>
      <c r="Z47" s="3128"/>
      <c r="AA47" s="3128"/>
      <c r="AB47" s="3129"/>
    </row>
    <row r="48" spans="1:31" x14ac:dyDescent="0.2">
      <c r="A48" s="3106"/>
      <c r="B48" s="3125"/>
      <c r="C48" s="738" t="s">
        <v>1058</v>
      </c>
      <c r="D48" s="739">
        <f>D46*D47</f>
        <v>553305.27</v>
      </c>
      <c r="E48" s="739">
        <f t="shared" ref="E48:O48" si="34">E46*E47</f>
        <v>508132.01</v>
      </c>
      <c r="F48" s="739">
        <f t="shared" si="34"/>
        <v>570038.95000000007</v>
      </c>
      <c r="G48" s="739">
        <f t="shared" si="34"/>
        <v>0</v>
      </c>
      <c r="H48" s="739">
        <f t="shared" si="34"/>
        <v>0</v>
      </c>
      <c r="I48" s="739">
        <f t="shared" si="34"/>
        <v>0</v>
      </c>
      <c r="J48" s="739">
        <f t="shared" si="34"/>
        <v>0</v>
      </c>
      <c r="K48" s="739">
        <f t="shared" si="34"/>
        <v>0</v>
      </c>
      <c r="L48" s="739">
        <f t="shared" si="34"/>
        <v>0</v>
      </c>
      <c r="M48" s="739">
        <f t="shared" si="34"/>
        <v>0</v>
      </c>
      <c r="N48" s="739">
        <f t="shared" si="34"/>
        <v>0</v>
      </c>
      <c r="O48" s="740">
        <f t="shared" si="34"/>
        <v>0</v>
      </c>
      <c r="P48" s="734"/>
      <c r="Q48" s="3128"/>
      <c r="R48" s="3128"/>
      <c r="S48" s="3128"/>
      <c r="T48" s="3128"/>
      <c r="U48" s="3128"/>
      <c r="V48" s="3128"/>
      <c r="W48" s="3128"/>
      <c r="X48" s="3128"/>
      <c r="Y48" s="3128"/>
      <c r="Z48" s="3128"/>
      <c r="AA48" s="3128"/>
      <c r="AB48" s="3129"/>
    </row>
    <row r="49" spans="1:34" x14ac:dyDescent="0.2">
      <c r="A49" s="3106"/>
      <c r="B49" s="3130" t="s">
        <v>1073</v>
      </c>
      <c r="C49" s="741" t="s">
        <v>1054</v>
      </c>
      <c r="D49" s="732">
        <v>12099</v>
      </c>
      <c r="E49" s="732">
        <v>12278</v>
      </c>
      <c r="F49" s="732">
        <f>E50</f>
        <v>12407</v>
      </c>
      <c r="G49" s="732">
        <f t="shared" ref="G49:O49" si="35">F50</f>
        <v>12772</v>
      </c>
      <c r="H49" s="732">
        <f t="shared" si="35"/>
        <v>0</v>
      </c>
      <c r="I49" s="732">
        <f t="shared" si="35"/>
        <v>0</v>
      </c>
      <c r="J49" s="732">
        <f t="shared" si="35"/>
        <v>0</v>
      </c>
      <c r="K49" s="732">
        <f t="shared" si="35"/>
        <v>0</v>
      </c>
      <c r="L49" s="732">
        <f t="shared" si="35"/>
        <v>0</v>
      </c>
      <c r="M49" s="732">
        <f t="shared" si="35"/>
        <v>0</v>
      </c>
      <c r="N49" s="732">
        <f t="shared" si="35"/>
        <v>0</v>
      </c>
      <c r="O49" s="732">
        <f t="shared" si="35"/>
        <v>0</v>
      </c>
      <c r="P49" s="734"/>
      <c r="Q49" s="3128"/>
      <c r="R49" s="3128"/>
      <c r="S49" s="3128"/>
      <c r="T49" s="3128"/>
      <c r="U49" s="3128"/>
      <c r="V49" s="3128"/>
      <c r="W49" s="3128"/>
      <c r="X49" s="3128"/>
      <c r="Y49" s="3128"/>
      <c r="Z49" s="3128"/>
      <c r="AA49" s="3128"/>
      <c r="AB49" s="3129"/>
      <c r="AE49" s="648">
        <v>12099</v>
      </c>
    </row>
    <row r="50" spans="1:34" ht="14.25" customHeight="1" x14ac:dyDescent="0.2">
      <c r="A50" s="3106"/>
      <c r="B50" s="3124"/>
      <c r="C50" s="731" t="s">
        <v>1055</v>
      </c>
      <c r="D50" s="732">
        <v>12278</v>
      </c>
      <c r="E50" s="732">
        <v>12407</v>
      </c>
      <c r="F50" s="732">
        <v>12772</v>
      </c>
      <c r="G50" s="732"/>
      <c r="H50" s="732"/>
      <c r="I50" s="732"/>
      <c r="J50" s="732"/>
      <c r="K50" s="732"/>
      <c r="L50" s="732"/>
      <c r="M50" s="732"/>
      <c r="N50" s="732"/>
      <c r="O50" s="733"/>
      <c r="P50" s="734"/>
      <c r="Q50" s="3128"/>
      <c r="R50" s="3128"/>
      <c r="S50" s="3128"/>
      <c r="T50" s="3128"/>
      <c r="U50" s="3128"/>
      <c r="V50" s="3128"/>
      <c r="W50" s="3128"/>
      <c r="X50" s="3128"/>
      <c r="Y50" s="3128"/>
      <c r="Z50" s="3128"/>
      <c r="AA50" s="3128"/>
      <c r="AB50" s="3129"/>
      <c r="AE50" s="648">
        <v>-7604</v>
      </c>
    </row>
    <row r="51" spans="1:34" x14ac:dyDescent="0.2">
      <c r="A51" s="3106"/>
      <c r="B51" s="3124"/>
      <c r="C51" s="731" t="s">
        <v>1056</v>
      </c>
      <c r="D51" s="732">
        <f>SUM(D50-D49)</f>
        <v>179</v>
      </c>
      <c r="E51" s="732">
        <f t="shared" ref="E51" si="36">SUM(E50-E49)</f>
        <v>129</v>
      </c>
      <c r="F51" s="732">
        <f>SUM(F50-F49)</f>
        <v>365</v>
      </c>
      <c r="G51" s="732">
        <v>0</v>
      </c>
      <c r="H51" s="732">
        <f t="shared" ref="H51" si="37">SUM(H50-H49)</f>
        <v>0</v>
      </c>
      <c r="I51" s="732">
        <f>SUM(I50-I49)</f>
        <v>0</v>
      </c>
      <c r="J51" s="732">
        <f t="shared" ref="J51:O51" si="38">SUM(J50-J49)</f>
        <v>0</v>
      </c>
      <c r="K51" s="732">
        <f t="shared" si="38"/>
        <v>0</v>
      </c>
      <c r="L51" s="732">
        <f t="shared" si="38"/>
        <v>0</v>
      </c>
      <c r="M51" s="732">
        <f t="shared" si="38"/>
        <v>0</v>
      </c>
      <c r="N51" s="732">
        <f t="shared" si="38"/>
        <v>0</v>
      </c>
      <c r="O51" s="735">
        <f t="shared" si="38"/>
        <v>0</v>
      </c>
      <c r="P51" s="734"/>
      <c r="Q51" s="3128"/>
      <c r="R51" s="3128"/>
      <c r="S51" s="3128"/>
      <c r="T51" s="3128"/>
      <c r="U51" s="3128"/>
      <c r="V51" s="3128"/>
      <c r="W51" s="3128"/>
      <c r="X51" s="3128"/>
      <c r="Y51" s="3128"/>
      <c r="Z51" s="3128"/>
      <c r="AA51" s="3128"/>
      <c r="AB51" s="3129"/>
      <c r="AE51" s="648">
        <f>SUM(AE49:AE50)</f>
        <v>4495</v>
      </c>
    </row>
    <row r="52" spans="1:34" x14ac:dyDescent="0.2">
      <c r="A52" s="3106"/>
      <c r="B52" s="3124"/>
      <c r="C52" s="731" t="s">
        <v>1057</v>
      </c>
      <c r="D52" s="736">
        <v>19.190000000000001</v>
      </c>
      <c r="E52" s="736">
        <v>19.190000000000001</v>
      </c>
      <c r="F52" s="736">
        <v>19.190000000000001</v>
      </c>
      <c r="G52" s="736">
        <v>19.190000000000001</v>
      </c>
      <c r="H52" s="736">
        <v>19.57</v>
      </c>
      <c r="I52" s="736">
        <v>19.57</v>
      </c>
      <c r="J52" s="736">
        <v>19.57</v>
      </c>
      <c r="K52" s="736">
        <v>19.57</v>
      </c>
      <c r="L52" s="736">
        <v>19.57</v>
      </c>
      <c r="M52" s="736">
        <v>19.57</v>
      </c>
      <c r="N52" s="736">
        <v>19.57</v>
      </c>
      <c r="O52" s="737">
        <v>19.57</v>
      </c>
      <c r="P52" s="734"/>
      <c r="Q52" s="3128"/>
      <c r="R52" s="3128"/>
      <c r="S52" s="3128"/>
      <c r="T52" s="3128"/>
      <c r="U52" s="3128"/>
      <c r="V52" s="3128"/>
      <c r="W52" s="3128"/>
      <c r="X52" s="3128"/>
      <c r="Y52" s="3128"/>
      <c r="Z52" s="3128"/>
      <c r="AA52" s="3128"/>
      <c r="AB52" s="3129"/>
    </row>
    <row r="53" spans="1:34" x14ac:dyDescent="0.2">
      <c r="A53" s="3106"/>
      <c r="B53" s="3125"/>
      <c r="C53" s="738" t="s">
        <v>1058</v>
      </c>
      <c r="D53" s="739">
        <f>D51*D52</f>
        <v>3435.01</v>
      </c>
      <c r="E53" s="739">
        <f t="shared" ref="E53:O53" si="39">E51*E52</f>
        <v>2475.5100000000002</v>
      </c>
      <c r="F53" s="739">
        <f t="shared" si="39"/>
        <v>7004.35</v>
      </c>
      <c r="G53" s="739">
        <f t="shared" si="39"/>
        <v>0</v>
      </c>
      <c r="H53" s="739">
        <f t="shared" si="39"/>
        <v>0</v>
      </c>
      <c r="I53" s="739">
        <f t="shared" si="39"/>
        <v>0</v>
      </c>
      <c r="J53" s="739">
        <f t="shared" si="39"/>
        <v>0</v>
      </c>
      <c r="K53" s="739">
        <f t="shared" si="39"/>
        <v>0</v>
      </c>
      <c r="L53" s="739">
        <f t="shared" si="39"/>
        <v>0</v>
      </c>
      <c r="M53" s="739">
        <f t="shared" si="39"/>
        <v>0</v>
      </c>
      <c r="N53" s="739">
        <f t="shared" si="39"/>
        <v>0</v>
      </c>
      <c r="O53" s="740">
        <f t="shared" si="39"/>
        <v>0</v>
      </c>
      <c r="P53" s="734"/>
      <c r="Q53" s="3128"/>
      <c r="R53" s="3128"/>
      <c r="S53" s="3128"/>
      <c r="T53" s="3128"/>
      <c r="U53" s="3128"/>
      <c r="V53" s="3128"/>
      <c r="W53" s="3128"/>
      <c r="X53" s="3128"/>
      <c r="Y53" s="3128"/>
      <c r="Z53" s="3128"/>
      <c r="AA53" s="3128"/>
      <c r="AB53" s="3129"/>
    </row>
    <row r="54" spans="1:34" x14ac:dyDescent="0.2">
      <c r="A54" s="3106"/>
      <c r="B54" s="3130" t="s">
        <v>1074</v>
      </c>
      <c r="C54" s="741" t="s">
        <v>1054</v>
      </c>
      <c r="D54" s="732">
        <v>374165</v>
      </c>
      <c r="E54" s="732">
        <v>375592</v>
      </c>
      <c r="F54" s="732">
        <f>E55</f>
        <v>376833</v>
      </c>
      <c r="G54" s="732">
        <f t="shared" ref="G54:O54" si="40">F55</f>
        <v>378345</v>
      </c>
      <c r="H54" s="732">
        <f t="shared" si="40"/>
        <v>0</v>
      </c>
      <c r="I54" s="732">
        <f t="shared" si="40"/>
        <v>0</v>
      </c>
      <c r="J54" s="732">
        <f t="shared" si="40"/>
        <v>0</v>
      </c>
      <c r="K54" s="732">
        <f t="shared" si="40"/>
        <v>0</v>
      </c>
      <c r="L54" s="732">
        <f t="shared" si="40"/>
        <v>0</v>
      </c>
      <c r="M54" s="732">
        <f t="shared" si="40"/>
        <v>0</v>
      </c>
      <c r="N54" s="732">
        <f t="shared" si="40"/>
        <v>0</v>
      </c>
      <c r="O54" s="732">
        <f t="shared" si="40"/>
        <v>0</v>
      </c>
      <c r="P54" s="734"/>
      <c r="Q54" s="3128"/>
      <c r="R54" s="3128"/>
      <c r="S54" s="3128"/>
      <c r="T54" s="3128"/>
      <c r="U54" s="3128"/>
      <c r="V54" s="3128"/>
      <c r="W54" s="3128"/>
      <c r="X54" s="3128"/>
      <c r="Y54" s="3128"/>
      <c r="Z54" s="3128"/>
      <c r="AA54" s="3128"/>
      <c r="AB54" s="3129"/>
      <c r="AE54" s="648">
        <v>374165</v>
      </c>
    </row>
    <row r="55" spans="1:34" x14ac:dyDescent="0.2">
      <c r="A55" s="3106"/>
      <c r="B55" s="3124"/>
      <c r="C55" s="731" t="s">
        <v>1055</v>
      </c>
      <c r="D55" s="732">
        <v>375592</v>
      </c>
      <c r="E55" s="732">
        <v>376833</v>
      </c>
      <c r="F55" s="732">
        <v>378345</v>
      </c>
      <c r="G55" s="732"/>
      <c r="H55" s="732"/>
      <c r="I55" s="732"/>
      <c r="J55" s="732"/>
      <c r="K55" s="732"/>
      <c r="L55" s="732"/>
      <c r="M55" s="732"/>
      <c r="N55" s="732"/>
      <c r="O55" s="733"/>
      <c r="P55" s="734"/>
      <c r="Q55" s="3128"/>
      <c r="R55" s="3128"/>
      <c r="S55" s="3128"/>
      <c r="T55" s="3128"/>
      <c r="U55" s="3128"/>
      <c r="V55" s="3128"/>
      <c r="W55" s="3128"/>
      <c r="X55" s="3128"/>
      <c r="Y55" s="3128"/>
      <c r="Z55" s="3128"/>
      <c r="AA55" s="3128"/>
      <c r="AB55" s="3129"/>
      <c r="AE55" s="648">
        <v>-334740</v>
      </c>
    </row>
    <row r="56" spans="1:34" x14ac:dyDescent="0.2">
      <c r="A56" s="3106"/>
      <c r="B56" s="3124"/>
      <c r="C56" s="731" t="s">
        <v>1056</v>
      </c>
      <c r="D56" s="732">
        <f>SUM(D55-D54)</f>
        <v>1427</v>
      </c>
      <c r="E56" s="732">
        <f t="shared" ref="E56" si="41">SUM(E55-E54)</f>
        <v>1241</v>
      </c>
      <c r="F56" s="732">
        <f>SUM(F55-F54)</f>
        <v>1512</v>
      </c>
      <c r="G56" s="732">
        <v>0</v>
      </c>
      <c r="H56" s="732">
        <f t="shared" ref="H56" si="42">SUM(H55-H54)</f>
        <v>0</v>
      </c>
      <c r="I56" s="732">
        <f>SUM(I55-I54)</f>
        <v>0</v>
      </c>
      <c r="J56" s="732">
        <f t="shared" ref="J56:O56" si="43">SUM(J55-J54)</f>
        <v>0</v>
      </c>
      <c r="K56" s="732">
        <f t="shared" si="43"/>
        <v>0</v>
      </c>
      <c r="L56" s="732">
        <f t="shared" si="43"/>
        <v>0</v>
      </c>
      <c r="M56" s="732">
        <f t="shared" si="43"/>
        <v>0</v>
      </c>
      <c r="N56" s="732">
        <f t="shared" si="43"/>
        <v>0</v>
      </c>
      <c r="O56" s="735">
        <f t="shared" si="43"/>
        <v>0</v>
      </c>
      <c r="P56" s="734"/>
      <c r="Q56" s="3128"/>
      <c r="R56" s="3128"/>
      <c r="S56" s="3128"/>
      <c r="T56" s="3128"/>
      <c r="U56" s="3128"/>
      <c r="V56" s="3128"/>
      <c r="W56" s="3128"/>
      <c r="X56" s="3128"/>
      <c r="Y56" s="3128"/>
      <c r="Z56" s="3128"/>
      <c r="AA56" s="3128"/>
      <c r="AB56" s="3129"/>
      <c r="AE56" s="648">
        <f>SUM(AE54:AE55)</f>
        <v>39425</v>
      </c>
    </row>
    <row r="57" spans="1:34" x14ac:dyDescent="0.2">
      <c r="A57" s="3106"/>
      <c r="B57" s="3124"/>
      <c r="C57" s="731" t="s">
        <v>1057</v>
      </c>
      <c r="D57" s="736">
        <v>19.190000000000001</v>
      </c>
      <c r="E57" s="736">
        <v>19.190000000000001</v>
      </c>
      <c r="F57" s="736">
        <v>19.190000000000001</v>
      </c>
      <c r="G57" s="736">
        <v>19.190000000000001</v>
      </c>
      <c r="H57" s="736">
        <v>19.57</v>
      </c>
      <c r="I57" s="736">
        <v>19.57</v>
      </c>
      <c r="J57" s="736">
        <v>19.57</v>
      </c>
      <c r="K57" s="736">
        <v>19.57</v>
      </c>
      <c r="L57" s="736">
        <v>19.57</v>
      </c>
      <c r="M57" s="736">
        <v>19.57</v>
      </c>
      <c r="N57" s="736">
        <v>19.57</v>
      </c>
      <c r="O57" s="737">
        <v>19.57</v>
      </c>
      <c r="P57" s="734"/>
      <c r="Q57" s="3128"/>
      <c r="R57" s="3128"/>
      <c r="S57" s="3128"/>
      <c r="T57" s="3128"/>
      <c r="U57" s="3128"/>
      <c r="V57" s="3128"/>
      <c r="W57" s="3128"/>
      <c r="X57" s="3128"/>
      <c r="Y57" s="3128"/>
      <c r="Z57" s="3128"/>
      <c r="AA57" s="3128"/>
      <c r="AB57" s="3129"/>
    </row>
    <row r="58" spans="1:34" x14ac:dyDescent="0.2">
      <c r="A58" s="3106"/>
      <c r="B58" s="3125"/>
      <c r="C58" s="738" t="s">
        <v>1058</v>
      </c>
      <c r="D58" s="739">
        <f>D56*D57</f>
        <v>27384.13</v>
      </c>
      <c r="E58" s="739">
        <f t="shared" ref="E58:O58" si="44">E56*E57</f>
        <v>23814.79</v>
      </c>
      <c r="F58" s="739">
        <f t="shared" si="44"/>
        <v>29015.280000000002</v>
      </c>
      <c r="G58" s="739">
        <f t="shared" si="44"/>
        <v>0</v>
      </c>
      <c r="H58" s="739">
        <f t="shared" si="44"/>
        <v>0</v>
      </c>
      <c r="I58" s="739">
        <f t="shared" si="44"/>
        <v>0</v>
      </c>
      <c r="J58" s="739">
        <f t="shared" si="44"/>
        <v>0</v>
      </c>
      <c r="K58" s="739">
        <f t="shared" si="44"/>
        <v>0</v>
      </c>
      <c r="L58" s="739">
        <f t="shared" si="44"/>
        <v>0</v>
      </c>
      <c r="M58" s="739">
        <f t="shared" si="44"/>
        <v>0</v>
      </c>
      <c r="N58" s="739">
        <f t="shared" si="44"/>
        <v>0</v>
      </c>
      <c r="O58" s="740">
        <f t="shared" si="44"/>
        <v>0</v>
      </c>
      <c r="P58" s="734"/>
      <c r="Q58" s="3128"/>
      <c r="R58" s="3128"/>
      <c r="S58" s="3128"/>
      <c r="T58" s="3128"/>
      <c r="U58" s="3128"/>
      <c r="V58" s="3128"/>
      <c r="W58" s="3128"/>
      <c r="X58" s="3128"/>
      <c r="Y58" s="3128"/>
      <c r="Z58" s="3128"/>
      <c r="AA58" s="3128"/>
      <c r="AB58" s="3129"/>
      <c r="AE58" s="648">
        <v>5024</v>
      </c>
    </row>
    <row r="59" spans="1:34" x14ac:dyDescent="0.2">
      <c r="A59" s="3106"/>
      <c r="B59" s="3130" t="s">
        <v>1075</v>
      </c>
      <c r="C59" s="741" t="s">
        <v>1054</v>
      </c>
      <c r="D59" s="732">
        <v>5024</v>
      </c>
      <c r="E59" s="732">
        <v>5053</v>
      </c>
      <c r="F59" s="732">
        <f>E60</f>
        <v>5080</v>
      </c>
      <c r="G59" s="732">
        <f t="shared" ref="G59:O59" si="45">F60</f>
        <v>5110</v>
      </c>
      <c r="H59" s="732">
        <f t="shared" si="45"/>
        <v>0</v>
      </c>
      <c r="I59" s="732">
        <f t="shared" si="45"/>
        <v>0</v>
      </c>
      <c r="J59" s="732">
        <f t="shared" si="45"/>
        <v>0</v>
      </c>
      <c r="K59" s="732">
        <f t="shared" si="45"/>
        <v>0</v>
      </c>
      <c r="L59" s="732">
        <f t="shared" si="45"/>
        <v>0</v>
      </c>
      <c r="M59" s="732">
        <f t="shared" si="45"/>
        <v>0</v>
      </c>
      <c r="N59" s="732">
        <f t="shared" si="45"/>
        <v>0</v>
      </c>
      <c r="O59" s="732">
        <f t="shared" si="45"/>
        <v>0</v>
      </c>
      <c r="P59" s="734"/>
      <c r="Q59" s="3128"/>
      <c r="R59" s="3128"/>
      <c r="S59" s="3128"/>
      <c r="T59" s="3128"/>
      <c r="U59" s="3128"/>
      <c r="V59" s="3128"/>
      <c r="W59" s="3128"/>
      <c r="X59" s="3128"/>
      <c r="Y59" s="3128"/>
      <c r="Z59" s="3128"/>
      <c r="AA59" s="3128"/>
      <c r="AB59" s="3129"/>
    </row>
    <row r="60" spans="1:34" x14ac:dyDescent="0.2">
      <c r="A60" s="3106"/>
      <c r="B60" s="3124"/>
      <c r="C60" s="731" t="s">
        <v>1055</v>
      </c>
      <c r="D60" s="732">
        <v>5053</v>
      </c>
      <c r="E60" s="732">
        <v>5080</v>
      </c>
      <c r="F60" s="732">
        <v>5110</v>
      </c>
      <c r="G60" s="732"/>
      <c r="H60" s="732"/>
      <c r="I60" s="732"/>
      <c r="J60" s="732"/>
      <c r="K60" s="732"/>
      <c r="L60" s="732"/>
      <c r="M60" s="732"/>
      <c r="N60" s="732"/>
      <c r="O60" s="733"/>
      <c r="P60" s="734"/>
      <c r="Q60" s="3128"/>
      <c r="R60" s="3128"/>
      <c r="S60" s="3128"/>
      <c r="T60" s="3128"/>
      <c r="U60" s="3128"/>
      <c r="V60" s="3128"/>
      <c r="W60" s="3128"/>
      <c r="X60" s="3128"/>
      <c r="Y60" s="3128"/>
      <c r="Z60" s="3128"/>
      <c r="AA60" s="3128"/>
      <c r="AB60" s="3129"/>
    </row>
    <row r="61" spans="1:34" x14ac:dyDescent="0.2">
      <c r="A61" s="3106"/>
      <c r="B61" s="3124"/>
      <c r="C61" s="731" t="s">
        <v>1056</v>
      </c>
      <c r="D61" s="732">
        <f>SUM(D60-D59)</f>
        <v>29</v>
      </c>
      <c r="E61" s="732">
        <f t="shared" ref="E61" si="46">SUM(E60-E59)</f>
        <v>27</v>
      </c>
      <c r="F61" s="732">
        <f>SUM(F60-F59)</f>
        <v>30</v>
      </c>
      <c r="G61" s="732">
        <v>0</v>
      </c>
      <c r="H61" s="732">
        <f t="shared" ref="H61" si="47">SUM(H60-H59)</f>
        <v>0</v>
      </c>
      <c r="I61" s="732">
        <f>SUM(I60-I59)</f>
        <v>0</v>
      </c>
      <c r="J61" s="732">
        <f t="shared" ref="J61:O61" si="48">SUM(J60-J59)</f>
        <v>0</v>
      </c>
      <c r="K61" s="732">
        <f t="shared" si="48"/>
        <v>0</v>
      </c>
      <c r="L61" s="732">
        <f t="shared" si="48"/>
        <v>0</v>
      </c>
      <c r="M61" s="732">
        <f t="shared" si="48"/>
        <v>0</v>
      </c>
      <c r="N61" s="732">
        <f t="shared" si="48"/>
        <v>0</v>
      </c>
      <c r="O61" s="735">
        <f t="shared" si="48"/>
        <v>0</v>
      </c>
      <c r="P61" s="734"/>
      <c r="Q61" s="3128"/>
      <c r="R61" s="3128"/>
      <c r="S61" s="3128"/>
      <c r="T61" s="3128"/>
      <c r="U61" s="3128"/>
      <c r="V61" s="3128"/>
      <c r="W61" s="3128"/>
      <c r="X61" s="3128"/>
      <c r="Y61" s="3128"/>
      <c r="Z61" s="3128"/>
      <c r="AA61" s="3128"/>
      <c r="AB61" s="3129"/>
    </row>
    <row r="62" spans="1:34" x14ac:dyDescent="0.2">
      <c r="A62" s="3106"/>
      <c r="B62" s="3124"/>
      <c r="C62" s="731" t="s">
        <v>1057</v>
      </c>
      <c r="D62" s="736">
        <v>19.190000000000001</v>
      </c>
      <c r="E62" s="736">
        <v>19.190000000000001</v>
      </c>
      <c r="F62" s="736">
        <v>19.190000000000001</v>
      </c>
      <c r="G62" s="736">
        <v>19.190000000000001</v>
      </c>
      <c r="H62" s="736">
        <v>19.57</v>
      </c>
      <c r="I62" s="736">
        <v>19.57</v>
      </c>
      <c r="J62" s="736">
        <v>19.57</v>
      </c>
      <c r="K62" s="736">
        <v>19.57</v>
      </c>
      <c r="L62" s="736">
        <v>19.57</v>
      </c>
      <c r="M62" s="736">
        <v>19.57</v>
      </c>
      <c r="N62" s="736">
        <v>19.57</v>
      </c>
      <c r="O62" s="737">
        <v>19.57</v>
      </c>
      <c r="P62" s="734"/>
      <c r="Q62" s="3128"/>
      <c r="R62" s="3128"/>
      <c r="S62" s="3128"/>
      <c r="T62" s="3128"/>
      <c r="U62" s="3128"/>
      <c r="V62" s="3128"/>
      <c r="W62" s="3128"/>
      <c r="X62" s="3128"/>
      <c r="Y62" s="3128"/>
      <c r="Z62" s="3128"/>
      <c r="AA62" s="3128"/>
      <c r="AB62" s="3129"/>
      <c r="AE62" s="648">
        <v>2052</v>
      </c>
      <c r="AG62" s="720">
        <f>SUM(AE62,AE58,AE56,AE51,AE46)</f>
        <v>601765</v>
      </c>
      <c r="AH62" s="648" t="s">
        <v>1076</v>
      </c>
    </row>
    <row r="63" spans="1:34" x14ac:dyDescent="0.2">
      <c r="A63" s="3106"/>
      <c r="B63" s="3125"/>
      <c r="C63" s="738" t="s">
        <v>1058</v>
      </c>
      <c r="D63" s="739">
        <f>D61*D62</f>
        <v>556.51</v>
      </c>
      <c r="E63" s="739">
        <f t="shared" ref="E63:O63" si="49">E61*E62</f>
        <v>518.13</v>
      </c>
      <c r="F63" s="739">
        <f t="shared" si="49"/>
        <v>575.70000000000005</v>
      </c>
      <c r="G63" s="739">
        <f t="shared" si="49"/>
        <v>0</v>
      </c>
      <c r="H63" s="739">
        <f t="shared" si="49"/>
        <v>0</v>
      </c>
      <c r="I63" s="739">
        <f t="shared" si="49"/>
        <v>0</v>
      </c>
      <c r="J63" s="739">
        <f t="shared" si="49"/>
        <v>0</v>
      </c>
      <c r="K63" s="739">
        <f t="shared" si="49"/>
        <v>0</v>
      </c>
      <c r="L63" s="739">
        <f t="shared" si="49"/>
        <v>0</v>
      </c>
      <c r="M63" s="739">
        <f t="shared" si="49"/>
        <v>0</v>
      </c>
      <c r="N63" s="739">
        <f t="shared" si="49"/>
        <v>0</v>
      </c>
      <c r="O63" s="740">
        <f t="shared" si="49"/>
        <v>0</v>
      </c>
      <c r="P63" s="734"/>
      <c r="Q63" s="3128"/>
      <c r="R63" s="3128"/>
      <c r="S63" s="3128"/>
      <c r="T63" s="3128"/>
      <c r="U63" s="3128"/>
      <c r="V63" s="3128"/>
      <c r="W63" s="3128"/>
      <c r="X63" s="3128"/>
      <c r="Y63" s="3128"/>
      <c r="Z63" s="3128"/>
      <c r="AA63" s="3128"/>
      <c r="AB63" s="3129"/>
    </row>
    <row r="64" spans="1:34" x14ac:dyDescent="0.2">
      <c r="A64" s="3106"/>
      <c r="B64" s="742"/>
      <c r="C64" s="741" t="s">
        <v>1054</v>
      </c>
      <c r="D64" s="732">
        <v>2052</v>
      </c>
      <c r="E64" s="732">
        <v>2199</v>
      </c>
      <c r="F64" s="732">
        <f>E65</f>
        <v>2299</v>
      </c>
      <c r="G64" s="732">
        <f t="shared" ref="G64:O64" si="50">F65</f>
        <v>2401</v>
      </c>
      <c r="H64" s="732">
        <f t="shared" si="50"/>
        <v>0</v>
      </c>
      <c r="I64" s="732">
        <f t="shared" si="50"/>
        <v>0</v>
      </c>
      <c r="J64" s="732">
        <f t="shared" si="50"/>
        <v>0</v>
      </c>
      <c r="K64" s="732">
        <f t="shared" si="50"/>
        <v>0</v>
      </c>
      <c r="L64" s="732">
        <f t="shared" si="50"/>
        <v>0</v>
      </c>
      <c r="M64" s="732">
        <f t="shared" si="50"/>
        <v>0</v>
      </c>
      <c r="N64" s="732">
        <f t="shared" si="50"/>
        <v>0</v>
      </c>
      <c r="O64" s="732">
        <f t="shared" si="50"/>
        <v>0</v>
      </c>
      <c r="P64" s="734"/>
      <c r="Q64" s="3128"/>
      <c r="R64" s="3128"/>
      <c r="S64" s="3128"/>
      <c r="T64" s="3128"/>
      <c r="U64" s="3128"/>
      <c r="V64" s="3128"/>
      <c r="W64" s="3128"/>
      <c r="X64" s="3128"/>
      <c r="Y64" s="3128"/>
      <c r="Z64" s="3128"/>
      <c r="AA64" s="3128"/>
      <c r="AB64" s="3129"/>
    </row>
    <row r="65" spans="1:30" x14ac:dyDescent="0.2">
      <c r="A65" s="3106"/>
      <c r="B65" s="742" t="s">
        <v>1077</v>
      </c>
      <c r="C65" s="731" t="s">
        <v>1055</v>
      </c>
      <c r="D65" s="732">
        <v>2199</v>
      </c>
      <c r="E65" s="732">
        <v>2299</v>
      </c>
      <c r="F65" s="732">
        <v>2401</v>
      </c>
      <c r="G65" s="732"/>
      <c r="H65" s="732"/>
      <c r="I65" s="732"/>
      <c r="J65" s="732"/>
      <c r="K65" s="732"/>
      <c r="L65" s="732"/>
      <c r="M65" s="732"/>
      <c r="N65" s="732"/>
      <c r="O65" s="733"/>
      <c r="P65" s="734"/>
      <c r="Q65" s="3128"/>
      <c r="R65" s="3128"/>
      <c r="S65" s="3128"/>
      <c r="T65" s="3128"/>
      <c r="U65" s="3128"/>
      <c r="V65" s="3128"/>
      <c r="W65" s="3128"/>
      <c r="X65" s="3128"/>
      <c r="Y65" s="3128"/>
      <c r="Z65" s="3128"/>
      <c r="AA65" s="3128"/>
      <c r="AB65" s="3129"/>
    </row>
    <row r="66" spans="1:30" x14ac:dyDescent="0.2">
      <c r="A66" s="3106"/>
      <c r="B66" s="742" t="s">
        <v>1078</v>
      </c>
      <c r="C66" s="731" t="s">
        <v>1056</v>
      </c>
      <c r="D66" s="732">
        <f>SUM(D65-D64)</f>
        <v>147</v>
      </c>
      <c r="E66" s="732">
        <f t="shared" ref="E66" si="51">SUM(E65-E64)</f>
        <v>100</v>
      </c>
      <c r="F66" s="732">
        <f>SUM(F65-F64)</f>
        <v>102</v>
      </c>
      <c r="G66" s="732">
        <v>0</v>
      </c>
      <c r="H66" s="732">
        <f t="shared" ref="H66" si="52">SUM(H65-H64)</f>
        <v>0</v>
      </c>
      <c r="I66" s="732">
        <f>SUM(I65-I64)</f>
        <v>0</v>
      </c>
      <c r="J66" s="732">
        <f t="shared" ref="J66:O66" si="53">SUM(J65-J64)</f>
        <v>0</v>
      </c>
      <c r="K66" s="732">
        <f t="shared" si="53"/>
        <v>0</v>
      </c>
      <c r="L66" s="732">
        <f t="shared" si="53"/>
        <v>0</v>
      </c>
      <c r="M66" s="732">
        <f t="shared" si="53"/>
        <v>0</v>
      </c>
      <c r="N66" s="732">
        <f t="shared" si="53"/>
        <v>0</v>
      </c>
      <c r="O66" s="735">
        <f t="shared" si="53"/>
        <v>0</v>
      </c>
      <c r="P66" s="734"/>
      <c r="Q66" s="3128"/>
      <c r="R66" s="3128"/>
      <c r="S66" s="3128"/>
      <c r="T66" s="3128"/>
      <c r="U66" s="3128"/>
      <c r="V66" s="3128"/>
      <c r="W66" s="3128"/>
      <c r="X66" s="3128"/>
      <c r="Y66" s="3128"/>
      <c r="Z66" s="3128"/>
      <c r="AA66" s="3128"/>
      <c r="AB66" s="3129"/>
    </row>
    <row r="67" spans="1:30" x14ac:dyDescent="0.2">
      <c r="A67" s="3106"/>
      <c r="B67" s="742"/>
      <c r="C67" s="731" t="s">
        <v>1057</v>
      </c>
      <c r="D67" s="736">
        <v>19.190000000000001</v>
      </c>
      <c r="E67" s="736">
        <v>19.190000000000001</v>
      </c>
      <c r="F67" s="736">
        <v>19.190000000000001</v>
      </c>
      <c r="G67" s="736">
        <v>19.190000000000001</v>
      </c>
      <c r="H67" s="736">
        <v>19.57</v>
      </c>
      <c r="I67" s="736">
        <v>19.57</v>
      </c>
      <c r="J67" s="736">
        <v>19.57</v>
      </c>
      <c r="K67" s="736">
        <v>19.57</v>
      </c>
      <c r="L67" s="736">
        <v>19.57</v>
      </c>
      <c r="M67" s="736">
        <v>19.57</v>
      </c>
      <c r="N67" s="736">
        <v>19.57</v>
      </c>
      <c r="O67" s="737">
        <v>19.57</v>
      </c>
      <c r="P67" s="734"/>
      <c r="Q67" s="743">
        <f>SUM(D46,D51,D56,D61,D66)</f>
        <v>30615</v>
      </c>
      <c r="R67" s="744">
        <f t="shared" ref="R67:AB67" si="54">SUM(E46,E51,E56,E61,E66)</f>
        <v>27976</v>
      </c>
      <c r="S67" s="744">
        <f t="shared" si="54"/>
        <v>31714</v>
      </c>
      <c r="T67" s="744">
        <f t="shared" si="54"/>
        <v>0</v>
      </c>
      <c r="U67" s="744">
        <f t="shared" si="54"/>
        <v>0</v>
      </c>
      <c r="V67" s="744">
        <f t="shared" si="54"/>
        <v>0</v>
      </c>
      <c r="W67" s="744">
        <f t="shared" si="54"/>
        <v>0</v>
      </c>
      <c r="X67" s="744">
        <f t="shared" si="54"/>
        <v>0</v>
      </c>
      <c r="Y67" s="744">
        <f t="shared" si="54"/>
        <v>0</v>
      </c>
      <c r="Z67" s="744">
        <f t="shared" si="54"/>
        <v>0</v>
      </c>
      <c r="AA67" s="744">
        <f t="shared" si="54"/>
        <v>0</v>
      </c>
      <c r="AB67" s="745">
        <f t="shared" si="54"/>
        <v>0</v>
      </c>
      <c r="AC67" s="746">
        <f>SUM(Q67:AB67)</f>
        <v>90305</v>
      </c>
      <c r="AD67" s="720" t="s">
        <v>1079</v>
      </c>
    </row>
    <row r="68" spans="1:30" ht="24.75" customHeight="1" thickBot="1" x14ac:dyDescent="0.25">
      <c r="A68" s="3107"/>
      <c r="B68" s="747"/>
      <c r="C68" s="748" t="s">
        <v>1058</v>
      </c>
      <c r="D68" s="749">
        <f>D66*D67</f>
        <v>2820.9300000000003</v>
      </c>
      <c r="E68" s="749">
        <f t="shared" ref="E68:O68" si="55">E66*E67</f>
        <v>1919.0000000000002</v>
      </c>
      <c r="F68" s="749">
        <f t="shared" si="55"/>
        <v>1957.38</v>
      </c>
      <c r="G68" s="749">
        <f t="shared" si="55"/>
        <v>0</v>
      </c>
      <c r="H68" s="749">
        <f t="shared" si="55"/>
        <v>0</v>
      </c>
      <c r="I68" s="749">
        <f t="shared" si="55"/>
        <v>0</v>
      </c>
      <c r="J68" s="749">
        <f t="shared" si="55"/>
        <v>0</v>
      </c>
      <c r="K68" s="749">
        <f t="shared" si="55"/>
        <v>0</v>
      </c>
      <c r="L68" s="749">
        <f t="shared" si="55"/>
        <v>0</v>
      </c>
      <c r="M68" s="749">
        <f t="shared" si="55"/>
        <v>0</v>
      </c>
      <c r="N68" s="749">
        <f t="shared" si="55"/>
        <v>0</v>
      </c>
      <c r="O68" s="750">
        <f t="shared" si="55"/>
        <v>0</v>
      </c>
      <c r="P68" s="751"/>
      <c r="Q68" s="752">
        <f>SUM(D48,D53,D58,D63,D68)</f>
        <v>587501.85000000009</v>
      </c>
      <c r="R68" s="753">
        <f t="shared" ref="R68:AB68" si="56">SUM(E48,E53,E58,E63,E68)</f>
        <v>536859.44000000006</v>
      </c>
      <c r="S68" s="753">
        <f t="shared" si="56"/>
        <v>608591.66</v>
      </c>
      <c r="T68" s="753">
        <f t="shared" si="56"/>
        <v>0</v>
      </c>
      <c r="U68" s="753">
        <f t="shared" si="56"/>
        <v>0</v>
      </c>
      <c r="V68" s="753">
        <f t="shared" si="56"/>
        <v>0</v>
      </c>
      <c r="W68" s="753">
        <f t="shared" si="56"/>
        <v>0</v>
      </c>
      <c r="X68" s="753">
        <f t="shared" si="56"/>
        <v>0</v>
      </c>
      <c r="Y68" s="753">
        <f t="shared" si="56"/>
        <v>0</v>
      </c>
      <c r="Z68" s="753">
        <f t="shared" si="56"/>
        <v>0</v>
      </c>
      <c r="AA68" s="753">
        <f t="shared" si="56"/>
        <v>0</v>
      </c>
      <c r="AB68" s="754">
        <f t="shared" si="56"/>
        <v>0</v>
      </c>
      <c r="AC68" s="755">
        <f>SUM(Q68:AB68)</f>
        <v>1732952.9500000002</v>
      </c>
      <c r="AD68" s="756" t="s">
        <v>1080</v>
      </c>
    </row>
    <row r="69" spans="1:30" ht="12.75" thickBot="1" x14ac:dyDescent="0.25">
      <c r="A69" s="757"/>
      <c r="B69" s="687"/>
      <c r="C69" s="688"/>
      <c r="D69" s="689">
        <f>+D66+D61+D56+D51+D46+D41+D36+D31+D26-D21</f>
        <v>-7324</v>
      </c>
      <c r="E69" s="689">
        <f t="shared" ref="E69:O69" si="57">+E66+E61+E56+E51+E46+E41+E36+E31+E26-E21</f>
        <v>-6780</v>
      </c>
      <c r="F69" s="689">
        <f t="shared" si="57"/>
        <v>-7635</v>
      </c>
      <c r="G69" s="689">
        <f t="shared" si="57"/>
        <v>0</v>
      </c>
      <c r="H69" s="689">
        <f t="shared" si="57"/>
        <v>0</v>
      </c>
      <c r="I69" s="689">
        <f t="shared" si="57"/>
        <v>0</v>
      </c>
      <c r="J69" s="689">
        <f t="shared" si="57"/>
        <v>0</v>
      </c>
      <c r="K69" s="689">
        <f t="shared" si="57"/>
        <v>0</v>
      </c>
      <c r="L69" s="689">
        <f t="shared" si="57"/>
        <v>0</v>
      </c>
      <c r="M69" s="689">
        <f t="shared" si="57"/>
        <v>0</v>
      </c>
      <c r="N69" s="689">
        <f t="shared" si="57"/>
        <v>0</v>
      </c>
      <c r="O69" s="689">
        <f t="shared" si="57"/>
        <v>0</v>
      </c>
      <c r="P69" s="758"/>
      <c r="Q69" s="759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1">
        <f>SUM(Q69:AB69)</f>
        <v>0</v>
      </c>
      <c r="AD69" s="762"/>
    </row>
    <row r="70" spans="1:30" ht="12.75" hidden="1" thickBot="1" x14ac:dyDescent="0.25">
      <c r="A70" s="763"/>
      <c r="B70" s="764"/>
      <c r="C70" s="765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30"/>
      <c r="Q70" s="759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1"/>
      <c r="AD70" s="762"/>
    </row>
    <row r="71" spans="1:30" ht="15" customHeight="1" x14ac:dyDescent="0.2">
      <c r="A71" s="3105" t="s">
        <v>1081</v>
      </c>
      <c r="B71" s="3108"/>
      <c r="C71" s="728" t="s">
        <v>1082</v>
      </c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671"/>
    </row>
    <row r="72" spans="1:30" x14ac:dyDescent="0.2">
      <c r="A72" s="3106"/>
      <c r="B72" s="3109"/>
      <c r="C72" s="731" t="s">
        <v>1055</v>
      </c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9"/>
      <c r="P72" s="662"/>
    </row>
    <row r="73" spans="1:30" x14ac:dyDescent="0.2">
      <c r="A73" s="3106"/>
      <c r="B73" s="3109"/>
      <c r="C73" s="731" t="s">
        <v>1056</v>
      </c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70"/>
      <c r="P73" s="662">
        <f>SUM(D73:O73)</f>
        <v>0</v>
      </c>
    </row>
    <row r="74" spans="1:30" x14ac:dyDescent="0.2">
      <c r="A74" s="3106"/>
      <c r="B74" s="3109"/>
      <c r="C74" s="731" t="s">
        <v>1083</v>
      </c>
      <c r="D74" s="771">
        <v>50.67</v>
      </c>
      <c r="E74" s="771">
        <v>50.67</v>
      </c>
      <c r="F74" s="771">
        <v>50.67</v>
      </c>
      <c r="G74" s="771">
        <v>50.67</v>
      </c>
      <c r="H74" s="771">
        <v>50.67</v>
      </c>
      <c r="I74" s="771">
        <v>50.67</v>
      </c>
      <c r="J74" s="771">
        <v>50.67</v>
      </c>
      <c r="K74" s="771">
        <v>50.67</v>
      </c>
      <c r="L74" s="771">
        <v>50.67</v>
      </c>
      <c r="M74" s="771">
        <v>50.67</v>
      </c>
      <c r="N74" s="771">
        <v>50.67</v>
      </c>
      <c r="O74" s="772">
        <v>50.67</v>
      </c>
      <c r="P74" s="662"/>
    </row>
    <row r="75" spans="1:30" ht="12.75" thickBot="1" x14ac:dyDescent="0.25">
      <c r="A75" s="3107"/>
      <c r="B75" s="3110"/>
      <c r="C75" s="748" t="s">
        <v>1058</v>
      </c>
      <c r="D75" s="773">
        <f>SUM(D74*D73)</f>
        <v>0</v>
      </c>
      <c r="E75" s="773">
        <f>SUM(E74*E73)</f>
        <v>0</v>
      </c>
      <c r="F75" s="773">
        <f>SUM(F74*F73)</f>
        <v>0</v>
      </c>
      <c r="G75" s="773">
        <f t="shared" ref="G75" si="58">SUM(G74*G73)</f>
        <v>0</v>
      </c>
      <c r="H75" s="773">
        <f>SUM(H74*H73)</f>
        <v>0</v>
      </c>
      <c r="I75" s="773">
        <f>SUM(I74*I73)</f>
        <v>0</v>
      </c>
      <c r="J75" s="773">
        <f t="shared" ref="J75:O75" si="59">SUM(J74*J73)</f>
        <v>0</v>
      </c>
      <c r="K75" s="773">
        <f t="shared" si="59"/>
        <v>0</v>
      </c>
      <c r="L75" s="773">
        <f t="shared" si="59"/>
        <v>0</v>
      </c>
      <c r="M75" s="773">
        <f t="shared" si="59"/>
        <v>0</v>
      </c>
      <c r="N75" s="773">
        <f t="shared" si="59"/>
        <v>0</v>
      </c>
      <c r="O75" s="774">
        <f t="shared" si="59"/>
        <v>0</v>
      </c>
      <c r="P75" s="681"/>
    </row>
    <row r="76" spans="1:30" ht="12.75" thickBot="1" x14ac:dyDescent="0.25">
      <c r="A76" s="763"/>
      <c r="B76" s="764"/>
      <c r="C76" s="765"/>
      <c r="D76" s="766"/>
      <c r="E76" s="766"/>
      <c r="F76" s="766"/>
      <c r="G76" s="766"/>
      <c r="H76" s="766"/>
      <c r="I76" s="766"/>
      <c r="J76" s="766"/>
      <c r="K76" s="766"/>
      <c r="L76" s="766"/>
      <c r="M76" s="766"/>
      <c r="N76" s="766"/>
      <c r="O76" s="766"/>
      <c r="P76" s="730"/>
      <c r="Q76" s="759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1"/>
      <c r="AD76" s="762"/>
    </row>
    <row r="77" spans="1:30" ht="15" customHeight="1" x14ac:dyDescent="0.2">
      <c r="A77" s="3111" t="s">
        <v>1084</v>
      </c>
      <c r="B77" s="3114" t="s">
        <v>1085</v>
      </c>
      <c r="C77" s="775" t="s">
        <v>1082</v>
      </c>
      <c r="D77" s="776">
        <v>65577</v>
      </c>
      <c r="E77" s="776">
        <v>66563</v>
      </c>
      <c r="F77" s="776">
        <f>E78</f>
        <v>67488</v>
      </c>
      <c r="G77" s="776">
        <f t="shared" ref="G77:O77" si="60">F78</f>
        <v>0</v>
      </c>
      <c r="H77" s="776">
        <f t="shared" si="60"/>
        <v>0</v>
      </c>
      <c r="I77" s="776">
        <f t="shared" si="60"/>
        <v>0</v>
      </c>
      <c r="J77" s="776">
        <f t="shared" si="60"/>
        <v>0</v>
      </c>
      <c r="K77" s="776">
        <f t="shared" si="60"/>
        <v>0</v>
      </c>
      <c r="L77" s="776">
        <f t="shared" si="60"/>
        <v>0</v>
      </c>
      <c r="M77" s="776">
        <f t="shared" si="60"/>
        <v>0</v>
      </c>
      <c r="N77" s="776">
        <f t="shared" si="60"/>
        <v>0</v>
      </c>
      <c r="O77" s="776">
        <f t="shared" si="60"/>
        <v>0</v>
      </c>
      <c r="P77" s="671"/>
    </row>
    <row r="78" spans="1:30" x14ac:dyDescent="0.2">
      <c r="A78" s="3112"/>
      <c r="B78" s="3115"/>
      <c r="C78" s="777" t="s">
        <v>1055</v>
      </c>
      <c r="D78" s="778">
        <v>66563</v>
      </c>
      <c r="E78" s="778">
        <v>67488</v>
      </c>
      <c r="F78" s="778"/>
      <c r="G78" s="778"/>
      <c r="H78" s="778"/>
      <c r="I78" s="778"/>
      <c r="J78" s="778"/>
      <c r="K78" s="778"/>
      <c r="L78" s="778"/>
      <c r="M78" s="778"/>
      <c r="N78" s="778"/>
      <c r="O78" s="779"/>
      <c r="P78" s="662"/>
    </row>
    <row r="79" spans="1:30" x14ac:dyDescent="0.2">
      <c r="A79" s="3112"/>
      <c r="B79" s="3115"/>
      <c r="C79" s="777" t="s">
        <v>1056</v>
      </c>
      <c r="D79" s="778">
        <f>SUM(D78-D77)</f>
        <v>986</v>
      </c>
      <c r="E79" s="778">
        <f>SUM(E78-E77)</f>
        <v>925</v>
      </c>
      <c r="F79" s="778">
        <v>0</v>
      </c>
      <c r="G79" s="778">
        <v>0</v>
      </c>
      <c r="H79" s="778">
        <v>0</v>
      </c>
      <c r="I79" s="778">
        <v>0</v>
      </c>
      <c r="J79" s="778">
        <v>0</v>
      </c>
      <c r="K79" s="778">
        <v>0</v>
      </c>
      <c r="L79" s="778">
        <v>0</v>
      </c>
      <c r="M79" s="778">
        <v>0</v>
      </c>
      <c r="N79" s="778">
        <v>0</v>
      </c>
      <c r="O79" s="780">
        <v>0</v>
      </c>
      <c r="P79" s="662">
        <f>SUM(D79:O79)</f>
        <v>1911</v>
      </c>
    </row>
    <row r="80" spans="1:30" x14ac:dyDescent="0.2">
      <c r="A80" s="3112"/>
      <c r="B80" s="3115"/>
      <c r="C80" s="777" t="s">
        <v>1083</v>
      </c>
      <c r="D80" s="781">
        <v>31.04</v>
      </c>
      <c r="E80" s="781">
        <v>31.04</v>
      </c>
      <c r="F80" s="781">
        <v>31.04</v>
      </c>
      <c r="G80" s="781">
        <v>31.04</v>
      </c>
      <c r="H80" s="781">
        <v>31.04</v>
      </c>
      <c r="I80" s="781">
        <v>31.04</v>
      </c>
      <c r="J80" s="781">
        <v>31.04</v>
      </c>
      <c r="K80" s="781">
        <v>31.04</v>
      </c>
      <c r="L80" s="781">
        <v>31.04</v>
      </c>
      <c r="M80" s="781">
        <v>31.04</v>
      </c>
      <c r="N80" s="781">
        <v>31.04</v>
      </c>
      <c r="O80" s="782">
        <v>31.04</v>
      </c>
      <c r="P80" s="662"/>
    </row>
    <row r="81" spans="1:16" ht="12.75" thickBot="1" x14ac:dyDescent="0.25">
      <c r="A81" s="3113"/>
      <c r="B81" s="3116"/>
      <c r="C81" s="783" t="s">
        <v>1058</v>
      </c>
      <c r="D81" s="784">
        <f>SUM(D80*D79)</f>
        <v>30605.439999999999</v>
      </c>
      <c r="E81" s="784">
        <f>SUM(E80*E79)</f>
        <v>28712</v>
      </c>
      <c r="F81" s="784">
        <f>SUM(F80*F79)</f>
        <v>0</v>
      </c>
      <c r="G81" s="784">
        <f t="shared" ref="G81:O81" si="61">SUM(G80*G79)</f>
        <v>0</v>
      </c>
      <c r="H81" s="784">
        <f>SUM(H80*H79)</f>
        <v>0</v>
      </c>
      <c r="I81" s="784">
        <f>SUM(I80*I79)</f>
        <v>0</v>
      </c>
      <c r="J81" s="784">
        <f t="shared" si="61"/>
        <v>0</v>
      </c>
      <c r="K81" s="784">
        <f t="shared" si="61"/>
        <v>0</v>
      </c>
      <c r="L81" s="784">
        <f t="shared" si="61"/>
        <v>0</v>
      </c>
      <c r="M81" s="784">
        <f t="shared" si="61"/>
        <v>0</v>
      </c>
      <c r="N81" s="784">
        <f t="shared" si="61"/>
        <v>0</v>
      </c>
      <c r="O81" s="785">
        <f t="shared" si="61"/>
        <v>0</v>
      </c>
      <c r="P81" s="681"/>
    </row>
    <row r="82" spans="1:16" x14ac:dyDescent="0.2">
      <c r="A82" s="3117" t="s">
        <v>1086</v>
      </c>
      <c r="B82" s="3120" t="s">
        <v>1087</v>
      </c>
      <c r="C82" s="786" t="s">
        <v>1082</v>
      </c>
      <c r="D82" s="670">
        <v>3239</v>
      </c>
      <c r="E82" s="670">
        <v>3668</v>
      </c>
      <c r="F82" s="670">
        <v>3963</v>
      </c>
      <c r="G82" s="670"/>
      <c r="H82" s="670"/>
      <c r="I82" s="670"/>
      <c r="J82" s="670"/>
      <c r="K82" s="670"/>
      <c r="L82" s="670"/>
      <c r="M82" s="670"/>
      <c r="N82" s="670"/>
      <c r="O82" s="787"/>
      <c r="P82" s="671"/>
    </row>
    <row r="83" spans="1:16" x14ac:dyDescent="0.2">
      <c r="A83" s="3118"/>
      <c r="B83" s="3121"/>
      <c r="C83" s="788"/>
      <c r="D83" s="673">
        <v>24552</v>
      </c>
      <c r="E83" s="673">
        <v>25473</v>
      </c>
      <c r="F83" s="673">
        <v>26162</v>
      </c>
      <c r="G83" s="673"/>
      <c r="H83" s="673"/>
      <c r="I83" s="673"/>
      <c r="J83" s="673"/>
      <c r="K83" s="673"/>
      <c r="L83" s="673"/>
      <c r="M83" s="673"/>
      <c r="N83" s="673"/>
      <c r="O83" s="789"/>
      <c r="P83" s="662"/>
    </row>
    <row r="84" spans="1:16" x14ac:dyDescent="0.2">
      <c r="A84" s="3118"/>
      <c r="B84" s="3121"/>
      <c r="C84" s="788" t="s">
        <v>1055</v>
      </c>
      <c r="D84" s="673">
        <v>3668</v>
      </c>
      <c r="E84" s="673">
        <v>3963</v>
      </c>
      <c r="F84" s="673">
        <v>4156</v>
      </c>
      <c r="G84" s="673"/>
      <c r="H84" s="673"/>
      <c r="I84" s="673"/>
      <c r="J84" s="673"/>
      <c r="K84" s="673"/>
      <c r="L84" s="673"/>
      <c r="M84" s="673"/>
      <c r="N84" s="673"/>
      <c r="O84" s="789"/>
      <c r="P84" s="662"/>
    </row>
    <row r="85" spans="1:16" x14ac:dyDescent="0.2">
      <c r="A85" s="3118"/>
      <c r="B85" s="3121"/>
      <c r="C85" s="788"/>
      <c r="D85" s="673">
        <v>25473</v>
      </c>
      <c r="E85" s="673">
        <v>26162</v>
      </c>
      <c r="F85" s="673">
        <v>26655</v>
      </c>
      <c r="G85" s="673"/>
      <c r="H85" s="673"/>
      <c r="I85" s="673"/>
      <c r="J85" s="673"/>
      <c r="K85" s="673"/>
      <c r="L85" s="673"/>
      <c r="M85" s="673"/>
      <c r="N85" s="673"/>
      <c r="O85" s="789"/>
      <c r="P85" s="662"/>
    </row>
    <row r="86" spans="1:16" x14ac:dyDescent="0.2">
      <c r="A86" s="3118"/>
      <c r="B86" s="3121"/>
      <c r="C86" s="788" t="s">
        <v>1056</v>
      </c>
      <c r="D86" s="673">
        <f>SUM(D84+D85)-(D82+D83)</f>
        <v>1350</v>
      </c>
      <c r="E86" s="673">
        <f t="shared" ref="E86:O86" si="62">SUM(E84+E85)-(E82+E83)</f>
        <v>984</v>
      </c>
      <c r="F86" s="673">
        <f t="shared" si="62"/>
        <v>686</v>
      </c>
      <c r="G86" s="673">
        <f t="shared" si="62"/>
        <v>0</v>
      </c>
      <c r="H86" s="673">
        <f t="shared" si="62"/>
        <v>0</v>
      </c>
      <c r="I86" s="673">
        <f t="shared" si="62"/>
        <v>0</v>
      </c>
      <c r="J86" s="673">
        <f t="shared" si="62"/>
        <v>0</v>
      </c>
      <c r="K86" s="673">
        <f t="shared" si="62"/>
        <v>0</v>
      </c>
      <c r="L86" s="673">
        <f t="shared" si="62"/>
        <v>0</v>
      </c>
      <c r="M86" s="673">
        <f t="shared" si="62"/>
        <v>0</v>
      </c>
      <c r="N86" s="673">
        <f t="shared" si="62"/>
        <v>0</v>
      </c>
      <c r="O86" s="790">
        <f t="shared" si="62"/>
        <v>0</v>
      </c>
      <c r="P86" s="662">
        <f>SUM(D86:O86)</f>
        <v>3020</v>
      </c>
    </row>
    <row r="87" spans="1:16" x14ac:dyDescent="0.2">
      <c r="A87" s="3118"/>
      <c r="B87" s="3121"/>
      <c r="C87" s="788" t="s">
        <v>1083</v>
      </c>
      <c r="D87" s="676">
        <v>30.72</v>
      </c>
      <c r="E87" s="676">
        <v>30.72</v>
      </c>
      <c r="F87" s="676">
        <v>30.72</v>
      </c>
      <c r="G87" s="676">
        <v>30.72</v>
      </c>
      <c r="H87" s="676">
        <v>30.72</v>
      </c>
      <c r="I87" s="676">
        <v>30.72</v>
      </c>
      <c r="J87" s="676">
        <v>30.72</v>
      </c>
      <c r="K87" s="676">
        <v>30.72</v>
      </c>
      <c r="L87" s="676">
        <v>30.72</v>
      </c>
      <c r="M87" s="676">
        <v>30.72</v>
      </c>
      <c r="N87" s="676">
        <v>30.72</v>
      </c>
      <c r="O87" s="791">
        <v>30.72</v>
      </c>
      <c r="P87" s="662"/>
    </row>
    <row r="88" spans="1:16" ht="12.75" thickBot="1" x14ac:dyDescent="0.25">
      <c r="A88" s="3119"/>
      <c r="B88" s="3122"/>
      <c r="C88" s="792" t="s">
        <v>1058</v>
      </c>
      <c r="D88" s="793">
        <f>SUM(D87*D86)</f>
        <v>41472</v>
      </c>
      <c r="E88" s="793">
        <f t="shared" ref="E88:O88" si="63">SUM(E87*E86)</f>
        <v>30228.48</v>
      </c>
      <c r="F88" s="793">
        <f>SUM(F87*F86)</f>
        <v>21073.919999999998</v>
      </c>
      <c r="G88" s="793">
        <f t="shared" si="63"/>
        <v>0</v>
      </c>
      <c r="H88" s="793">
        <f t="shared" si="63"/>
        <v>0</v>
      </c>
      <c r="I88" s="793">
        <f t="shared" si="63"/>
        <v>0</v>
      </c>
      <c r="J88" s="793">
        <f t="shared" si="63"/>
        <v>0</v>
      </c>
      <c r="K88" s="793">
        <f t="shared" si="63"/>
        <v>0</v>
      </c>
      <c r="L88" s="793">
        <f t="shared" si="63"/>
        <v>0</v>
      </c>
      <c r="M88" s="793">
        <f t="shared" si="63"/>
        <v>0</v>
      </c>
      <c r="N88" s="793">
        <f t="shared" si="63"/>
        <v>0</v>
      </c>
      <c r="O88" s="794">
        <f t="shared" si="63"/>
        <v>0</v>
      </c>
      <c r="P88" s="681"/>
    </row>
    <row r="89" spans="1:16" x14ac:dyDescent="0.2">
      <c r="B89" s="795" t="s">
        <v>1088</v>
      </c>
      <c r="C89" s="796" t="s">
        <v>1054</v>
      </c>
      <c r="D89" s="797">
        <v>4049</v>
      </c>
      <c r="E89" s="797">
        <f>D90</f>
        <v>4050</v>
      </c>
      <c r="F89" s="797">
        <f>E90</f>
        <v>4052</v>
      </c>
      <c r="G89" s="797">
        <f t="shared" ref="G89:O89" si="64">F90</f>
        <v>4053</v>
      </c>
      <c r="H89" s="797">
        <f t="shared" si="64"/>
        <v>0</v>
      </c>
      <c r="I89" s="797">
        <f t="shared" si="64"/>
        <v>0</v>
      </c>
      <c r="J89" s="797">
        <f t="shared" si="64"/>
        <v>0</v>
      </c>
      <c r="K89" s="797">
        <f t="shared" si="64"/>
        <v>0</v>
      </c>
      <c r="L89" s="797">
        <f t="shared" si="64"/>
        <v>0</v>
      </c>
      <c r="M89" s="797">
        <f t="shared" si="64"/>
        <v>0</v>
      </c>
      <c r="N89" s="797">
        <f t="shared" si="64"/>
        <v>0</v>
      </c>
      <c r="O89" s="797">
        <f t="shared" si="64"/>
        <v>0</v>
      </c>
      <c r="P89" s="671"/>
    </row>
    <row r="90" spans="1:16" x14ac:dyDescent="0.2">
      <c r="B90" s="798"/>
      <c r="C90" s="799" t="s">
        <v>1089</v>
      </c>
      <c r="D90" s="800">
        <v>4050</v>
      </c>
      <c r="E90" s="800">
        <v>4052</v>
      </c>
      <c r="F90" s="800">
        <v>4053</v>
      </c>
      <c r="G90" s="800"/>
      <c r="H90" s="800"/>
      <c r="I90" s="800"/>
      <c r="J90" s="800"/>
      <c r="K90" s="800"/>
      <c r="L90" s="800"/>
      <c r="M90" s="800"/>
      <c r="N90" s="800"/>
      <c r="O90" s="801"/>
      <c r="P90" s="662"/>
    </row>
    <row r="91" spans="1:16" ht="12.75" thickBot="1" x14ac:dyDescent="0.25">
      <c r="B91" s="802"/>
      <c r="C91" s="803" t="s">
        <v>1056</v>
      </c>
      <c r="D91" s="804">
        <f>D90-D89</f>
        <v>1</v>
      </c>
      <c r="E91" s="804">
        <f>E90-E89</f>
        <v>2</v>
      </c>
      <c r="F91" s="804">
        <f t="shared" ref="F91:O91" si="65">F90-F89</f>
        <v>1</v>
      </c>
      <c r="G91" s="804">
        <v>0</v>
      </c>
      <c r="H91" s="804">
        <f t="shared" si="65"/>
        <v>0</v>
      </c>
      <c r="I91" s="804">
        <f t="shared" si="65"/>
        <v>0</v>
      </c>
      <c r="J91" s="804">
        <f t="shared" si="65"/>
        <v>0</v>
      </c>
      <c r="K91" s="804">
        <f t="shared" si="65"/>
        <v>0</v>
      </c>
      <c r="L91" s="804">
        <f t="shared" si="65"/>
        <v>0</v>
      </c>
      <c r="M91" s="804">
        <f t="shared" si="65"/>
        <v>0</v>
      </c>
      <c r="N91" s="804">
        <f t="shared" si="65"/>
        <v>0</v>
      </c>
      <c r="O91" s="805">
        <f t="shared" si="65"/>
        <v>0</v>
      </c>
      <c r="P91" s="681">
        <f>SUM(D91:O91)</f>
        <v>4</v>
      </c>
    </row>
    <row r="92" spans="1:16" x14ac:dyDescent="0.2">
      <c r="B92" s="806" t="s">
        <v>1090</v>
      </c>
      <c r="C92" s="807" t="s">
        <v>1054</v>
      </c>
      <c r="D92" s="808">
        <v>8097</v>
      </c>
      <c r="E92" s="808">
        <f>D93</f>
        <v>8148</v>
      </c>
      <c r="F92" s="808">
        <f>E93</f>
        <v>8196</v>
      </c>
      <c r="G92" s="808">
        <f t="shared" ref="G92:O92" si="66">F93</f>
        <v>8263</v>
      </c>
      <c r="H92" s="808">
        <f t="shared" si="66"/>
        <v>0</v>
      </c>
      <c r="I92" s="808">
        <f t="shared" si="66"/>
        <v>0</v>
      </c>
      <c r="J92" s="808">
        <f t="shared" si="66"/>
        <v>0</v>
      </c>
      <c r="K92" s="808">
        <f t="shared" si="66"/>
        <v>0</v>
      </c>
      <c r="L92" s="808">
        <f t="shared" si="66"/>
        <v>0</v>
      </c>
      <c r="M92" s="808">
        <f t="shared" si="66"/>
        <v>0</v>
      </c>
      <c r="N92" s="808">
        <f t="shared" si="66"/>
        <v>0</v>
      </c>
      <c r="O92" s="808">
        <f t="shared" si="66"/>
        <v>0</v>
      </c>
      <c r="P92" s="671"/>
    </row>
    <row r="93" spans="1:16" x14ac:dyDescent="0.2">
      <c r="B93" s="809"/>
      <c r="C93" s="810" t="s">
        <v>1089</v>
      </c>
      <c r="D93" s="808">
        <v>8148</v>
      </c>
      <c r="E93" s="808">
        <v>8196</v>
      </c>
      <c r="F93" s="808">
        <v>8263</v>
      </c>
      <c r="G93" s="808"/>
      <c r="H93" s="808"/>
      <c r="I93" s="808"/>
      <c r="J93" s="808"/>
      <c r="K93" s="808"/>
      <c r="L93" s="808"/>
      <c r="M93" s="808"/>
      <c r="N93" s="808"/>
      <c r="O93" s="811"/>
      <c r="P93" s="662"/>
    </row>
    <row r="94" spans="1:16" ht="12.75" thickBot="1" x14ac:dyDescent="0.25">
      <c r="B94" s="812"/>
      <c r="C94" s="813" t="s">
        <v>1056</v>
      </c>
      <c r="D94" s="814">
        <f>D93-D92</f>
        <v>51</v>
      </c>
      <c r="E94" s="814">
        <f>E93-E92</f>
        <v>48</v>
      </c>
      <c r="F94" s="814">
        <f t="shared" ref="F94:O94" si="67">F93-F92</f>
        <v>67</v>
      </c>
      <c r="G94" s="814">
        <v>0</v>
      </c>
      <c r="H94" s="814">
        <f t="shared" si="67"/>
        <v>0</v>
      </c>
      <c r="I94" s="814">
        <f t="shared" si="67"/>
        <v>0</v>
      </c>
      <c r="J94" s="814">
        <f t="shared" si="67"/>
        <v>0</v>
      </c>
      <c r="K94" s="814">
        <f t="shared" si="67"/>
        <v>0</v>
      </c>
      <c r="L94" s="814">
        <f t="shared" si="67"/>
        <v>0</v>
      </c>
      <c r="M94" s="814">
        <f t="shared" si="67"/>
        <v>0</v>
      </c>
      <c r="N94" s="814">
        <f t="shared" si="67"/>
        <v>0</v>
      </c>
      <c r="O94" s="815">
        <f t="shared" si="67"/>
        <v>0</v>
      </c>
      <c r="P94" s="681">
        <f>SUM(D94:O94)</f>
        <v>166</v>
      </c>
    </row>
    <row r="95" spans="1:16" x14ac:dyDescent="0.2">
      <c r="B95" s="3102" t="s">
        <v>1091</v>
      </c>
      <c r="C95" s="816" t="s">
        <v>1054</v>
      </c>
      <c r="D95" s="817">
        <v>89067</v>
      </c>
      <c r="E95" s="817">
        <f>D96</f>
        <v>89251</v>
      </c>
      <c r="F95" s="817">
        <f>E96</f>
        <v>89420</v>
      </c>
      <c r="G95" s="817">
        <f t="shared" ref="G95:O95" si="68">F96</f>
        <v>89642</v>
      </c>
      <c r="H95" s="817">
        <f t="shared" si="68"/>
        <v>0</v>
      </c>
      <c r="I95" s="817">
        <f t="shared" si="68"/>
        <v>0</v>
      </c>
      <c r="J95" s="817">
        <f t="shared" si="68"/>
        <v>0</v>
      </c>
      <c r="K95" s="817">
        <f t="shared" si="68"/>
        <v>0</v>
      </c>
      <c r="L95" s="817">
        <f t="shared" si="68"/>
        <v>0</v>
      </c>
      <c r="M95" s="817">
        <f t="shared" si="68"/>
        <v>0</v>
      </c>
      <c r="N95" s="817">
        <f t="shared" si="68"/>
        <v>0</v>
      </c>
      <c r="O95" s="817">
        <f t="shared" si="68"/>
        <v>0</v>
      </c>
      <c r="P95" s="671"/>
    </row>
    <row r="96" spans="1:16" x14ac:dyDescent="0.2">
      <c r="B96" s="3103"/>
      <c r="C96" s="818" t="s">
        <v>1089</v>
      </c>
      <c r="D96" s="819">
        <v>89251</v>
      </c>
      <c r="E96" s="819">
        <v>89420</v>
      </c>
      <c r="F96" s="819">
        <v>89642</v>
      </c>
      <c r="G96" s="819"/>
      <c r="H96" s="819"/>
      <c r="I96" s="819"/>
      <c r="J96" s="819"/>
      <c r="K96" s="819"/>
      <c r="L96" s="819"/>
      <c r="M96" s="819"/>
      <c r="N96" s="819"/>
      <c r="O96" s="820"/>
      <c r="P96" s="662"/>
    </row>
    <row r="97" spans="1:17" ht="20.25" customHeight="1" thickBot="1" x14ac:dyDescent="0.25">
      <c r="B97" s="3104"/>
      <c r="C97" s="821" t="s">
        <v>1056</v>
      </c>
      <c r="D97" s="822">
        <f>D96-D95</f>
        <v>184</v>
      </c>
      <c r="E97" s="822">
        <f>E96-E95</f>
        <v>169</v>
      </c>
      <c r="F97" s="822">
        <f t="shared" ref="F97:O97" si="69">F96-F95</f>
        <v>222</v>
      </c>
      <c r="G97" s="822">
        <v>0</v>
      </c>
      <c r="H97" s="822">
        <f t="shared" si="69"/>
        <v>0</v>
      </c>
      <c r="I97" s="822">
        <f t="shared" si="69"/>
        <v>0</v>
      </c>
      <c r="J97" s="822">
        <f t="shared" si="69"/>
        <v>0</v>
      </c>
      <c r="K97" s="822">
        <f t="shared" si="69"/>
        <v>0</v>
      </c>
      <c r="L97" s="822">
        <f t="shared" si="69"/>
        <v>0</v>
      </c>
      <c r="M97" s="822">
        <f t="shared" si="69"/>
        <v>0</v>
      </c>
      <c r="N97" s="822">
        <f t="shared" si="69"/>
        <v>0</v>
      </c>
      <c r="O97" s="823">
        <f t="shared" si="69"/>
        <v>0</v>
      </c>
      <c r="P97" s="681">
        <f>SUM(D97:O97)</f>
        <v>575</v>
      </c>
    </row>
    <row r="98" spans="1:17" ht="12.75" thickBot="1" x14ac:dyDescent="0.25"/>
    <row r="99" spans="1:17" ht="15" customHeight="1" x14ac:dyDescent="0.2">
      <c r="A99" s="3105" t="s">
        <v>1081</v>
      </c>
      <c r="B99" s="3108"/>
      <c r="C99" s="728" t="s">
        <v>1082</v>
      </c>
      <c r="D99" s="767"/>
      <c r="E99" s="767"/>
      <c r="F99" s="767"/>
      <c r="G99" s="767"/>
      <c r="H99" s="767"/>
      <c r="I99" s="767"/>
      <c r="J99" s="767"/>
      <c r="K99" s="767"/>
      <c r="L99" s="767"/>
      <c r="M99" s="767"/>
      <c r="N99" s="767"/>
      <c r="O99" s="767"/>
      <c r="P99" s="671"/>
    </row>
    <row r="100" spans="1:17" x14ac:dyDescent="0.2">
      <c r="A100" s="3106"/>
      <c r="B100" s="3109"/>
      <c r="C100" s="731" t="s">
        <v>1055</v>
      </c>
      <c r="D100" s="768"/>
      <c r="E100" s="768"/>
      <c r="F100" s="768"/>
      <c r="G100" s="768"/>
      <c r="H100" s="768"/>
      <c r="I100" s="768"/>
      <c r="J100" s="768"/>
      <c r="K100" s="768"/>
      <c r="L100" s="768"/>
      <c r="M100" s="768"/>
      <c r="N100" s="768"/>
      <c r="O100" s="769"/>
      <c r="P100" s="662"/>
    </row>
    <row r="101" spans="1:17" x14ac:dyDescent="0.2">
      <c r="A101" s="3106"/>
      <c r="B101" s="3109"/>
      <c r="C101" s="731" t="s">
        <v>1056</v>
      </c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70"/>
      <c r="P101" s="662">
        <f>SUM(D101:O101)</f>
        <v>0</v>
      </c>
    </row>
    <row r="102" spans="1:17" x14ac:dyDescent="0.2">
      <c r="A102" s="3106"/>
      <c r="B102" s="3109"/>
      <c r="C102" s="731" t="s">
        <v>1083</v>
      </c>
      <c r="D102" s="771">
        <v>47.91</v>
      </c>
      <c r="E102" s="771">
        <v>47.91</v>
      </c>
      <c r="F102" s="771">
        <v>47.91</v>
      </c>
      <c r="G102" s="771">
        <v>47.91</v>
      </c>
      <c r="H102" s="771">
        <v>47.91</v>
      </c>
      <c r="I102" s="771">
        <v>47.91</v>
      </c>
      <c r="J102" s="771">
        <v>47.91</v>
      </c>
      <c r="K102" s="771">
        <v>47.91</v>
      </c>
      <c r="L102" s="771">
        <v>47.91</v>
      </c>
      <c r="M102" s="771">
        <v>47.91</v>
      </c>
      <c r="N102" s="771">
        <v>47.91</v>
      </c>
      <c r="O102" s="772">
        <v>47.91</v>
      </c>
      <c r="P102" s="662"/>
    </row>
    <row r="103" spans="1:17" ht="12.75" thickBot="1" x14ac:dyDescent="0.25">
      <c r="A103" s="3107"/>
      <c r="B103" s="3110"/>
      <c r="C103" s="748" t="s">
        <v>1058</v>
      </c>
      <c r="D103" s="773">
        <f>SUM(D102*D101)</f>
        <v>0</v>
      </c>
      <c r="E103" s="773">
        <f>SUM(E102*E101)</f>
        <v>0</v>
      </c>
      <c r="F103" s="773">
        <f>SUM(F102*F101)</f>
        <v>0</v>
      </c>
      <c r="G103" s="773">
        <f t="shared" ref="G103" si="70">SUM(G102*G101)</f>
        <v>0</v>
      </c>
      <c r="H103" s="773">
        <f>SUM(H102*H101)</f>
        <v>0</v>
      </c>
      <c r="I103" s="773">
        <f>SUM(I102*I101)</f>
        <v>0</v>
      </c>
      <c r="J103" s="773">
        <f t="shared" ref="J103:O103" si="71">SUM(J102*J101)</f>
        <v>0</v>
      </c>
      <c r="K103" s="773">
        <f t="shared" si="71"/>
        <v>0</v>
      </c>
      <c r="L103" s="773">
        <f t="shared" si="71"/>
        <v>0</v>
      </c>
      <c r="M103" s="773">
        <f t="shared" si="71"/>
        <v>0</v>
      </c>
      <c r="N103" s="773">
        <f t="shared" si="71"/>
        <v>0</v>
      </c>
      <c r="O103" s="774">
        <f t="shared" si="71"/>
        <v>0</v>
      </c>
      <c r="P103" s="681"/>
    </row>
    <row r="106" spans="1:17" x14ac:dyDescent="0.2">
      <c r="B106" s="648" t="s">
        <v>1092</v>
      </c>
      <c r="D106" s="648" t="s">
        <v>1093</v>
      </c>
      <c r="F106" s="648" t="s">
        <v>581</v>
      </c>
    </row>
    <row r="109" spans="1:17" ht="12.75" x14ac:dyDescent="0.2">
      <c r="A109" s="824" t="s">
        <v>1094</v>
      </c>
      <c r="D109" s="701">
        <f>+D7+D23</f>
        <v>1332100.6600000001</v>
      </c>
      <c r="E109" s="701">
        <f t="shared" ref="E109:N109" si="72">+E7+E23</f>
        <v>1526684.87</v>
      </c>
      <c r="F109" s="701">
        <f t="shared" si="72"/>
        <v>1653794.1400000001</v>
      </c>
      <c r="G109" s="701">
        <f t="shared" si="72"/>
        <v>0</v>
      </c>
      <c r="H109" s="701">
        <f t="shared" si="72"/>
        <v>0</v>
      </c>
      <c r="I109" s="701">
        <f t="shared" si="72"/>
        <v>0</v>
      </c>
      <c r="J109" s="701">
        <f t="shared" si="72"/>
        <v>0</v>
      </c>
      <c r="K109" s="701">
        <f t="shared" si="72"/>
        <v>0</v>
      </c>
      <c r="L109" s="701">
        <f t="shared" si="72"/>
        <v>0</v>
      </c>
      <c r="M109" s="701">
        <f t="shared" si="72"/>
        <v>0</v>
      </c>
      <c r="N109" s="701">
        <f t="shared" si="72"/>
        <v>0</v>
      </c>
      <c r="O109" s="701">
        <f>+O7+O23+O48+O53+O58+O63+O68</f>
        <v>0</v>
      </c>
      <c r="P109" s="701">
        <f>SUM(D109:O109)</f>
        <v>4512579.67</v>
      </c>
      <c r="Q109" s="826">
        <f>+P109/3*12</f>
        <v>18050318.68</v>
      </c>
    </row>
    <row r="110" spans="1:17" ht="12.75" x14ac:dyDescent="0.2">
      <c r="A110" s="824" t="s">
        <v>1095</v>
      </c>
      <c r="D110" s="701">
        <f>+D12+D17+D28+D33+D38+D43+D48+D53+D58+D63+D68</f>
        <v>1783889.64</v>
      </c>
      <c r="E110" s="701">
        <f t="shared" ref="E110:N110" si="73">+E12+E17+E28+E33+E38+E43+E48+E53+E58+E63+E68</f>
        <v>1614478.43</v>
      </c>
      <c r="F110" s="701">
        <f t="shared" si="73"/>
        <v>1861752.0099999998</v>
      </c>
      <c r="G110" s="701">
        <f t="shared" si="73"/>
        <v>0</v>
      </c>
      <c r="H110" s="701">
        <f t="shared" si="73"/>
        <v>0</v>
      </c>
      <c r="I110" s="701">
        <f t="shared" si="73"/>
        <v>0</v>
      </c>
      <c r="J110" s="701">
        <f t="shared" si="73"/>
        <v>0</v>
      </c>
      <c r="K110" s="701">
        <f t="shared" si="73"/>
        <v>0</v>
      </c>
      <c r="L110" s="701">
        <f t="shared" si="73"/>
        <v>0</v>
      </c>
      <c r="M110" s="701">
        <f t="shared" si="73"/>
        <v>0</v>
      </c>
      <c r="N110" s="701">
        <f t="shared" si="73"/>
        <v>0</v>
      </c>
      <c r="O110" s="701">
        <f>+O12+O17+O28+O33+O38+O43+O48+O53+O58+O63+O68</f>
        <v>0</v>
      </c>
      <c r="P110" s="701">
        <f>SUM(D110:O110)</f>
        <v>5260120.08</v>
      </c>
      <c r="Q110" s="826">
        <f t="shared" ref="Q110" si="74">+P110/3*12</f>
        <v>21040480.32</v>
      </c>
    </row>
    <row r="111" spans="1:17" x14ac:dyDescent="0.2">
      <c r="D111" s="825">
        <f>+D110-D109</f>
        <v>451788.97999999975</v>
      </c>
      <c r="E111" s="825">
        <f t="shared" ref="E111:P111" si="75">+E110-E109</f>
        <v>87793.559999999823</v>
      </c>
      <c r="F111" s="825">
        <f t="shared" si="75"/>
        <v>207957.86999999965</v>
      </c>
      <c r="G111" s="825">
        <f t="shared" si="75"/>
        <v>0</v>
      </c>
      <c r="H111" s="825">
        <f t="shared" si="75"/>
        <v>0</v>
      </c>
      <c r="I111" s="825">
        <f t="shared" si="75"/>
        <v>0</v>
      </c>
      <c r="J111" s="825">
        <f t="shared" si="75"/>
        <v>0</v>
      </c>
      <c r="K111" s="825">
        <f t="shared" si="75"/>
        <v>0</v>
      </c>
      <c r="L111" s="825">
        <f t="shared" si="75"/>
        <v>0</v>
      </c>
      <c r="M111" s="825">
        <f t="shared" si="75"/>
        <v>0</v>
      </c>
      <c r="N111" s="825">
        <f t="shared" si="75"/>
        <v>0</v>
      </c>
      <c r="O111" s="825">
        <f t="shared" si="75"/>
        <v>0</v>
      </c>
      <c r="P111" s="825">
        <f t="shared" si="75"/>
        <v>747540.41000000015</v>
      </c>
    </row>
    <row r="113" spans="1:17" ht="12.75" x14ac:dyDescent="0.2">
      <c r="A113" s="824" t="s">
        <v>1096</v>
      </c>
      <c r="D113" s="701">
        <f>+D48+D53+D58+D63+D68+D81</f>
        <v>618107.29</v>
      </c>
      <c r="E113" s="701">
        <f t="shared" ref="E113:N113" si="76">+E48+E53+E58+E63+E68+E81</f>
        <v>565571.44000000006</v>
      </c>
      <c r="F113" s="701">
        <f t="shared" si="76"/>
        <v>608591.66</v>
      </c>
      <c r="G113" s="701">
        <f t="shared" si="76"/>
        <v>0</v>
      </c>
      <c r="H113" s="701">
        <f t="shared" si="76"/>
        <v>0</v>
      </c>
      <c r="I113" s="701">
        <f t="shared" si="76"/>
        <v>0</v>
      </c>
      <c r="J113" s="701">
        <f t="shared" si="76"/>
        <v>0</v>
      </c>
      <c r="K113" s="701">
        <f t="shared" si="76"/>
        <v>0</v>
      </c>
      <c r="L113" s="701">
        <f t="shared" si="76"/>
        <v>0</v>
      </c>
      <c r="M113" s="701">
        <f t="shared" si="76"/>
        <v>0</v>
      </c>
      <c r="N113" s="701">
        <f t="shared" si="76"/>
        <v>0</v>
      </c>
      <c r="O113" s="701">
        <f t="shared" ref="O113" si="77">+O109+O81</f>
        <v>0</v>
      </c>
      <c r="P113" s="701">
        <f t="shared" ref="P113:P114" si="78">SUM(D113:O113)</f>
        <v>1792270.3900000001</v>
      </c>
      <c r="Q113" s="826">
        <f>+P113/3*12</f>
        <v>7169081.5600000005</v>
      </c>
    </row>
    <row r="114" spans="1:17" ht="12.75" x14ac:dyDescent="0.2">
      <c r="A114" s="824" t="s">
        <v>1097</v>
      </c>
      <c r="D114" s="701">
        <f>+D88</f>
        <v>41472</v>
      </c>
      <c r="E114" s="701">
        <f t="shared" ref="E114:N114" si="79">+E88</f>
        <v>30228.48</v>
      </c>
      <c r="F114" s="701">
        <f t="shared" si="79"/>
        <v>21073.919999999998</v>
      </c>
      <c r="G114" s="701">
        <f t="shared" si="79"/>
        <v>0</v>
      </c>
      <c r="H114" s="701">
        <f t="shared" si="79"/>
        <v>0</v>
      </c>
      <c r="I114" s="701">
        <f t="shared" si="79"/>
        <v>0</v>
      </c>
      <c r="J114" s="701">
        <f t="shared" si="79"/>
        <v>0</v>
      </c>
      <c r="K114" s="701">
        <f t="shared" si="79"/>
        <v>0</v>
      </c>
      <c r="L114" s="701">
        <f t="shared" si="79"/>
        <v>0</v>
      </c>
      <c r="M114" s="701">
        <f t="shared" si="79"/>
        <v>0</v>
      </c>
      <c r="N114" s="701">
        <f t="shared" si="79"/>
        <v>0</v>
      </c>
      <c r="O114" s="701">
        <f t="shared" ref="O114" si="80">+O110+O88</f>
        <v>0</v>
      </c>
      <c r="P114" s="701">
        <f t="shared" si="78"/>
        <v>92774.399999999994</v>
      </c>
    </row>
    <row r="115" spans="1:17" x14ac:dyDescent="0.2">
      <c r="D115" s="825">
        <f>+D114-D113</f>
        <v>-576635.29</v>
      </c>
      <c r="E115" s="825">
        <f t="shared" ref="E115:P115" si="81">+E114-E113</f>
        <v>-535342.96000000008</v>
      </c>
      <c r="F115" s="825">
        <f t="shared" si="81"/>
        <v>-587517.74</v>
      </c>
      <c r="G115" s="825">
        <f t="shared" si="81"/>
        <v>0</v>
      </c>
      <c r="H115" s="825">
        <f t="shared" si="81"/>
        <v>0</v>
      </c>
      <c r="I115" s="825">
        <f t="shared" si="81"/>
        <v>0</v>
      </c>
      <c r="J115" s="825">
        <f t="shared" si="81"/>
        <v>0</v>
      </c>
      <c r="K115" s="825">
        <f t="shared" si="81"/>
        <v>0</v>
      </c>
      <c r="L115" s="825">
        <f t="shared" si="81"/>
        <v>0</v>
      </c>
      <c r="M115" s="825">
        <f t="shared" si="81"/>
        <v>0</v>
      </c>
      <c r="N115" s="825">
        <f t="shared" si="81"/>
        <v>0</v>
      </c>
      <c r="O115" s="825">
        <f t="shared" si="81"/>
        <v>0</v>
      </c>
      <c r="P115" s="825">
        <f t="shared" si="81"/>
        <v>-1699495.9900000002</v>
      </c>
    </row>
    <row r="117" spans="1:17" ht="12.75" x14ac:dyDescent="0.2">
      <c r="A117" s="824" t="s">
        <v>1098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20"/>
  <sheetViews>
    <sheetView workbookViewId="0"/>
  </sheetViews>
  <sheetFormatPr defaultRowHeight="12.75" x14ac:dyDescent="0.2"/>
  <cols>
    <col min="1" max="1" width="1.7109375" customWidth="1"/>
    <col min="4" max="4" width="6.5703125" customWidth="1"/>
    <col min="5" max="5" width="14" bestFit="1" customWidth="1"/>
    <col min="6" max="6" width="15" bestFit="1" customWidth="1"/>
    <col min="7" max="16" width="14" bestFit="1" customWidth="1"/>
    <col min="17" max="17" width="15" bestFit="1" customWidth="1"/>
  </cols>
  <sheetData>
    <row r="5" spans="2:17" ht="21" x14ac:dyDescent="0.35">
      <c r="B5" s="2756" t="s">
        <v>2504</v>
      </c>
    </row>
    <row r="7" spans="2:17" ht="13.5" thickBot="1" x14ac:dyDescent="0.25"/>
    <row r="8" spans="2:17" ht="15" x14ac:dyDescent="0.25">
      <c r="B8" s="2757" t="s">
        <v>2505</v>
      </c>
      <c r="C8" s="2758"/>
      <c r="D8" s="2759"/>
      <c r="E8" s="2760" t="s">
        <v>2506</v>
      </c>
      <c r="F8" s="43" t="s">
        <v>2507</v>
      </c>
      <c r="G8" s="2761" t="s">
        <v>2508</v>
      </c>
      <c r="H8" s="43" t="s">
        <v>2509</v>
      </c>
      <c r="I8" s="2761" t="s">
        <v>2510</v>
      </c>
      <c r="J8" s="43" t="s">
        <v>2511</v>
      </c>
      <c r="K8" s="2761" t="s">
        <v>2512</v>
      </c>
      <c r="L8" s="43" t="s">
        <v>2513</v>
      </c>
      <c r="M8" s="2761" t="s">
        <v>2514</v>
      </c>
      <c r="N8" s="43" t="s">
        <v>2515</v>
      </c>
      <c r="O8" s="2761" t="s">
        <v>2516</v>
      </c>
      <c r="P8" s="43" t="s">
        <v>2517</v>
      </c>
      <c r="Q8" s="2762" t="s">
        <v>2518</v>
      </c>
    </row>
    <row r="9" spans="2:17" ht="13.5" thickBot="1" x14ac:dyDescent="0.25">
      <c r="B9" s="2763"/>
      <c r="C9" s="38"/>
      <c r="D9" s="2764"/>
      <c r="E9" s="2765"/>
      <c r="F9" s="38"/>
      <c r="G9" s="2766"/>
      <c r="H9" s="38"/>
      <c r="I9" s="2766"/>
      <c r="J9" s="38"/>
      <c r="K9" s="2766"/>
      <c r="L9" s="38"/>
      <c r="M9" s="2766"/>
      <c r="N9" s="38"/>
      <c r="O9" s="2766"/>
      <c r="P9" s="38"/>
      <c r="Q9" s="2767"/>
    </row>
    <row r="10" spans="2:17" x14ac:dyDescent="0.2">
      <c r="B10" s="2768" t="s">
        <v>2519</v>
      </c>
      <c r="C10" s="22"/>
      <c r="D10" s="47"/>
      <c r="E10" s="2769">
        <v>3138283</v>
      </c>
      <c r="F10" s="2770">
        <v>3138283</v>
      </c>
      <c r="G10" s="2771">
        <v>3138283</v>
      </c>
      <c r="H10" s="2770">
        <v>3138283</v>
      </c>
      <c r="I10" s="2771">
        <v>3138283</v>
      </c>
      <c r="J10" s="2770">
        <v>3138283</v>
      </c>
      <c r="K10" s="2771">
        <v>3138283</v>
      </c>
      <c r="L10" s="2770">
        <v>3138283</v>
      </c>
      <c r="M10" s="2771">
        <v>3138283</v>
      </c>
      <c r="N10" s="2770">
        <v>3138283</v>
      </c>
      <c r="O10" s="2771">
        <v>3138283</v>
      </c>
      <c r="P10" s="2770">
        <v>3138290</v>
      </c>
      <c r="Q10" s="2772">
        <f t="shared" ref="Q10:Q16" si="0">SUM(E10:P10)</f>
        <v>37659403</v>
      </c>
    </row>
    <row r="11" spans="2:17" x14ac:dyDescent="0.2">
      <c r="B11" s="40" t="s">
        <v>2520</v>
      </c>
      <c r="D11" s="49"/>
      <c r="E11" s="2773">
        <v>354840</v>
      </c>
      <c r="F11" s="2774">
        <v>354840</v>
      </c>
      <c r="G11" s="2775">
        <v>354840</v>
      </c>
      <c r="H11" s="2774">
        <v>354840</v>
      </c>
      <c r="I11" s="2775">
        <v>354840</v>
      </c>
      <c r="J11" s="2774">
        <v>354840</v>
      </c>
      <c r="K11" s="2775">
        <v>354840</v>
      </c>
      <c r="L11" s="2774">
        <v>354840</v>
      </c>
      <c r="M11" s="2775">
        <v>354840</v>
      </c>
      <c r="N11" s="2774">
        <v>354840</v>
      </c>
      <c r="O11" s="2775">
        <v>354840</v>
      </c>
      <c r="P11" s="2774">
        <v>354840</v>
      </c>
      <c r="Q11" s="2776">
        <f t="shared" si="0"/>
        <v>4258080</v>
      </c>
    </row>
    <row r="12" spans="2:17" x14ac:dyDescent="0.2">
      <c r="B12" s="2777" t="s">
        <v>2521</v>
      </c>
      <c r="C12" s="2778"/>
      <c r="D12" s="2779"/>
      <c r="E12" s="2780">
        <v>2283850</v>
      </c>
      <c r="F12" s="2781"/>
      <c r="G12" s="2782"/>
      <c r="H12" s="2781"/>
      <c r="I12" s="2782"/>
      <c r="J12" s="2781"/>
      <c r="K12" s="2782"/>
      <c r="L12" s="2781"/>
      <c r="M12" s="2782"/>
      <c r="N12" s="2781"/>
      <c r="O12" s="2782"/>
      <c r="P12" s="2781"/>
      <c r="Q12" s="2783">
        <f t="shared" si="0"/>
        <v>2283850</v>
      </c>
    </row>
    <row r="13" spans="2:17" x14ac:dyDescent="0.2">
      <c r="B13" s="40" t="s">
        <v>2522</v>
      </c>
      <c r="D13" s="49"/>
      <c r="E13" s="2773">
        <v>1295000</v>
      </c>
      <c r="F13" s="2774">
        <v>1295000</v>
      </c>
      <c r="G13" s="2775">
        <v>1295000</v>
      </c>
      <c r="H13" s="2774">
        <v>1295000</v>
      </c>
      <c r="I13" s="2775">
        <v>1295000</v>
      </c>
      <c r="J13" s="2774">
        <v>1295000</v>
      </c>
      <c r="K13" s="2775">
        <v>1295000</v>
      </c>
      <c r="L13" s="2774">
        <v>1295000</v>
      </c>
      <c r="M13" s="2775">
        <v>1295000</v>
      </c>
      <c r="N13" s="2774">
        <v>1295000</v>
      </c>
      <c r="O13" s="2775">
        <v>1295000</v>
      </c>
      <c r="P13" s="2774">
        <v>1293400</v>
      </c>
      <c r="Q13" s="2776">
        <f t="shared" si="0"/>
        <v>15538400</v>
      </c>
    </row>
    <row r="14" spans="2:17" x14ac:dyDescent="0.2">
      <c r="B14" s="2777" t="s">
        <v>146</v>
      </c>
      <c r="C14" s="2778"/>
      <c r="D14" s="2779"/>
      <c r="E14" s="2780">
        <v>50000</v>
      </c>
      <c r="F14" s="2781">
        <v>50000</v>
      </c>
      <c r="G14" s="2782">
        <v>50000</v>
      </c>
      <c r="H14" s="2781">
        <v>50000</v>
      </c>
      <c r="I14" s="2782">
        <v>50000</v>
      </c>
      <c r="J14" s="2781">
        <v>50000</v>
      </c>
      <c r="K14" s="2782">
        <v>50000</v>
      </c>
      <c r="L14" s="2781">
        <v>50000</v>
      </c>
      <c r="M14" s="2782">
        <v>50000</v>
      </c>
      <c r="N14" s="2781">
        <v>50000</v>
      </c>
      <c r="O14" s="2782">
        <v>50000</v>
      </c>
      <c r="P14" s="2781">
        <v>50000</v>
      </c>
      <c r="Q14" s="2783">
        <f t="shared" si="0"/>
        <v>600000</v>
      </c>
    </row>
    <row r="15" spans="2:17" x14ac:dyDescent="0.2">
      <c r="B15" s="40" t="s">
        <v>942</v>
      </c>
      <c r="D15" s="49"/>
      <c r="E15" s="2773">
        <v>360000</v>
      </c>
      <c r="F15" s="2774">
        <v>360000</v>
      </c>
      <c r="G15" s="2775">
        <v>360000</v>
      </c>
      <c r="H15" s="2774">
        <v>360000</v>
      </c>
      <c r="I15" s="2775">
        <v>360000</v>
      </c>
      <c r="J15" s="2774">
        <v>360000</v>
      </c>
      <c r="K15" s="2775">
        <v>360000</v>
      </c>
      <c r="L15" s="2774">
        <v>360000</v>
      </c>
      <c r="M15" s="2775">
        <v>360000</v>
      </c>
      <c r="N15" s="2774">
        <v>360000</v>
      </c>
      <c r="O15" s="2775">
        <v>360000</v>
      </c>
      <c r="P15" s="2774">
        <v>314000</v>
      </c>
      <c r="Q15" s="2776">
        <f t="shared" si="0"/>
        <v>4274000</v>
      </c>
    </row>
    <row r="16" spans="2:17" ht="13.5" thickBot="1" x14ac:dyDescent="0.25">
      <c r="B16" s="2784" t="s">
        <v>2523</v>
      </c>
      <c r="C16" s="2785"/>
      <c r="D16" s="2786"/>
      <c r="E16" s="2787"/>
      <c r="F16" s="2788"/>
      <c r="G16" s="2789"/>
      <c r="H16" s="2788">
        <v>100000</v>
      </c>
      <c r="I16" s="2789"/>
      <c r="J16" s="2788"/>
      <c r="K16" s="2789"/>
      <c r="L16" s="2788"/>
      <c r="M16" s="2789"/>
      <c r="N16" s="2788">
        <v>100000</v>
      </c>
      <c r="O16" s="2789"/>
      <c r="P16" s="2788"/>
      <c r="Q16" s="2790">
        <f t="shared" si="0"/>
        <v>200000</v>
      </c>
    </row>
    <row r="17" spans="2:17" ht="15.75" thickBot="1" x14ac:dyDescent="0.3">
      <c r="B17" s="2791" t="s">
        <v>2524</v>
      </c>
      <c r="C17" s="2792"/>
      <c r="D17" s="2793"/>
      <c r="E17" s="2794">
        <f t="shared" ref="E17:Q17" si="1">SUM(E10:E16)</f>
        <v>7481973</v>
      </c>
      <c r="F17" s="2795">
        <f t="shared" si="1"/>
        <v>5198123</v>
      </c>
      <c r="G17" s="2796">
        <f t="shared" si="1"/>
        <v>5198123</v>
      </c>
      <c r="H17" s="2795">
        <f t="shared" si="1"/>
        <v>5298123</v>
      </c>
      <c r="I17" s="2796">
        <f t="shared" si="1"/>
        <v>5198123</v>
      </c>
      <c r="J17" s="2795">
        <f t="shared" si="1"/>
        <v>5198123</v>
      </c>
      <c r="K17" s="2796">
        <f t="shared" si="1"/>
        <v>5198123</v>
      </c>
      <c r="L17" s="2795">
        <f t="shared" si="1"/>
        <v>5198123</v>
      </c>
      <c r="M17" s="2796">
        <f t="shared" si="1"/>
        <v>5198123</v>
      </c>
      <c r="N17" s="2795">
        <f t="shared" si="1"/>
        <v>5298123</v>
      </c>
      <c r="O17" s="2796">
        <f t="shared" si="1"/>
        <v>5198123</v>
      </c>
      <c r="P17" s="2795">
        <f t="shared" si="1"/>
        <v>5150530</v>
      </c>
      <c r="Q17" s="2797">
        <f t="shared" si="1"/>
        <v>64813733</v>
      </c>
    </row>
    <row r="20" spans="2:17" x14ac:dyDescent="0.2">
      <c r="E20" s="2774">
        <f>+E10+E12+E13+E14+E15+E16</f>
        <v>7127133</v>
      </c>
      <c r="F20" s="2774">
        <f t="shared" ref="F20:P20" si="2">+F10+F12+F13+F14+F15+F16</f>
        <v>4843283</v>
      </c>
      <c r="G20" s="2774">
        <f t="shared" si="2"/>
        <v>4843283</v>
      </c>
      <c r="H20" s="2774">
        <f t="shared" si="2"/>
        <v>4943283</v>
      </c>
      <c r="I20" s="2774">
        <f t="shared" si="2"/>
        <v>4843283</v>
      </c>
      <c r="J20" s="2774">
        <f t="shared" si="2"/>
        <v>4843283</v>
      </c>
      <c r="K20" s="2774">
        <f t="shared" si="2"/>
        <v>4843283</v>
      </c>
      <c r="L20" s="2774">
        <f t="shared" si="2"/>
        <v>4843283</v>
      </c>
      <c r="M20" s="2774">
        <f t="shared" si="2"/>
        <v>4843283</v>
      </c>
      <c r="N20" s="2774">
        <f t="shared" si="2"/>
        <v>4943283</v>
      </c>
      <c r="O20" s="2774">
        <f t="shared" si="2"/>
        <v>4843283</v>
      </c>
      <c r="P20" s="2774">
        <f t="shared" si="2"/>
        <v>4795690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09"/>
  <sheetViews>
    <sheetView zoomScale="84" zoomScaleNormal="84" workbookViewId="0">
      <pane xSplit="10" ySplit="5" topLeftCell="K239" activePane="bottomRight" state="frozen"/>
      <selection pane="topRight" activeCell="K1" sqref="K1"/>
      <selection pane="bottomLeft" activeCell="A6" sqref="A6"/>
      <selection pane="bottomRight" activeCell="M251" sqref="M251"/>
    </sheetView>
  </sheetViews>
  <sheetFormatPr defaultColWidth="9" defaultRowHeight="12.75" outlineLevelRow="1" outlineLevelCol="2" x14ac:dyDescent="0.25"/>
  <cols>
    <col min="1" max="1" width="25.7109375" style="1884" customWidth="1"/>
    <col min="2" max="2" width="21" style="1884" bestFit="1" customWidth="1"/>
    <col min="3" max="3" width="45" style="1884" customWidth="1"/>
    <col min="4" max="4" width="12" style="2107" hidden="1" customWidth="1" outlineLevel="2"/>
    <col min="5" max="5" width="9" style="2107" hidden="1" customWidth="1" outlineLevel="2"/>
    <col min="6" max="6" width="8.85546875" style="2107" hidden="1" customWidth="1" outlineLevel="2"/>
    <col min="7" max="7" width="16.85546875" style="2107" bestFit="1" customWidth="1" collapsed="1"/>
    <col min="8" max="8" width="14" style="2108" hidden="1" customWidth="1"/>
    <col min="9" max="9" width="11" style="2108" hidden="1" customWidth="1"/>
    <col min="10" max="10" width="11.28515625" style="2108" hidden="1" customWidth="1"/>
    <col min="11" max="11" width="11.28515625" style="2108" customWidth="1"/>
    <col min="12" max="12" width="11.28515625" style="2108" bestFit="1" customWidth="1"/>
    <col min="13" max="13" width="11.28515625" style="2104" bestFit="1" customWidth="1"/>
    <col min="14" max="14" width="15.28515625" style="2109" hidden="1" customWidth="1" outlineLevel="2"/>
    <col min="15" max="15" width="11.28515625" style="1884" hidden="1" customWidth="1" outlineLevel="2"/>
    <col min="16" max="16" width="12" style="2107" hidden="1" customWidth="1" outlineLevel="2"/>
    <col min="17" max="17" width="15.28515625" style="2107" hidden="1" customWidth="1" outlineLevel="2"/>
    <col min="18" max="18" width="37" style="1884" customWidth="1" collapsed="1"/>
    <col min="19" max="19" width="14.7109375" style="2110" customWidth="1"/>
    <col min="20" max="20" width="15.7109375" style="2111" customWidth="1"/>
    <col min="21" max="21" width="9" style="1884"/>
    <col min="22" max="16384" width="9" style="1885"/>
  </cols>
  <sheetData>
    <row r="1" spans="1:20" ht="20.25" customHeight="1" x14ac:dyDescent="0.25">
      <c r="A1" s="1859" t="s">
        <v>2163</v>
      </c>
      <c r="B1" s="1876"/>
      <c r="C1" s="1801"/>
      <c r="D1" s="1877"/>
      <c r="E1" s="1877"/>
      <c r="F1" s="1877"/>
      <c r="G1" s="1877"/>
      <c r="H1" s="1763"/>
      <c r="I1" s="1763"/>
      <c r="J1" s="1763"/>
      <c r="K1" s="1763"/>
      <c r="L1" s="1763"/>
      <c r="M1" s="1878"/>
      <c r="N1" s="1879"/>
      <c r="O1" s="1880"/>
      <c r="P1" s="1881"/>
      <c r="Q1" s="1881"/>
      <c r="R1" s="1880"/>
      <c r="S1" s="1882"/>
      <c r="T1" s="1883"/>
    </row>
    <row r="2" spans="1:20" ht="15" customHeight="1" x14ac:dyDescent="0.25">
      <c r="A2" s="1886" t="s">
        <v>2165</v>
      </c>
      <c r="B2" s="1886"/>
      <c r="C2" s="1880"/>
      <c r="D2" s="1881"/>
      <c r="E2" s="1881"/>
      <c r="F2" s="1881"/>
      <c r="G2" s="1881"/>
      <c r="H2" s="1887"/>
      <c r="I2" s="1887"/>
      <c r="J2" s="1887"/>
      <c r="K2" s="1887"/>
      <c r="L2" s="1887"/>
      <c r="M2" s="1878"/>
      <c r="N2" s="1879"/>
      <c r="O2" s="1880"/>
      <c r="P2" s="1881"/>
      <c r="Q2" s="1881"/>
      <c r="R2" s="1880"/>
      <c r="S2" s="1882"/>
      <c r="T2" s="1883"/>
    </row>
    <row r="3" spans="1:20" ht="15" customHeight="1" thickBot="1" x14ac:dyDescent="0.3">
      <c r="A3" s="1886" t="s">
        <v>2494</v>
      </c>
      <c r="B3" s="1886"/>
      <c r="C3" s="1880"/>
      <c r="D3" s="1881"/>
      <c r="E3" s="1881"/>
      <c r="F3" s="1881"/>
      <c r="G3" s="1881"/>
      <c r="H3" s="1887"/>
      <c r="I3" s="1887"/>
      <c r="J3" s="1887"/>
      <c r="K3" s="1887"/>
      <c r="L3" s="1887"/>
      <c r="M3" s="1878"/>
      <c r="N3" s="1879"/>
      <c r="O3" s="1880"/>
      <c r="P3" s="1881"/>
      <c r="Q3" s="1881"/>
      <c r="R3" s="1880"/>
      <c r="S3" s="1882"/>
      <c r="T3" s="1883"/>
    </row>
    <row r="4" spans="1:20" ht="35.65" customHeight="1" thickBot="1" x14ac:dyDescent="0.3">
      <c r="A4" s="1888" t="s">
        <v>120</v>
      </c>
      <c r="B4" s="1889" t="s">
        <v>488</v>
      </c>
      <c r="C4" s="1890" t="s">
        <v>646</v>
      </c>
      <c r="D4" s="1888" t="s">
        <v>640</v>
      </c>
      <c r="E4" s="1888" t="s">
        <v>641</v>
      </c>
      <c r="F4" s="1888" t="s">
        <v>642</v>
      </c>
      <c r="G4" s="1888" t="s">
        <v>634</v>
      </c>
      <c r="H4" s="1891" t="s">
        <v>2164</v>
      </c>
      <c r="I4" s="1891" t="s">
        <v>1985</v>
      </c>
      <c r="J4" s="1891" t="s">
        <v>2495</v>
      </c>
      <c r="K4" s="1891" t="s">
        <v>2566</v>
      </c>
      <c r="L4" s="1891" t="s">
        <v>2896</v>
      </c>
      <c r="M4" s="1892" t="s">
        <v>5</v>
      </c>
      <c r="N4" s="1893" t="s">
        <v>778</v>
      </c>
      <c r="O4" s="1891" t="s">
        <v>4</v>
      </c>
      <c r="P4" s="1891" t="s">
        <v>639</v>
      </c>
      <c r="Q4" s="1891" t="s">
        <v>635</v>
      </c>
      <c r="R4" s="1891" t="s">
        <v>636</v>
      </c>
      <c r="S4" s="1882"/>
      <c r="T4" s="1883"/>
    </row>
    <row r="5" spans="1:20" ht="13.5" thickBot="1" x14ac:dyDescent="0.3">
      <c r="A5" s="1894"/>
      <c r="B5" s="1895" t="s">
        <v>3</v>
      </c>
      <c r="C5" s="1894"/>
      <c r="D5" s="1896"/>
      <c r="E5" s="1896"/>
      <c r="F5" s="1896"/>
      <c r="G5" s="1896"/>
      <c r="H5" s="1896"/>
      <c r="I5" s="1896"/>
      <c r="J5" s="1896"/>
      <c r="K5" s="1896"/>
      <c r="L5" s="1896"/>
      <c r="M5" s="1897"/>
      <c r="N5" s="1898"/>
      <c r="O5" s="1896"/>
      <c r="P5" s="1896"/>
      <c r="Q5" s="1896"/>
      <c r="R5" s="1899"/>
      <c r="S5" s="1882" t="s">
        <v>762</v>
      </c>
      <c r="T5" s="1883" t="s">
        <v>707</v>
      </c>
    </row>
    <row r="6" spans="1:20" outlineLevel="1" x14ac:dyDescent="0.25">
      <c r="A6" s="1900"/>
      <c r="B6" s="1901" t="s">
        <v>247</v>
      </c>
      <c r="C6" s="1902" t="s">
        <v>1693</v>
      </c>
      <c r="D6" s="1903"/>
      <c r="E6" s="1903"/>
      <c r="F6" s="1904"/>
      <c r="G6" s="1903" t="s">
        <v>637</v>
      </c>
      <c r="H6" s="1905">
        <v>360210</v>
      </c>
      <c r="I6" s="1905">
        <v>360210</v>
      </c>
      <c r="J6" s="1905">
        <v>360210</v>
      </c>
      <c r="K6" s="1905">
        <v>360210</v>
      </c>
      <c r="L6" s="1905">
        <f>+[5]TSÚ!$B$11</f>
        <v>360210</v>
      </c>
      <c r="M6" s="1906">
        <f>+L6-I6</f>
        <v>0</v>
      </c>
      <c r="N6" s="1907"/>
      <c r="O6" s="1908"/>
      <c r="P6" s="1909"/>
      <c r="Q6" s="1909"/>
      <c r="R6" s="1905"/>
      <c r="S6" s="1882"/>
      <c r="T6" s="1883"/>
    </row>
    <row r="7" spans="1:20" outlineLevel="1" x14ac:dyDescent="0.25">
      <c r="A7" s="1900"/>
      <c r="B7" s="1910" t="s">
        <v>247</v>
      </c>
      <c r="C7" s="1902" t="s">
        <v>1692</v>
      </c>
      <c r="D7" s="1911"/>
      <c r="E7" s="1911"/>
      <c r="F7" s="1912"/>
      <c r="G7" s="1911" t="s">
        <v>637</v>
      </c>
      <c r="H7" s="1913">
        <v>450000</v>
      </c>
      <c r="I7" s="1913">
        <v>450000</v>
      </c>
      <c r="J7" s="1913">
        <v>450000</v>
      </c>
      <c r="K7" s="1913">
        <v>450000</v>
      </c>
      <c r="L7" s="1913">
        <f>+[5]TSÚ!$B$12</f>
        <v>450000</v>
      </c>
      <c r="M7" s="1914">
        <f t="shared" ref="M7:M19" si="0">+L7-I7</f>
        <v>0</v>
      </c>
      <c r="N7" s="1915"/>
      <c r="O7" s="1916"/>
      <c r="P7" s="1917"/>
      <c r="Q7" s="1917"/>
      <c r="R7" s="1913"/>
      <c r="S7" s="1882"/>
      <c r="T7" s="1883"/>
    </row>
    <row r="8" spans="1:20" outlineLevel="1" x14ac:dyDescent="0.25">
      <c r="A8" s="1900"/>
      <c r="B8" s="1910" t="s">
        <v>247</v>
      </c>
      <c r="C8" s="1902" t="s">
        <v>946</v>
      </c>
      <c r="D8" s="1911"/>
      <c r="E8" s="1911"/>
      <c r="F8" s="1912"/>
      <c r="G8" s="1911" t="s">
        <v>637</v>
      </c>
      <c r="H8" s="1913">
        <v>997870</v>
      </c>
      <c r="I8" s="1913">
        <v>997870</v>
      </c>
      <c r="J8" s="1913">
        <v>997870</v>
      </c>
      <c r="K8" s="1913">
        <v>997870</v>
      </c>
      <c r="L8" s="1913">
        <f>+[5]TSÚ!$B$13</f>
        <v>997870</v>
      </c>
      <c r="M8" s="1914">
        <f t="shared" si="0"/>
        <v>0</v>
      </c>
      <c r="N8" s="1915"/>
      <c r="O8" s="1916"/>
      <c r="P8" s="1917"/>
      <c r="Q8" s="1917"/>
      <c r="R8" s="1913" t="s">
        <v>2486</v>
      </c>
      <c r="S8" s="1882"/>
      <c r="T8" s="1883"/>
    </row>
    <row r="9" spans="1:20" outlineLevel="1" x14ac:dyDescent="0.25">
      <c r="A9" s="1900"/>
      <c r="B9" s="1910" t="s">
        <v>247</v>
      </c>
      <c r="C9" s="1902" t="s">
        <v>2375</v>
      </c>
      <c r="D9" s="1911"/>
      <c r="E9" s="1911"/>
      <c r="F9" s="1912"/>
      <c r="G9" s="1911" t="s">
        <v>637</v>
      </c>
      <c r="H9" s="1913">
        <v>1250000</v>
      </c>
      <c r="I9" s="1913">
        <v>1250000</v>
      </c>
      <c r="J9" s="1913">
        <v>1250000</v>
      </c>
      <c r="K9" s="1913">
        <v>1250000</v>
      </c>
      <c r="L9" s="1913">
        <f>+[5]TSÚ!$B$14</f>
        <v>1250000</v>
      </c>
      <c r="M9" s="1914">
        <f t="shared" si="0"/>
        <v>0</v>
      </c>
      <c r="N9" s="1915"/>
      <c r="O9" s="1916"/>
      <c r="P9" s="1917"/>
      <c r="Q9" s="1917"/>
      <c r="R9" s="1913"/>
      <c r="S9" s="1882"/>
      <c r="T9" s="1883"/>
    </row>
    <row r="10" spans="1:20" outlineLevel="1" x14ac:dyDescent="0.25">
      <c r="A10" s="1900"/>
      <c r="B10" s="1910" t="s">
        <v>247</v>
      </c>
      <c r="C10" s="1902" t="s">
        <v>2383</v>
      </c>
      <c r="D10" s="1911"/>
      <c r="E10" s="1911"/>
      <c r="F10" s="1912"/>
      <c r="G10" s="1911" t="s">
        <v>637</v>
      </c>
      <c r="H10" s="1913">
        <v>0</v>
      </c>
      <c r="I10" s="1913">
        <v>0</v>
      </c>
      <c r="J10" s="1913">
        <v>0</v>
      </c>
      <c r="K10" s="1913">
        <v>0</v>
      </c>
      <c r="L10" s="1913">
        <f>+[5]TSÚ!$B$15</f>
        <v>0</v>
      </c>
      <c r="M10" s="1914">
        <f t="shared" si="0"/>
        <v>0</v>
      </c>
      <c r="N10" s="1915"/>
      <c r="O10" s="1916"/>
      <c r="P10" s="1917"/>
      <c r="Q10" s="1917"/>
      <c r="R10" s="1913"/>
      <c r="S10" s="1882"/>
      <c r="T10" s="1883"/>
    </row>
    <row r="11" spans="1:20" outlineLevel="1" x14ac:dyDescent="0.25">
      <c r="A11" s="1900"/>
      <c r="B11" s="1910" t="s">
        <v>247</v>
      </c>
      <c r="C11" s="1902" t="s">
        <v>2380</v>
      </c>
      <c r="D11" s="1911"/>
      <c r="E11" s="1911"/>
      <c r="F11" s="1912"/>
      <c r="G11" s="1911" t="s">
        <v>637</v>
      </c>
      <c r="H11" s="1913">
        <v>500000</v>
      </c>
      <c r="I11" s="1913">
        <v>500000</v>
      </c>
      <c r="J11" s="1913">
        <v>500000</v>
      </c>
      <c r="K11" s="1913">
        <v>500000</v>
      </c>
      <c r="L11" s="1913">
        <f>+[5]TSÚ!$B$16</f>
        <v>500000</v>
      </c>
      <c r="M11" s="1914">
        <f t="shared" si="0"/>
        <v>0</v>
      </c>
      <c r="N11" s="1915"/>
      <c r="O11" s="1916"/>
      <c r="P11" s="1917"/>
      <c r="Q11" s="1917"/>
      <c r="R11" s="1913"/>
      <c r="S11" s="1882"/>
      <c r="T11" s="1883"/>
    </row>
    <row r="12" spans="1:20" outlineLevel="1" x14ac:dyDescent="0.25">
      <c r="A12" s="1900"/>
      <c r="B12" s="1910" t="s">
        <v>247</v>
      </c>
      <c r="C12" s="1902" t="s">
        <v>2382</v>
      </c>
      <c r="D12" s="1911"/>
      <c r="E12" s="1911"/>
      <c r="F12" s="1912"/>
      <c r="G12" s="1911" t="s">
        <v>637</v>
      </c>
      <c r="H12" s="1913">
        <v>700000</v>
      </c>
      <c r="I12" s="1913">
        <v>700000</v>
      </c>
      <c r="J12" s="1913">
        <v>700000</v>
      </c>
      <c r="K12" s="1913">
        <v>700000</v>
      </c>
      <c r="L12" s="1913">
        <f>+[5]TSÚ!$B$17</f>
        <v>700000</v>
      </c>
      <c r="M12" s="1914">
        <f t="shared" si="0"/>
        <v>0</v>
      </c>
      <c r="N12" s="1915"/>
      <c r="O12" s="1916"/>
      <c r="P12" s="1917"/>
      <c r="Q12" s="1917"/>
      <c r="R12" s="1913"/>
      <c r="S12" s="1882"/>
      <c r="T12" s="1883"/>
    </row>
    <row r="13" spans="1:20" outlineLevel="1" x14ac:dyDescent="0.25">
      <c r="A13" s="1900"/>
      <c r="B13" s="1910" t="s">
        <v>247</v>
      </c>
      <c r="C13" s="1902" t="s">
        <v>2381</v>
      </c>
      <c r="D13" s="1911"/>
      <c r="E13" s="1911"/>
      <c r="F13" s="1912"/>
      <c r="G13" s="1911" t="s">
        <v>637</v>
      </c>
      <c r="H13" s="1913">
        <v>0</v>
      </c>
      <c r="I13" s="1913">
        <v>0</v>
      </c>
      <c r="J13" s="1913">
        <v>0</v>
      </c>
      <c r="K13" s="1913">
        <v>0</v>
      </c>
      <c r="L13" s="1913">
        <f>+[5]TSÚ!$B$18</f>
        <v>0</v>
      </c>
      <c r="M13" s="1914">
        <f t="shared" si="0"/>
        <v>0</v>
      </c>
      <c r="N13" s="1915"/>
      <c r="O13" s="1916"/>
      <c r="P13" s="1917"/>
      <c r="Q13" s="1917"/>
      <c r="R13" s="1913"/>
      <c r="S13" s="1882"/>
      <c r="T13" s="1883"/>
    </row>
    <row r="14" spans="1:20" ht="13.5" outlineLevel="1" thickBot="1" x14ac:dyDescent="0.3">
      <c r="A14" s="1900"/>
      <c r="B14" s="1910" t="s">
        <v>247</v>
      </c>
      <c r="C14" s="3020" t="s">
        <v>2927</v>
      </c>
      <c r="D14" s="3021"/>
      <c r="E14" s="3021"/>
      <c r="F14" s="3022"/>
      <c r="G14" s="1911" t="s">
        <v>637</v>
      </c>
      <c r="H14" s="2032"/>
      <c r="I14" s="2032"/>
      <c r="J14" s="2032"/>
      <c r="K14" s="2032"/>
      <c r="L14" s="2032">
        <f>+[5]TSÚ!$B$19</f>
        <v>1900000</v>
      </c>
      <c r="M14" s="1914">
        <f t="shared" si="0"/>
        <v>1900000</v>
      </c>
      <c r="N14" s="3023"/>
      <c r="O14" s="3024"/>
      <c r="P14" s="3025"/>
      <c r="Q14" s="3025"/>
      <c r="R14" s="2032"/>
      <c r="S14" s="1882"/>
      <c r="T14" s="1883"/>
    </row>
    <row r="15" spans="1:20" ht="13.5" thickBot="1" x14ac:dyDescent="0.3">
      <c r="A15" s="3164" t="s">
        <v>621</v>
      </c>
      <c r="B15" s="3165"/>
      <c r="C15" s="1918"/>
      <c r="D15" s="1919"/>
      <c r="E15" s="1919"/>
      <c r="F15" s="1920"/>
      <c r="G15" s="1919"/>
      <c r="H15" s="1921">
        <v>4258080</v>
      </c>
      <c r="I15" s="1921">
        <v>4258080</v>
      </c>
      <c r="J15" s="1921">
        <v>4258080</v>
      </c>
      <c r="K15" s="1921">
        <v>4258080</v>
      </c>
      <c r="L15" s="1921">
        <f>SUM(L6:L14)</f>
        <v>6158080</v>
      </c>
      <c r="M15" s="1922">
        <f>+L15-K15</f>
        <v>1900000</v>
      </c>
      <c r="N15" s="1921"/>
      <c r="O15" s="1921">
        <f>SUM(O6:O13)</f>
        <v>0</v>
      </c>
      <c r="P15" s="1921"/>
      <c r="Q15" s="1921"/>
      <c r="R15" s="1921"/>
      <c r="S15" s="1923">
        <f>'Výdaje kapitol celkem'!U66</f>
        <v>6158080</v>
      </c>
      <c r="T15" s="1924">
        <f>+S15-L15</f>
        <v>0</v>
      </c>
    </row>
    <row r="16" spans="1:20" outlineLevel="1" x14ac:dyDescent="0.25">
      <c r="A16" s="1925"/>
      <c r="B16" s="1910" t="s">
        <v>133</v>
      </c>
      <c r="C16" s="1902"/>
      <c r="D16" s="1911"/>
      <c r="E16" s="1911"/>
      <c r="F16" s="1912"/>
      <c r="G16" s="1911" t="s">
        <v>637</v>
      </c>
      <c r="H16" s="1913">
        <v>0</v>
      </c>
      <c r="I16" s="1913">
        <v>0</v>
      </c>
      <c r="J16" s="1913">
        <v>0</v>
      </c>
      <c r="K16" s="1913">
        <v>0</v>
      </c>
      <c r="L16" s="1913">
        <f>+'[3]Městská policie'!$B$156</f>
        <v>0</v>
      </c>
      <c r="M16" s="1914">
        <f t="shared" si="0"/>
        <v>0</v>
      </c>
      <c r="N16" s="1913"/>
      <c r="O16" s="1913"/>
      <c r="P16" s="1913"/>
      <c r="Q16" s="1913"/>
      <c r="R16" s="1913"/>
      <c r="S16" s="1882"/>
      <c r="T16" s="1924"/>
    </row>
    <row r="17" spans="1:21" outlineLevel="1" x14ac:dyDescent="0.25">
      <c r="A17" s="1926"/>
      <c r="B17" s="1910" t="s">
        <v>133</v>
      </c>
      <c r="C17" s="1902"/>
      <c r="D17" s="1911"/>
      <c r="E17" s="1911"/>
      <c r="F17" s="1912"/>
      <c r="G17" s="1911" t="s">
        <v>637</v>
      </c>
      <c r="H17" s="1913">
        <v>0</v>
      </c>
      <c r="I17" s="1913">
        <v>0</v>
      </c>
      <c r="J17" s="1913">
        <v>0</v>
      </c>
      <c r="K17" s="1913">
        <v>0</v>
      </c>
      <c r="L17" s="1913">
        <f>+'[3]Městská policie'!$B$157</f>
        <v>0</v>
      </c>
      <c r="M17" s="1914">
        <f t="shared" si="0"/>
        <v>0</v>
      </c>
      <c r="N17" s="1913"/>
      <c r="O17" s="1913"/>
      <c r="P17" s="1913"/>
      <c r="Q17" s="1913"/>
      <c r="R17" s="1913"/>
      <c r="S17" s="1882"/>
      <c r="T17" s="1924"/>
    </row>
    <row r="18" spans="1:21" outlineLevel="1" x14ac:dyDescent="0.25">
      <c r="A18" s="1926"/>
      <c r="B18" s="1910" t="s">
        <v>133</v>
      </c>
      <c r="C18" s="1902"/>
      <c r="D18" s="1911"/>
      <c r="E18" s="1911"/>
      <c r="F18" s="1912"/>
      <c r="G18" s="1911" t="s">
        <v>637</v>
      </c>
      <c r="H18" s="1913">
        <v>0</v>
      </c>
      <c r="I18" s="1913">
        <v>0</v>
      </c>
      <c r="J18" s="1913">
        <v>0</v>
      </c>
      <c r="K18" s="1913">
        <v>0</v>
      </c>
      <c r="L18" s="1913">
        <f>+'[3]Městská policie'!$B$163</f>
        <v>0</v>
      </c>
      <c r="M18" s="1914">
        <f t="shared" si="0"/>
        <v>0</v>
      </c>
      <c r="N18" s="1913"/>
      <c r="O18" s="1913"/>
      <c r="P18" s="1913"/>
      <c r="Q18" s="1913"/>
      <c r="R18" s="1913"/>
      <c r="S18" s="1882"/>
      <c r="T18" s="1924"/>
    </row>
    <row r="19" spans="1:21" ht="13.5" outlineLevel="1" thickBot="1" x14ac:dyDescent="0.3">
      <c r="A19" s="1927" t="s">
        <v>196</v>
      </c>
      <c r="B19" s="1910" t="s">
        <v>133</v>
      </c>
      <c r="C19" s="1928"/>
      <c r="D19" s="1929"/>
      <c r="E19" s="1929"/>
      <c r="F19" s="1930"/>
      <c r="G19" s="1929" t="s">
        <v>637</v>
      </c>
      <c r="H19" s="1931">
        <v>0</v>
      </c>
      <c r="I19" s="1931">
        <v>0</v>
      </c>
      <c r="J19" s="1931">
        <v>0</v>
      </c>
      <c r="K19" s="1931">
        <v>0</v>
      </c>
      <c r="L19" s="1931">
        <f>+'[3]Městská policie'!$B$164</f>
        <v>0</v>
      </c>
      <c r="M19" s="1932">
        <f t="shared" si="0"/>
        <v>0</v>
      </c>
      <c r="N19" s="1931"/>
      <c r="O19" s="1931"/>
      <c r="P19" s="1931"/>
      <c r="Q19" s="1931"/>
      <c r="R19" s="1931"/>
      <c r="S19" s="1882"/>
      <c r="T19" s="1924"/>
    </row>
    <row r="20" spans="1:21" ht="13.5" thickBot="1" x14ac:dyDescent="0.3">
      <c r="A20" s="3164" t="s">
        <v>1223</v>
      </c>
      <c r="B20" s="3165" t="s">
        <v>133</v>
      </c>
      <c r="C20" s="1918"/>
      <c r="D20" s="1919"/>
      <c r="E20" s="1919"/>
      <c r="F20" s="1920"/>
      <c r="G20" s="1919"/>
      <c r="H20" s="1921">
        <v>0</v>
      </c>
      <c r="I20" s="1921">
        <v>0</v>
      </c>
      <c r="J20" s="1921">
        <v>0</v>
      </c>
      <c r="K20" s="1921">
        <v>0</v>
      </c>
      <c r="L20" s="1921">
        <f>SUM(L16:L19)</f>
        <v>0</v>
      </c>
      <c r="M20" s="1922">
        <f t="shared" ref="M20:M83" si="1">+L20-K20</f>
        <v>0</v>
      </c>
      <c r="N20" s="1921"/>
      <c r="O20" s="1921">
        <f>SUM(O16:O19)</f>
        <v>0</v>
      </c>
      <c r="P20" s="1921"/>
      <c r="Q20" s="1921"/>
      <c r="R20" s="1921"/>
      <c r="S20" s="1923">
        <f>'Výdaje kapitol celkem'!Y69</f>
        <v>0</v>
      </c>
      <c r="T20" s="1924">
        <f>+S20-L20</f>
        <v>0</v>
      </c>
    </row>
    <row r="21" spans="1:21" outlineLevel="1" x14ac:dyDescent="0.25">
      <c r="A21" s="1925"/>
      <c r="B21" s="1910" t="s">
        <v>356</v>
      </c>
      <c r="C21" s="1902" t="s">
        <v>1805</v>
      </c>
      <c r="D21" s="1911"/>
      <c r="E21" s="1911"/>
      <c r="F21" s="1912"/>
      <c r="G21" s="1911" t="s">
        <v>637</v>
      </c>
      <c r="H21" s="1913"/>
      <c r="I21" s="1913"/>
      <c r="J21" s="1913"/>
      <c r="K21" s="1913"/>
      <c r="L21" s="1913"/>
      <c r="M21" s="1914">
        <f t="shared" si="1"/>
        <v>0</v>
      </c>
      <c r="N21" s="1913"/>
      <c r="O21" s="1913"/>
      <c r="P21" s="1913"/>
      <c r="Q21" s="1913"/>
      <c r="R21" s="1913"/>
      <c r="S21" s="1882"/>
      <c r="T21" s="1924"/>
    </row>
    <row r="22" spans="1:21" outlineLevel="1" x14ac:dyDescent="0.25">
      <c r="A22" s="1926"/>
      <c r="B22" s="1910" t="s">
        <v>356</v>
      </c>
      <c r="C22" s="1902" t="s">
        <v>2285</v>
      </c>
      <c r="D22" s="1911"/>
      <c r="E22" s="1911"/>
      <c r="F22" s="1912"/>
      <c r="G22" s="1911" t="s">
        <v>637</v>
      </c>
      <c r="H22" s="1913">
        <v>400000</v>
      </c>
      <c r="I22" s="1913">
        <v>400000</v>
      </c>
      <c r="J22" s="1913">
        <v>400000</v>
      </c>
      <c r="K22" s="1913">
        <v>400000</v>
      </c>
      <c r="L22" s="1913">
        <f>+[3]Správa!$B$139</f>
        <v>800000</v>
      </c>
      <c r="M22" s="1914">
        <f t="shared" si="1"/>
        <v>400000</v>
      </c>
      <c r="N22" s="1913"/>
      <c r="O22" s="1913"/>
      <c r="P22" s="1913"/>
      <c r="Q22" s="1913"/>
      <c r="R22" s="1913"/>
      <c r="S22" s="1882"/>
      <c r="T22" s="1924"/>
    </row>
    <row r="23" spans="1:21" outlineLevel="1" x14ac:dyDescent="0.25">
      <c r="A23" s="1926"/>
      <c r="B23" s="1910" t="s">
        <v>356</v>
      </c>
      <c r="C23" s="1902" t="s">
        <v>2286</v>
      </c>
      <c r="D23" s="1911"/>
      <c r="E23" s="1911"/>
      <c r="F23" s="1912"/>
      <c r="G23" s="1911" t="s">
        <v>637</v>
      </c>
      <c r="H23" s="1913">
        <v>400000</v>
      </c>
      <c r="I23" s="1913">
        <v>400000</v>
      </c>
      <c r="J23" s="1913">
        <v>400000</v>
      </c>
      <c r="K23" s="1913">
        <v>400000</v>
      </c>
      <c r="L23" s="1913">
        <f>+[3]Správa!$B$140</f>
        <v>400000</v>
      </c>
      <c r="M23" s="1914">
        <f t="shared" si="1"/>
        <v>0</v>
      </c>
      <c r="N23" s="1913"/>
      <c r="O23" s="1913"/>
      <c r="P23" s="1913"/>
      <c r="Q23" s="1913"/>
      <c r="R23" s="1913"/>
      <c r="S23" s="1882"/>
      <c r="T23" s="1924"/>
    </row>
    <row r="24" spans="1:21" outlineLevel="1" x14ac:dyDescent="0.25">
      <c r="A24" s="1926"/>
      <c r="B24" s="1910" t="s">
        <v>356</v>
      </c>
      <c r="C24" s="1902" t="s">
        <v>2936</v>
      </c>
      <c r="D24" s="1911"/>
      <c r="E24" s="1911"/>
      <c r="F24" s="1912"/>
      <c r="G24" s="1911" t="s">
        <v>637</v>
      </c>
      <c r="H24" s="1913">
        <v>90000</v>
      </c>
      <c r="I24" s="1913">
        <v>90000</v>
      </c>
      <c r="J24" s="1913">
        <v>90000</v>
      </c>
      <c r="K24" s="1913">
        <v>3986684</v>
      </c>
      <c r="L24" s="1913">
        <f>+[3]Správa!$B$146</f>
        <v>0</v>
      </c>
      <c r="M24" s="1914">
        <f t="shared" si="1"/>
        <v>-3986684</v>
      </c>
      <c r="N24" s="1913"/>
      <c r="O24" s="1913"/>
      <c r="P24" s="1913"/>
      <c r="Q24" s="1913"/>
      <c r="R24" s="1913" t="s">
        <v>2943</v>
      </c>
      <c r="S24" s="1882"/>
      <c r="T24" s="1924"/>
    </row>
    <row r="25" spans="1:21" outlineLevel="1" x14ac:dyDescent="0.25">
      <c r="A25" s="1926"/>
      <c r="B25" s="1910" t="s">
        <v>356</v>
      </c>
      <c r="C25" s="1902" t="s">
        <v>2287</v>
      </c>
      <c r="D25" s="1911"/>
      <c r="E25" s="1911"/>
      <c r="F25" s="1912"/>
      <c r="G25" s="1911" t="s">
        <v>637</v>
      </c>
      <c r="H25" s="1913">
        <v>150000</v>
      </c>
      <c r="I25" s="1913">
        <v>150000</v>
      </c>
      <c r="J25" s="1913">
        <v>150000</v>
      </c>
      <c r="K25" s="1913">
        <v>0</v>
      </c>
      <c r="L25" s="1913">
        <f>+[3]Správa!$B$147</f>
        <v>0</v>
      </c>
      <c r="M25" s="1914">
        <f t="shared" si="1"/>
        <v>0</v>
      </c>
      <c r="N25" s="1913"/>
      <c r="O25" s="1913"/>
      <c r="P25" s="1913"/>
      <c r="Q25" s="1913"/>
      <c r="R25" s="1913"/>
      <c r="S25" s="1882"/>
      <c r="T25" s="1924"/>
    </row>
    <row r="26" spans="1:21" s="1941" customFormat="1" outlineLevel="1" x14ac:dyDescent="0.2">
      <c r="A26" s="1926"/>
      <c r="B26" s="1933" t="s">
        <v>356</v>
      </c>
      <c r="C26" s="1934" t="s">
        <v>2242</v>
      </c>
      <c r="D26" s="1935"/>
      <c r="E26" s="1935"/>
      <c r="F26" s="1936"/>
      <c r="G26" s="1935" t="s">
        <v>637</v>
      </c>
      <c r="H26" s="1937"/>
      <c r="I26" s="1937"/>
      <c r="J26" s="1937"/>
      <c r="K26" s="1937"/>
      <c r="L26" s="1937"/>
      <c r="M26" s="1938">
        <f t="shared" si="1"/>
        <v>0</v>
      </c>
      <c r="N26" s="1937"/>
      <c r="O26" s="1937"/>
      <c r="P26" s="1937"/>
      <c r="Q26" s="1937"/>
      <c r="R26" s="1937"/>
      <c r="S26" s="1939"/>
      <c r="T26" s="1924"/>
      <c r="U26" s="1940"/>
    </row>
    <row r="27" spans="1:21" s="1941" customFormat="1" outlineLevel="1" x14ac:dyDescent="0.2">
      <c r="A27" s="1926"/>
      <c r="B27" s="1933" t="s">
        <v>356</v>
      </c>
      <c r="C27" s="1934" t="s">
        <v>2353</v>
      </c>
      <c r="D27" s="1935"/>
      <c r="E27" s="1935"/>
      <c r="F27" s="1936"/>
      <c r="G27" s="1935" t="s">
        <v>637</v>
      </c>
      <c r="H27" s="1937">
        <v>0</v>
      </c>
      <c r="I27" s="1937">
        <v>400000</v>
      </c>
      <c r="J27" s="1937">
        <v>400000</v>
      </c>
      <c r="K27" s="1937">
        <v>400000</v>
      </c>
      <c r="L27" s="1937">
        <f>+[4]Správa!$B$19</f>
        <v>400000</v>
      </c>
      <c r="M27" s="1938">
        <f t="shared" si="1"/>
        <v>0</v>
      </c>
      <c r="N27" s="1937"/>
      <c r="O27" s="1937"/>
      <c r="P27" s="1937"/>
      <c r="Q27" s="1937"/>
      <c r="R27" s="1937"/>
      <c r="S27" s="1939"/>
      <c r="T27" s="1924"/>
      <c r="U27" s="1940"/>
    </row>
    <row r="28" spans="1:21" ht="13.5" outlineLevel="1" thickBot="1" x14ac:dyDescent="0.3">
      <c r="A28" s="1942">
        <v>6171</v>
      </c>
      <c r="B28" s="1943" t="s">
        <v>356</v>
      </c>
      <c r="C28" s="1944" t="s">
        <v>2354</v>
      </c>
      <c r="D28" s="1945"/>
      <c r="E28" s="1945"/>
      <c r="F28" s="1946"/>
      <c r="G28" s="1935" t="s">
        <v>637</v>
      </c>
      <c r="H28" s="1947">
        <v>0</v>
      </c>
      <c r="I28" s="1947">
        <v>400000</v>
      </c>
      <c r="J28" s="1947">
        <v>400000</v>
      </c>
      <c r="K28" s="1947">
        <v>400000</v>
      </c>
      <c r="L28" s="1947">
        <f>+[4]Správa!$B$20</f>
        <v>400000</v>
      </c>
      <c r="M28" s="1948">
        <f t="shared" si="1"/>
        <v>0</v>
      </c>
      <c r="N28" s="1947"/>
      <c r="O28" s="1947"/>
      <c r="P28" s="1947"/>
      <c r="Q28" s="1947"/>
      <c r="R28" s="1947"/>
      <c r="S28" s="1882"/>
      <c r="T28" s="1924"/>
    </row>
    <row r="29" spans="1:21" ht="13.5" thickBot="1" x14ac:dyDescent="0.3">
      <c r="A29" s="3164" t="s">
        <v>1988</v>
      </c>
      <c r="B29" s="3165" t="s">
        <v>356</v>
      </c>
      <c r="C29" s="1918"/>
      <c r="D29" s="1919"/>
      <c r="E29" s="1919"/>
      <c r="F29" s="1920"/>
      <c r="G29" s="1919"/>
      <c r="H29" s="1921">
        <v>1040000</v>
      </c>
      <c r="I29" s="1921">
        <v>1840000</v>
      </c>
      <c r="J29" s="1921">
        <v>1840000</v>
      </c>
      <c r="K29" s="1921">
        <v>5586684</v>
      </c>
      <c r="L29" s="1921">
        <f>SUM(L21:L28)</f>
        <v>2000000</v>
      </c>
      <c r="M29" s="1922">
        <f t="shared" si="1"/>
        <v>-3586684</v>
      </c>
      <c r="N29" s="1921"/>
      <c r="O29" s="1921">
        <f>SUM(O21:O28)</f>
        <v>0</v>
      </c>
      <c r="P29" s="1921"/>
      <c r="Q29" s="1921"/>
      <c r="R29" s="1921"/>
      <c r="S29" s="1923">
        <f>'Výdaje kapitol celkem'!Q69</f>
        <v>1600000</v>
      </c>
      <c r="T29" s="1924">
        <f>+S29-L29</f>
        <v>-400000</v>
      </c>
    </row>
    <row r="30" spans="1:21" outlineLevel="1" x14ac:dyDescent="0.25">
      <c r="A30" s="1925"/>
      <c r="B30" s="1910"/>
      <c r="C30" s="1902" t="s">
        <v>2138</v>
      </c>
      <c r="D30" s="1911"/>
      <c r="E30" s="1911"/>
      <c r="F30" s="1912"/>
      <c r="G30" s="1911" t="s">
        <v>637</v>
      </c>
      <c r="H30" s="1913">
        <v>600000</v>
      </c>
      <c r="I30" s="1913">
        <v>600000</v>
      </c>
      <c r="J30" s="1913">
        <v>600000</v>
      </c>
      <c r="K30" s="1913">
        <v>600000</v>
      </c>
      <c r="L30" s="1913">
        <f>+'[4]Particitivní rozpočet'!$B$118</f>
        <v>600000</v>
      </c>
      <c r="M30" s="1914">
        <f t="shared" si="1"/>
        <v>0</v>
      </c>
      <c r="N30" s="1914"/>
      <c r="O30" s="1914"/>
      <c r="P30" s="1914"/>
      <c r="Q30" s="1914"/>
      <c r="R30" s="1914"/>
      <c r="S30" s="1882"/>
      <c r="T30" s="1924"/>
    </row>
    <row r="31" spans="1:21" ht="13.5" outlineLevel="1" thickBot="1" x14ac:dyDescent="0.3">
      <c r="A31" s="1926" t="s">
        <v>1986</v>
      </c>
      <c r="B31" s="1949"/>
      <c r="C31" s="1950" t="s">
        <v>2225</v>
      </c>
      <c r="D31" s="1951"/>
      <c r="E31" s="1951"/>
      <c r="F31" s="1952"/>
      <c r="G31" s="1951" t="s">
        <v>637</v>
      </c>
      <c r="H31" s="1953"/>
      <c r="I31" s="1953"/>
      <c r="J31" s="1953"/>
      <c r="K31" s="1953"/>
      <c r="L31" s="1953"/>
      <c r="M31" s="1954">
        <f t="shared" si="1"/>
        <v>0</v>
      </c>
      <c r="N31" s="1953"/>
      <c r="O31" s="1953"/>
      <c r="P31" s="1953"/>
      <c r="Q31" s="1953"/>
      <c r="R31" s="1953"/>
      <c r="S31" s="1882"/>
      <c r="T31" s="1924"/>
    </row>
    <row r="32" spans="1:21" ht="13.5" thickBot="1" x14ac:dyDescent="0.3">
      <c r="A32" s="3164" t="s">
        <v>1989</v>
      </c>
      <c r="B32" s="3165" t="s">
        <v>190</v>
      </c>
      <c r="C32" s="1918"/>
      <c r="D32" s="1919"/>
      <c r="E32" s="1919"/>
      <c r="F32" s="1920"/>
      <c r="G32" s="1919"/>
      <c r="H32" s="1921">
        <v>600000</v>
      </c>
      <c r="I32" s="1921">
        <v>600000</v>
      </c>
      <c r="J32" s="1921">
        <v>600000</v>
      </c>
      <c r="K32" s="1921">
        <v>600000</v>
      </c>
      <c r="L32" s="1921">
        <f>SUM(L30:L31)</f>
        <v>600000</v>
      </c>
      <c r="M32" s="1922">
        <f t="shared" si="1"/>
        <v>0</v>
      </c>
      <c r="N32" s="1921"/>
      <c r="O32" s="1921">
        <f t="shared" ref="O32" si="2">SUM(O30:O31)</f>
        <v>0</v>
      </c>
      <c r="P32" s="1921"/>
      <c r="Q32" s="1921"/>
      <c r="R32" s="1921"/>
      <c r="S32" s="1923">
        <f>'Výdaje kapitol celkem'!M69</f>
        <v>600000</v>
      </c>
      <c r="T32" s="1924">
        <f>+S32-L32</f>
        <v>0</v>
      </c>
    </row>
    <row r="33" spans="1:21" outlineLevel="1" x14ac:dyDescent="0.25">
      <c r="A33" s="1925"/>
      <c r="B33" s="1910" t="s">
        <v>1252</v>
      </c>
      <c r="C33" s="1902" t="s">
        <v>1592</v>
      </c>
      <c r="D33" s="1911"/>
      <c r="E33" s="1911"/>
      <c r="F33" s="1912"/>
      <c r="G33" s="1911" t="s">
        <v>637</v>
      </c>
      <c r="H33" s="1913">
        <v>600000</v>
      </c>
      <c r="I33" s="1913">
        <v>600000</v>
      </c>
      <c r="J33" s="1913">
        <v>600000</v>
      </c>
      <c r="K33" s="1913">
        <v>600000</v>
      </c>
      <c r="L33" s="1913">
        <f>+'[5]Hotel Budka'!$B$9</f>
        <v>600000</v>
      </c>
      <c r="M33" s="1914">
        <f t="shared" si="1"/>
        <v>0</v>
      </c>
      <c r="N33" s="1914"/>
      <c r="O33" s="1914"/>
      <c r="P33" s="1914"/>
      <c r="Q33" s="1914"/>
      <c r="R33" s="1914"/>
      <c r="S33" s="1882"/>
      <c r="T33" s="1924"/>
    </row>
    <row r="34" spans="1:21" ht="13.5" outlineLevel="1" thickBot="1" x14ac:dyDescent="0.3">
      <c r="A34" s="1926" t="s">
        <v>1253</v>
      </c>
      <c r="B34" s="1949" t="s">
        <v>1252</v>
      </c>
      <c r="C34" s="1950" t="s">
        <v>1593</v>
      </c>
      <c r="D34" s="1951"/>
      <c r="E34" s="1951"/>
      <c r="F34" s="1952"/>
      <c r="G34" s="1951" t="s">
        <v>637</v>
      </c>
      <c r="H34" s="1953">
        <v>0</v>
      </c>
      <c r="I34" s="1953">
        <v>0</v>
      </c>
      <c r="J34" s="1953">
        <v>0</v>
      </c>
      <c r="K34" s="1953">
        <v>0</v>
      </c>
      <c r="L34" s="1953">
        <f>+'[5]Hotel Budka'!$B$8</f>
        <v>0</v>
      </c>
      <c r="M34" s="1954">
        <f t="shared" si="1"/>
        <v>0</v>
      </c>
      <c r="N34" s="1953"/>
      <c r="O34" s="1953"/>
      <c r="P34" s="1953"/>
      <c r="Q34" s="1953"/>
      <c r="R34" s="1953"/>
      <c r="S34" s="1882"/>
      <c r="T34" s="1924"/>
    </row>
    <row r="35" spans="1:21" ht="13.5" thickBot="1" x14ac:dyDescent="0.3">
      <c r="A35" s="3164" t="s">
        <v>1442</v>
      </c>
      <c r="B35" s="3165" t="s">
        <v>190</v>
      </c>
      <c r="C35" s="1918"/>
      <c r="D35" s="1919"/>
      <c r="E35" s="1919"/>
      <c r="F35" s="1920"/>
      <c r="G35" s="1919"/>
      <c r="H35" s="1921">
        <v>600000</v>
      </c>
      <c r="I35" s="1921">
        <v>600000</v>
      </c>
      <c r="J35" s="1921">
        <v>600000</v>
      </c>
      <c r="K35" s="1921">
        <v>600000</v>
      </c>
      <c r="L35" s="1921">
        <f>SUM(L33:L34)</f>
        <v>600000</v>
      </c>
      <c r="M35" s="1922">
        <f t="shared" si="1"/>
        <v>0</v>
      </c>
      <c r="N35" s="1921"/>
      <c r="O35" s="1921">
        <f t="shared" ref="O35" si="3">SUM(O33:O34)</f>
        <v>0</v>
      </c>
      <c r="P35" s="1921"/>
      <c r="Q35" s="1921"/>
      <c r="R35" s="1921"/>
      <c r="S35" s="1923">
        <f>'Výdaje kapitol celkem'!AA69</f>
        <v>600000</v>
      </c>
      <c r="T35" s="1924">
        <f>+S35-L35</f>
        <v>0</v>
      </c>
    </row>
    <row r="36" spans="1:21" outlineLevel="1" x14ac:dyDescent="0.25">
      <c r="A36" s="1925"/>
      <c r="B36" s="1910" t="s">
        <v>190</v>
      </c>
      <c r="C36" s="1902" t="s">
        <v>1652</v>
      </c>
      <c r="D36" s="1911"/>
      <c r="E36" s="1911"/>
      <c r="F36" s="1912"/>
      <c r="G36" s="1911" t="s">
        <v>637</v>
      </c>
      <c r="H36" s="1913">
        <v>30000</v>
      </c>
      <c r="I36" s="1913">
        <v>30000</v>
      </c>
      <c r="J36" s="1913">
        <v>30000</v>
      </c>
      <c r="K36" s="1913">
        <v>30000</v>
      </c>
      <c r="L36" s="1913">
        <f>+[4]Knihovna!$B$34</f>
        <v>30000</v>
      </c>
      <c r="M36" s="1914">
        <f t="shared" si="1"/>
        <v>0</v>
      </c>
      <c r="N36" s="1913"/>
      <c r="O36" s="1913"/>
      <c r="P36" s="1913"/>
      <c r="Q36" s="1913"/>
      <c r="R36" s="1913"/>
      <c r="S36" s="1882"/>
      <c r="T36" s="1924"/>
    </row>
    <row r="37" spans="1:21" outlineLevel="1" x14ac:dyDescent="0.25">
      <c r="A37" s="1926"/>
      <c r="B37" s="1955" t="s">
        <v>190</v>
      </c>
      <c r="C37" s="1956" t="s">
        <v>2355</v>
      </c>
      <c r="D37" s="1957"/>
      <c r="E37" s="1957"/>
      <c r="F37" s="1958"/>
      <c r="G37" s="1957" t="s">
        <v>637</v>
      </c>
      <c r="H37" s="1959">
        <v>250000</v>
      </c>
      <c r="I37" s="1959">
        <v>250000</v>
      </c>
      <c r="J37" s="1959">
        <v>250000</v>
      </c>
      <c r="K37" s="1959">
        <v>250000</v>
      </c>
      <c r="L37" s="1959">
        <f>+[4]Knihovna!$B$35</f>
        <v>250000</v>
      </c>
      <c r="M37" s="1914">
        <f t="shared" si="1"/>
        <v>0</v>
      </c>
      <c r="N37" s="1959"/>
      <c r="O37" s="1959"/>
      <c r="P37" s="1959"/>
      <c r="Q37" s="1959"/>
      <c r="R37" s="1959"/>
      <c r="S37" s="1882"/>
      <c r="T37" s="1924"/>
    </row>
    <row r="38" spans="1:21" ht="13.5" outlineLevel="1" thickBot="1" x14ac:dyDescent="0.3">
      <c r="A38" s="1926">
        <v>3314</v>
      </c>
      <c r="B38" s="1949" t="s">
        <v>190</v>
      </c>
      <c r="C38" s="1950" t="s">
        <v>2356</v>
      </c>
      <c r="D38" s="1951"/>
      <c r="E38" s="1951"/>
      <c r="F38" s="1952"/>
      <c r="G38" s="1951" t="s">
        <v>637</v>
      </c>
      <c r="H38" s="1953">
        <v>0</v>
      </c>
      <c r="I38" s="1953">
        <v>0</v>
      </c>
      <c r="J38" s="1953">
        <v>0</v>
      </c>
      <c r="K38" s="1953">
        <v>0</v>
      </c>
      <c r="L38" s="1953">
        <f>+[4]Knihovna!$B$36</f>
        <v>0</v>
      </c>
      <c r="M38" s="1954">
        <f t="shared" si="1"/>
        <v>0</v>
      </c>
      <c r="N38" s="1953"/>
      <c r="O38" s="1953"/>
      <c r="P38" s="1953"/>
      <c r="Q38" s="1953"/>
      <c r="R38" s="1953"/>
      <c r="S38" s="1882"/>
      <c r="T38" s="1924"/>
    </row>
    <row r="39" spans="1:21" ht="13.5" thickBot="1" x14ac:dyDescent="0.3">
      <c r="A39" s="3164" t="s">
        <v>1961</v>
      </c>
      <c r="B39" s="3165" t="s">
        <v>190</v>
      </c>
      <c r="C39" s="1918"/>
      <c r="D39" s="1919"/>
      <c r="E39" s="1919"/>
      <c r="F39" s="1920"/>
      <c r="G39" s="1919"/>
      <c r="H39" s="1921">
        <v>280000</v>
      </c>
      <c r="I39" s="1921">
        <v>280000</v>
      </c>
      <c r="J39" s="1921">
        <v>280000</v>
      </c>
      <c r="K39" s="1921">
        <v>280000</v>
      </c>
      <c r="L39" s="1921">
        <f>SUM(L36:L38)</f>
        <v>280000</v>
      </c>
      <c r="M39" s="1922">
        <f t="shared" si="1"/>
        <v>0</v>
      </c>
      <c r="N39" s="1921"/>
      <c r="O39" s="1921">
        <f t="shared" ref="O39" si="4">SUM(O36:O38)</f>
        <v>0</v>
      </c>
      <c r="P39" s="1921"/>
      <c r="Q39" s="1921"/>
      <c r="R39" s="1921"/>
      <c r="S39" s="1923">
        <f>'Výdaje kapitol celkem'!AB69</f>
        <v>280000</v>
      </c>
      <c r="T39" s="1924">
        <f>+S39-L39</f>
        <v>0</v>
      </c>
    </row>
    <row r="40" spans="1:21" s="1967" customFormat="1" outlineLevel="1" x14ac:dyDescent="0.25">
      <c r="A40" s="1960"/>
      <c r="B40" s="1955" t="s">
        <v>137</v>
      </c>
      <c r="C40" s="1961" t="s">
        <v>1591</v>
      </c>
      <c r="D40" s="1962"/>
      <c r="E40" s="1962"/>
      <c r="F40" s="1963"/>
      <c r="G40" s="1962" t="s">
        <v>637</v>
      </c>
      <c r="H40" s="1964">
        <v>0</v>
      </c>
      <c r="I40" s="1964">
        <v>0</v>
      </c>
      <c r="J40" s="1964">
        <v>0</v>
      </c>
      <c r="K40" s="1964">
        <v>0</v>
      </c>
      <c r="L40" s="1964">
        <f>+[5]Byty!$B$8</f>
        <v>0</v>
      </c>
      <c r="M40" s="1965">
        <f t="shared" si="1"/>
        <v>0</v>
      </c>
      <c r="N40" s="1964"/>
      <c r="O40" s="1964"/>
      <c r="P40" s="1964"/>
      <c r="Q40" s="1964"/>
      <c r="R40" s="1964"/>
      <c r="S40" s="1882"/>
      <c r="T40" s="1924"/>
      <c r="U40" s="1966"/>
    </row>
    <row r="41" spans="1:21" s="1967" customFormat="1" outlineLevel="1" x14ac:dyDescent="0.25">
      <c r="A41" s="1960"/>
      <c r="B41" s="1910" t="s">
        <v>137</v>
      </c>
      <c r="C41" s="1961" t="s">
        <v>1590</v>
      </c>
      <c r="D41" s="1962"/>
      <c r="E41" s="1962"/>
      <c r="F41" s="1963"/>
      <c r="G41" s="1962" t="s">
        <v>637</v>
      </c>
      <c r="H41" s="1964">
        <v>0</v>
      </c>
      <c r="I41" s="1964">
        <v>0</v>
      </c>
      <c r="J41" s="1964">
        <v>0</v>
      </c>
      <c r="K41" s="1964">
        <v>0</v>
      </c>
      <c r="L41" s="1964">
        <f>+[5]Byty!$B$9</f>
        <v>0</v>
      </c>
      <c r="M41" s="1965">
        <f t="shared" si="1"/>
        <v>0</v>
      </c>
      <c r="N41" s="1964"/>
      <c r="O41" s="1964"/>
      <c r="P41" s="1964"/>
      <c r="Q41" s="1964"/>
      <c r="R41" s="1964"/>
      <c r="S41" s="1881"/>
      <c r="T41" s="1924"/>
      <c r="U41" s="1966"/>
    </row>
    <row r="42" spans="1:21" s="1967" customFormat="1" ht="24.75" outlineLevel="1" x14ac:dyDescent="0.25">
      <c r="A42" s="1960"/>
      <c r="B42" s="1910" t="s">
        <v>137</v>
      </c>
      <c r="C42" s="1961" t="s">
        <v>1589</v>
      </c>
      <c r="D42" s="1962"/>
      <c r="E42" s="1962"/>
      <c r="F42" s="1963"/>
      <c r="G42" s="1962" t="s">
        <v>637</v>
      </c>
      <c r="H42" s="1964">
        <v>2400000</v>
      </c>
      <c r="I42" s="1964">
        <v>2400000</v>
      </c>
      <c r="J42" s="1964">
        <v>2400000</v>
      </c>
      <c r="K42" s="1964">
        <v>2400000</v>
      </c>
      <c r="L42" s="1964">
        <f>+[5]Byty!$B$25</f>
        <v>2400000</v>
      </c>
      <c r="M42" s="1965">
        <f t="shared" si="1"/>
        <v>0</v>
      </c>
      <c r="N42" s="1964"/>
      <c r="O42" s="1964"/>
      <c r="P42" s="1964"/>
      <c r="Q42" s="1964"/>
      <c r="R42" s="1959"/>
      <c r="S42" s="1881"/>
      <c r="T42" s="1924"/>
      <c r="U42" s="1966"/>
    </row>
    <row r="43" spans="1:21" s="1967" customFormat="1" outlineLevel="1" x14ac:dyDescent="0.25">
      <c r="A43" s="1960"/>
      <c r="B43" s="1910" t="s">
        <v>137</v>
      </c>
      <c r="C43" s="1961" t="s">
        <v>2224</v>
      </c>
      <c r="D43" s="1962"/>
      <c r="E43" s="1962"/>
      <c r="F43" s="1963"/>
      <c r="G43" s="1962" t="s">
        <v>637</v>
      </c>
      <c r="H43" s="1964">
        <v>0</v>
      </c>
      <c r="I43" s="1964">
        <v>0</v>
      </c>
      <c r="J43" s="1964">
        <v>0</v>
      </c>
      <c r="K43" s="1964">
        <v>0</v>
      </c>
      <c r="L43" s="1964">
        <f>+[5]Byty!$B$26</f>
        <v>0</v>
      </c>
      <c r="M43" s="1965">
        <f t="shared" si="1"/>
        <v>0</v>
      </c>
      <c r="N43" s="1964"/>
      <c r="O43" s="1964"/>
      <c r="P43" s="1964"/>
      <c r="Q43" s="1964"/>
      <c r="R43" s="1964"/>
      <c r="S43" s="1881"/>
      <c r="T43" s="1924"/>
      <c r="U43" s="1966"/>
    </row>
    <row r="44" spans="1:21" s="1967" customFormat="1" ht="13.5" outlineLevel="1" thickBot="1" x14ac:dyDescent="0.3">
      <c r="A44" s="1926">
        <v>3612</v>
      </c>
      <c r="B44" s="1955" t="s">
        <v>137</v>
      </c>
      <c r="C44" s="1968"/>
      <c r="D44" s="1969"/>
      <c r="E44" s="1969"/>
      <c r="F44" s="1970"/>
      <c r="G44" s="1969" t="s">
        <v>637</v>
      </c>
      <c r="H44" s="1971"/>
      <c r="I44" s="1971"/>
      <c r="J44" s="1971"/>
      <c r="K44" s="1971"/>
      <c r="L44" s="1971"/>
      <c r="M44" s="1972">
        <f t="shared" si="1"/>
        <v>0</v>
      </c>
      <c r="N44" s="1971"/>
      <c r="O44" s="1971"/>
      <c r="P44" s="1971"/>
      <c r="Q44" s="1971"/>
      <c r="R44" s="1971"/>
      <c r="S44" s="1881"/>
      <c r="T44" s="1924"/>
      <c r="U44" s="1966"/>
    </row>
    <row r="45" spans="1:21" ht="13.5" thickBot="1" x14ac:dyDescent="0.3">
      <c r="A45" s="3164" t="s">
        <v>622</v>
      </c>
      <c r="B45" s="3165"/>
      <c r="C45" s="1918"/>
      <c r="D45" s="1919"/>
      <c r="E45" s="1919"/>
      <c r="F45" s="1920"/>
      <c r="G45" s="1919"/>
      <c r="H45" s="1921">
        <v>2400000</v>
      </c>
      <c r="I45" s="1921">
        <v>2400000</v>
      </c>
      <c r="J45" s="1921">
        <v>2400000</v>
      </c>
      <c r="K45" s="1921">
        <v>2400000</v>
      </c>
      <c r="L45" s="1921">
        <f>SUM(L41:L44)</f>
        <v>2400000</v>
      </c>
      <c r="M45" s="1922">
        <f t="shared" si="1"/>
        <v>0</v>
      </c>
      <c r="N45" s="1921"/>
      <c r="O45" s="1921">
        <f>SUM(O40:O44)</f>
        <v>0</v>
      </c>
      <c r="P45" s="1921"/>
      <c r="Q45" s="1921"/>
      <c r="R45" s="1921"/>
      <c r="S45" s="1923">
        <f>'Výdaje kapitol celkem'!AE69</f>
        <v>2400000</v>
      </c>
      <c r="T45" s="1924">
        <f>+S45-L45</f>
        <v>0</v>
      </c>
    </row>
    <row r="46" spans="1:21" s="1967" customFormat="1" outlineLevel="1" x14ac:dyDescent="0.25">
      <c r="A46" s="1960"/>
      <c r="B46" s="1910" t="s">
        <v>139</v>
      </c>
      <c r="C46" s="1961" t="s">
        <v>1596</v>
      </c>
      <c r="D46" s="1962"/>
      <c r="E46" s="1962"/>
      <c r="F46" s="1963"/>
      <c r="G46" s="1962" t="s">
        <v>637</v>
      </c>
      <c r="H46" s="1964">
        <v>30000</v>
      </c>
      <c r="I46" s="1964">
        <v>30000</v>
      </c>
      <c r="J46" s="1964">
        <v>30000</v>
      </c>
      <c r="K46" s="1964">
        <v>30000</v>
      </c>
      <c r="L46" s="1964">
        <f>+[5]Nebyty!$B$20</f>
        <v>30000</v>
      </c>
      <c r="M46" s="1965">
        <f t="shared" si="1"/>
        <v>0</v>
      </c>
      <c r="N46" s="1964"/>
      <c r="O46" s="1964"/>
      <c r="P46" s="1964"/>
      <c r="Q46" s="1964"/>
      <c r="R46" s="1964"/>
      <c r="S46" s="1882"/>
      <c r="T46" s="1924"/>
      <c r="U46" s="1966"/>
    </row>
    <row r="47" spans="1:21" s="1967" customFormat="1" ht="15" customHeight="1" outlineLevel="1" x14ac:dyDescent="0.25">
      <c r="A47" s="1960"/>
      <c r="B47" s="1955" t="s">
        <v>139</v>
      </c>
      <c r="C47" s="1973" t="s">
        <v>1594</v>
      </c>
      <c r="D47" s="1969"/>
      <c r="E47" s="1969"/>
      <c r="F47" s="1970"/>
      <c r="G47" s="1969" t="s">
        <v>637</v>
      </c>
      <c r="H47" s="1971">
        <v>0</v>
      </c>
      <c r="I47" s="1971">
        <v>0</v>
      </c>
      <c r="J47" s="1971">
        <v>0</v>
      </c>
      <c r="K47" s="1971">
        <v>0</v>
      </c>
      <c r="L47" s="1971">
        <f>+[5]Nebyty!$B$9</f>
        <v>0</v>
      </c>
      <c r="M47" s="1972">
        <f t="shared" si="1"/>
        <v>0</v>
      </c>
      <c r="N47" s="1971"/>
      <c r="O47" s="1971"/>
      <c r="P47" s="1971"/>
      <c r="Q47" s="1971"/>
      <c r="R47" s="1971"/>
      <c r="S47" s="1882"/>
      <c r="T47" s="1924"/>
      <c r="U47" s="1966"/>
    </row>
    <row r="48" spans="1:21" s="1967" customFormat="1" ht="15" customHeight="1" outlineLevel="1" x14ac:dyDescent="0.25">
      <c r="A48" s="1960"/>
      <c r="B48" s="1910" t="s">
        <v>139</v>
      </c>
      <c r="C48" s="1974" t="s">
        <v>2246</v>
      </c>
      <c r="D48" s="1962"/>
      <c r="E48" s="1962"/>
      <c r="F48" s="1963"/>
      <c r="G48" s="1962" t="s">
        <v>637</v>
      </c>
      <c r="H48" s="1964">
        <v>30000</v>
      </c>
      <c r="I48" s="1964">
        <v>30000</v>
      </c>
      <c r="J48" s="1964">
        <v>30000</v>
      </c>
      <c r="K48" s="1964">
        <v>30000</v>
      </c>
      <c r="L48" s="1964">
        <f>+[5]Nebyty!$B$35</f>
        <v>30000</v>
      </c>
      <c r="M48" s="1965">
        <f t="shared" si="1"/>
        <v>0</v>
      </c>
      <c r="N48" s="1964"/>
      <c r="O48" s="1964"/>
      <c r="P48" s="1964"/>
      <c r="Q48" s="1964"/>
      <c r="R48" s="1964"/>
      <c r="S48" s="1882"/>
      <c r="T48" s="1924"/>
      <c r="U48" s="1966"/>
    </row>
    <row r="49" spans="1:21" s="1967" customFormat="1" ht="15" hidden="1" customHeight="1" outlineLevel="1" x14ac:dyDescent="0.25">
      <c r="A49" s="1960"/>
      <c r="B49" s="1910" t="s">
        <v>139</v>
      </c>
      <c r="C49" s="1974" t="s">
        <v>1595</v>
      </c>
      <c r="D49" s="1962"/>
      <c r="E49" s="1962"/>
      <c r="F49" s="1963"/>
      <c r="G49" s="1962" t="s">
        <v>637</v>
      </c>
      <c r="H49" s="1964">
        <v>0</v>
      </c>
      <c r="I49" s="1964">
        <v>0</v>
      </c>
      <c r="J49" s="1964">
        <v>0</v>
      </c>
      <c r="K49" s="1964">
        <v>0</v>
      </c>
      <c r="L49" s="1964">
        <f>+[5]Nebyty!$B$25</f>
        <v>0</v>
      </c>
      <c r="M49" s="1965">
        <f t="shared" si="1"/>
        <v>0</v>
      </c>
      <c r="N49" s="1964"/>
      <c r="O49" s="1964"/>
      <c r="P49" s="1964"/>
      <c r="Q49" s="1964"/>
      <c r="R49" s="1964"/>
      <c r="S49" s="1882"/>
      <c r="T49" s="1924"/>
      <c r="U49" s="1966"/>
    </row>
    <row r="50" spans="1:21" s="1967" customFormat="1" ht="24.75" hidden="1" outlineLevel="1" x14ac:dyDescent="0.25">
      <c r="A50" s="1926"/>
      <c r="B50" s="1910" t="s">
        <v>139</v>
      </c>
      <c r="C50" s="1974" t="s">
        <v>1597</v>
      </c>
      <c r="D50" s="1962"/>
      <c r="E50" s="1962"/>
      <c r="F50" s="1963"/>
      <c r="G50" s="1962" t="s">
        <v>637</v>
      </c>
      <c r="H50" s="1964">
        <v>0</v>
      </c>
      <c r="I50" s="1964">
        <v>0</v>
      </c>
      <c r="J50" s="1964">
        <v>0</v>
      </c>
      <c r="K50" s="1964">
        <v>0</v>
      </c>
      <c r="L50" s="1964">
        <f>+[5]Nebyty!$B$40</f>
        <v>0</v>
      </c>
      <c r="M50" s="1965">
        <f t="shared" si="1"/>
        <v>0</v>
      </c>
      <c r="N50" s="1964"/>
      <c r="O50" s="1964"/>
      <c r="P50" s="1964"/>
      <c r="Q50" s="1964"/>
      <c r="R50" s="1964"/>
      <c r="S50" s="1882"/>
      <c r="T50" s="1924"/>
      <c r="U50" s="1966"/>
    </row>
    <row r="51" spans="1:21" s="1967" customFormat="1" ht="15" hidden="1" customHeight="1" outlineLevel="1" x14ac:dyDescent="0.25">
      <c r="A51" s="1960"/>
      <c r="B51" s="1910" t="s">
        <v>139</v>
      </c>
      <c r="C51" s="1974" t="s">
        <v>1598</v>
      </c>
      <c r="D51" s="1962"/>
      <c r="E51" s="1962"/>
      <c r="F51" s="1963"/>
      <c r="G51" s="1962" t="s">
        <v>637</v>
      </c>
      <c r="H51" s="1964">
        <v>0</v>
      </c>
      <c r="I51" s="1964">
        <v>0</v>
      </c>
      <c r="J51" s="1964">
        <v>0</v>
      </c>
      <c r="K51" s="1964">
        <v>0</v>
      </c>
      <c r="L51" s="1964">
        <f>+[5]Nebyty!$B$41</f>
        <v>0</v>
      </c>
      <c r="M51" s="1965">
        <f t="shared" si="1"/>
        <v>0</v>
      </c>
      <c r="N51" s="1964"/>
      <c r="O51" s="1964"/>
      <c r="P51" s="1964"/>
      <c r="Q51" s="1964"/>
      <c r="R51" s="1964"/>
      <c r="S51" s="1882"/>
      <c r="T51" s="1924"/>
      <c r="U51" s="1966"/>
    </row>
    <row r="52" spans="1:21" s="1967" customFormat="1" ht="15" customHeight="1" outlineLevel="1" x14ac:dyDescent="0.25">
      <c r="A52" s="1960"/>
      <c r="B52" s="1910" t="s">
        <v>139</v>
      </c>
      <c r="C52" s="1974" t="s">
        <v>1591</v>
      </c>
      <c r="D52" s="1962"/>
      <c r="E52" s="1962"/>
      <c r="F52" s="1963"/>
      <c r="G52" s="1962" t="s">
        <v>637</v>
      </c>
      <c r="H52" s="1964">
        <v>179000</v>
      </c>
      <c r="I52" s="1964">
        <v>179000</v>
      </c>
      <c r="J52" s="1964">
        <v>179000</v>
      </c>
      <c r="K52" s="1964">
        <v>179000</v>
      </c>
      <c r="L52" s="1964">
        <f>+[5]Nebyty!$B$51</f>
        <v>179000</v>
      </c>
      <c r="M52" s="1965">
        <f t="shared" si="1"/>
        <v>0</v>
      </c>
      <c r="N52" s="1964"/>
      <c r="O52" s="1964"/>
      <c r="P52" s="1964"/>
      <c r="Q52" s="1964"/>
      <c r="R52" s="1964"/>
      <c r="S52" s="1882"/>
      <c r="T52" s="1924"/>
      <c r="U52" s="1966"/>
    </row>
    <row r="53" spans="1:21" s="1967" customFormat="1" ht="15" customHeight="1" outlineLevel="1" x14ac:dyDescent="0.25">
      <c r="A53" s="1960"/>
      <c r="B53" s="1910" t="s">
        <v>139</v>
      </c>
      <c r="C53" s="1974" t="s">
        <v>1599</v>
      </c>
      <c r="D53" s="1962"/>
      <c r="E53" s="1962"/>
      <c r="F53" s="1963"/>
      <c r="G53" s="1962" t="s">
        <v>637</v>
      </c>
      <c r="H53" s="1964">
        <v>0</v>
      </c>
      <c r="I53" s="1964">
        <v>0</v>
      </c>
      <c r="J53" s="1964">
        <v>0</v>
      </c>
      <c r="K53" s="1964">
        <v>0</v>
      </c>
      <c r="L53" s="1964">
        <f>+[5]Nebyty!$B$52</f>
        <v>0</v>
      </c>
      <c r="M53" s="1965">
        <f t="shared" si="1"/>
        <v>0</v>
      </c>
      <c r="N53" s="1964"/>
      <c r="O53" s="1964"/>
      <c r="P53" s="1964"/>
      <c r="Q53" s="1964"/>
      <c r="R53" s="1964"/>
      <c r="S53" s="1882"/>
      <c r="T53" s="1924"/>
      <c r="U53" s="1966"/>
    </row>
    <row r="54" spans="1:21" s="1967" customFormat="1" ht="15" customHeight="1" outlineLevel="1" x14ac:dyDescent="0.25">
      <c r="A54" s="1960"/>
      <c r="B54" s="1910" t="s">
        <v>139</v>
      </c>
      <c r="C54" s="1974" t="s">
        <v>1600</v>
      </c>
      <c r="D54" s="1962"/>
      <c r="E54" s="1962"/>
      <c r="F54" s="1963"/>
      <c r="G54" s="1962" t="s">
        <v>637</v>
      </c>
      <c r="H54" s="1964">
        <v>2900000</v>
      </c>
      <c r="I54" s="1964">
        <v>2900000</v>
      </c>
      <c r="J54" s="1964">
        <v>2900000</v>
      </c>
      <c r="K54" s="1964">
        <v>2900000</v>
      </c>
      <c r="L54" s="1964">
        <f>+[5]Nebyty!$B$66</f>
        <v>2900000</v>
      </c>
      <c r="M54" s="1965">
        <f t="shared" si="1"/>
        <v>0</v>
      </c>
      <c r="N54" s="1965"/>
      <c r="O54" s="1965"/>
      <c r="P54" s="1965"/>
      <c r="Q54" s="1965"/>
      <c r="R54" s="1975"/>
      <c r="S54" s="1882"/>
      <c r="T54" s="1924"/>
      <c r="U54" s="1966"/>
    </row>
    <row r="55" spans="1:21" s="1967" customFormat="1" ht="15" hidden="1" customHeight="1" outlineLevel="1" x14ac:dyDescent="0.25">
      <c r="A55" s="1960"/>
      <c r="B55" s="1910" t="s">
        <v>139</v>
      </c>
      <c r="C55" s="1974" t="s">
        <v>1601</v>
      </c>
      <c r="D55" s="1962"/>
      <c r="E55" s="1962"/>
      <c r="F55" s="1963"/>
      <c r="G55" s="1962" t="s">
        <v>637</v>
      </c>
      <c r="H55" s="1964">
        <v>0</v>
      </c>
      <c r="I55" s="1964">
        <v>0</v>
      </c>
      <c r="J55" s="1964">
        <v>0</v>
      </c>
      <c r="K55" s="1964">
        <v>0</v>
      </c>
      <c r="L55" s="1964">
        <f>+[5]Nebyty!$B$67</f>
        <v>0</v>
      </c>
      <c r="M55" s="1965">
        <f t="shared" si="1"/>
        <v>0</v>
      </c>
      <c r="N55" s="1964"/>
      <c r="O55" s="1964"/>
      <c r="P55" s="1964"/>
      <c r="Q55" s="1964"/>
      <c r="R55" s="1964"/>
      <c r="S55" s="1882"/>
      <c r="T55" s="1924"/>
      <c r="U55" s="1966"/>
    </row>
    <row r="56" spans="1:21" s="1967" customFormat="1" ht="15" hidden="1" customHeight="1" outlineLevel="1" x14ac:dyDescent="0.25">
      <c r="A56" s="1960"/>
      <c r="B56" s="1955" t="s">
        <v>139</v>
      </c>
      <c r="C56" s="1973" t="s">
        <v>1602</v>
      </c>
      <c r="D56" s="1969"/>
      <c r="E56" s="1969"/>
      <c r="F56" s="1970"/>
      <c r="G56" s="1969" t="s">
        <v>637</v>
      </c>
      <c r="H56" s="1971">
        <v>0</v>
      </c>
      <c r="I56" s="1971">
        <v>0</v>
      </c>
      <c r="J56" s="1971">
        <v>0</v>
      </c>
      <c r="K56" s="1971">
        <v>0</v>
      </c>
      <c r="L56" s="1971">
        <f>+[5]Nebyty!$B$78</f>
        <v>0</v>
      </c>
      <c r="M56" s="1972">
        <f t="shared" si="1"/>
        <v>0</v>
      </c>
      <c r="N56" s="1971"/>
      <c r="O56" s="1971"/>
      <c r="P56" s="1971"/>
      <c r="Q56" s="1971"/>
      <c r="R56" s="1971"/>
      <c r="S56" s="1882"/>
      <c r="T56" s="1924"/>
      <c r="U56" s="1966"/>
    </row>
    <row r="57" spans="1:21" s="1967" customFormat="1" ht="15" hidden="1" customHeight="1" outlineLevel="1" x14ac:dyDescent="0.25">
      <c r="A57" s="1960"/>
      <c r="B57" s="1955" t="s">
        <v>139</v>
      </c>
      <c r="C57" s="1973" t="s">
        <v>1603</v>
      </c>
      <c r="D57" s="1969"/>
      <c r="E57" s="1969"/>
      <c r="F57" s="1970"/>
      <c r="G57" s="1969" t="s">
        <v>637</v>
      </c>
      <c r="H57" s="1971">
        <v>0</v>
      </c>
      <c r="I57" s="1971">
        <v>0</v>
      </c>
      <c r="J57" s="1971">
        <v>0</v>
      </c>
      <c r="K57" s="1971">
        <v>0</v>
      </c>
      <c r="L57" s="1971">
        <f>+[5]Nebyty!$B$79</f>
        <v>0</v>
      </c>
      <c r="M57" s="1972">
        <f t="shared" si="1"/>
        <v>0</v>
      </c>
      <c r="N57" s="1971"/>
      <c r="O57" s="1971"/>
      <c r="P57" s="1971"/>
      <c r="Q57" s="1971"/>
      <c r="R57" s="1971"/>
      <c r="S57" s="1882"/>
      <c r="T57" s="1924"/>
      <c r="U57" s="1966"/>
    </row>
    <row r="58" spans="1:21" s="1967" customFormat="1" ht="15" hidden="1" customHeight="1" outlineLevel="1" x14ac:dyDescent="0.25">
      <c r="A58" s="1960"/>
      <c r="B58" s="1955" t="s">
        <v>139</v>
      </c>
      <c r="C58" s="1973" t="s">
        <v>1604</v>
      </c>
      <c r="D58" s="1969"/>
      <c r="E58" s="1969"/>
      <c r="F58" s="1970"/>
      <c r="G58" s="1969" t="s">
        <v>637</v>
      </c>
      <c r="H58" s="1971">
        <v>0</v>
      </c>
      <c r="I58" s="1971">
        <v>0</v>
      </c>
      <c r="J58" s="1971">
        <v>0</v>
      </c>
      <c r="K58" s="1971">
        <v>0</v>
      </c>
      <c r="L58" s="1971">
        <f>+[5]Nebyty!$B$89</f>
        <v>0</v>
      </c>
      <c r="M58" s="1972">
        <f t="shared" si="1"/>
        <v>0</v>
      </c>
      <c r="N58" s="1971"/>
      <c r="O58" s="1971"/>
      <c r="P58" s="1971"/>
      <c r="Q58" s="1971"/>
      <c r="R58" s="1971"/>
      <c r="S58" s="1882"/>
      <c r="T58" s="1924"/>
      <c r="U58" s="1966"/>
    </row>
    <row r="59" spans="1:21" s="1967" customFormat="1" ht="15" hidden="1" customHeight="1" outlineLevel="1" x14ac:dyDescent="0.25">
      <c r="A59" s="1960"/>
      <c r="B59" s="1955" t="s">
        <v>139</v>
      </c>
      <c r="C59" s="1973" t="s">
        <v>1605</v>
      </c>
      <c r="D59" s="1969"/>
      <c r="E59" s="1969"/>
      <c r="F59" s="1970"/>
      <c r="G59" s="1969" t="s">
        <v>637</v>
      </c>
      <c r="H59" s="1971">
        <v>0</v>
      </c>
      <c r="I59" s="1971">
        <v>0</v>
      </c>
      <c r="J59" s="1971">
        <v>0</v>
      </c>
      <c r="K59" s="1971">
        <v>0</v>
      </c>
      <c r="L59" s="1971">
        <f>+[5]Nebyty!$B$90</f>
        <v>0</v>
      </c>
      <c r="M59" s="1972">
        <f t="shared" si="1"/>
        <v>0</v>
      </c>
      <c r="N59" s="1971"/>
      <c r="O59" s="1971"/>
      <c r="P59" s="1971"/>
      <c r="Q59" s="1971"/>
      <c r="R59" s="1971"/>
      <c r="S59" s="1882"/>
      <c r="T59" s="1924"/>
      <c r="U59" s="1966"/>
    </row>
    <row r="60" spans="1:21" s="1967" customFormat="1" ht="15" hidden="1" customHeight="1" outlineLevel="1" x14ac:dyDescent="0.25">
      <c r="A60" s="1960"/>
      <c r="B60" s="1955" t="s">
        <v>139</v>
      </c>
      <c r="C60" s="1973" t="s">
        <v>1695</v>
      </c>
      <c r="D60" s="1969"/>
      <c r="E60" s="1969"/>
      <c r="F60" s="1970"/>
      <c r="G60" s="1969" t="s">
        <v>637</v>
      </c>
      <c r="H60" s="1971">
        <v>0</v>
      </c>
      <c r="I60" s="1971">
        <v>0</v>
      </c>
      <c r="J60" s="1971">
        <v>0</v>
      </c>
      <c r="K60" s="1971">
        <v>0</v>
      </c>
      <c r="L60" s="1971">
        <f>+[4]Nebyty!$B$23</f>
        <v>0</v>
      </c>
      <c r="M60" s="1972">
        <f t="shared" si="1"/>
        <v>0</v>
      </c>
      <c r="N60" s="1971"/>
      <c r="O60" s="1971"/>
      <c r="P60" s="1971"/>
      <c r="Q60" s="1971"/>
      <c r="R60" s="1971"/>
      <c r="S60" s="1882"/>
      <c r="T60" s="1924"/>
      <c r="U60" s="1966"/>
    </row>
    <row r="61" spans="1:21" s="1967" customFormat="1" ht="15" hidden="1" customHeight="1" outlineLevel="1" x14ac:dyDescent="0.25">
      <c r="A61" s="1960"/>
      <c r="B61" s="1955" t="s">
        <v>139</v>
      </c>
      <c r="C61" s="1973" t="s">
        <v>1696</v>
      </c>
      <c r="D61" s="1969"/>
      <c r="E61" s="1969"/>
      <c r="F61" s="1970"/>
      <c r="G61" s="1969" t="s">
        <v>637</v>
      </c>
      <c r="H61" s="1971">
        <v>0</v>
      </c>
      <c r="I61" s="1971">
        <v>0</v>
      </c>
      <c r="J61" s="1971">
        <v>0</v>
      </c>
      <c r="K61" s="1971">
        <v>0</v>
      </c>
      <c r="L61" s="1971">
        <f>+[4]Nebyty!$B$24</f>
        <v>0</v>
      </c>
      <c r="M61" s="1972">
        <f t="shared" si="1"/>
        <v>0</v>
      </c>
      <c r="N61" s="1971"/>
      <c r="O61" s="1971"/>
      <c r="P61" s="1971"/>
      <c r="Q61" s="1971"/>
      <c r="R61" s="1971"/>
      <c r="S61" s="1882"/>
      <c r="T61" s="1924"/>
      <c r="U61" s="1966"/>
    </row>
    <row r="62" spans="1:21" s="1967" customFormat="1" ht="15" hidden="1" customHeight="1" outlineLevel="1" x14ac:dyDescent="0.25">
      <c r="A62" s="1960"/>
      <c r="B62" s="1955" t="s">
        <v>139</v>
      </c>
      <c r="C62" s="1973"/>
      <c r="D62" s="1969"/>
      <c r="E62" s="1969"/>
      <c r="F62" s="1970"/>
      <c r="G62" s="1969"/>
      <c r="H62" s="1971"/>
      <c r="I62" s="1971"/>
      <c r="J62" s="1971"/>
      <c r="K62" s="1971"/>
      <c r="L62" s="1971"/>
      <c r="M62" s="1972">
        <f t="shared" si="1"/>
        <v>0</v>
      </c>
      <c r="N62" s="1971"/>
      <c r="O62" s="1971"/>
      <c r="P62" s="1971"/>
      <c r="Q62" s="1971"/>
      <c r="R62" s="1971"/>
      <c r="S62" s="1882"/>
      <c r="T62" s="1924"/>
      <c r="U62" s="1966"/>
    </row>
    <row r="63" spans="1:21" s="1967" customFormat="1" ht="15" customHeight="1" outlineLevel="1" thickBot="1" x14ac:dyDescent="0.3">
      <c r="A63" s="1960"/>
      <c r="B63" s="1949" t="s">
        <v>139</v>
      </c>
      <c r="C63" s="1976"/>
      <c r="D63" s="1977"/>
      <c r="E63" s="1977"/>
      <c r="F63" s="1978"/>
      <c r="G63" s="1977"/>
      <c r="H63" s="1979"/>
      <c r="I63" s="1979"/>
      <c r="J63" s="1979"/>
      <c r="K63" s="1979"/>
      <c r="L63" s="1979"/>
      <c r="M63" s="1980">
        <f t="shared" si="1"/>
        <v>0</v>
      </c>
      <c r="N63" s="1979"/>
      <c r="O63" s="1979"/>
      <c r="P63" s="1979"/>
      <c r="Q63" s="1979"/>
      <c r="R63" s="1971"/>
      <c r="S63" s="1882"/>
      <c r="T63" s="1924"/>
      <c r="U63" s="1966"/>
    </row>
    <row r="64" spans="1:21" ht="13.5" thickBot="1" x14ac:dyDescent="0.3">
      <c r="A64" s="3164" t="s">
        <v>1224</v>
      </c>
      <c r="B64" s="3165"/>
      <c r="C64" s="1918"/>
      <c r="D64" s="1919"/>
      <c r="E64" s="1919"/>
      <c r="F64" s="1920"/>
      <c r="G64" s="1919"/>
      <c r="H64" s="1921">
        <v>3139000</v>
      </c>
      <c r="I64" s="1921">
        <v>3139000</v>
      </c>
      <c r="J64" s="1921">
        <v>3139000</v>
      </c>
      <c r="K64" s="1921">
        <v>3139000</v>
      </c>
      <c r="L64" s="1921">
        <f>SUM(L46:L63)</f>
        <v>3139000</v>
      </c>
      <c r="M64" s="1922">
        <f t="shared" si="1"/>
        <v>0</v>
      </c>
      <c r="N64" s="1921"/>
      <c r="O64" s="1921">
        <f>SUM(O46:O55)</f>
        <v>0</v>
      </c>
      <c r="P64" s="1921"/>
      <c r="Q64" s="1921"/>
      <c r="R64" s="1921"/>
      <c r="S64" s="1923">
        <f>'Výdaje kapitol celkem'!AK69</f>
        <v>3139000</v>
      </c>
      <c r="T64" s="1924">
        <f>+S64-L64</f>
        <v>0</v>
      </c>
    </row>
    <row r="65" spans="1:21" s="1967" customFormat="1" ht="15" hidden="1" customHeight="1" outlineLevel="1" x14ac:dyDescent="0.25">
      <c r="A65" s="1960"/>
      <c r="B65" s="1910" t="s">
        <v>138</v>
      </c>
      <c r="C65" s="1974"/>
      <c r="D65" s="1962"/>
      <c r="E65" s="1962"/>
      <c r="F65" s="1963"/>
      <c r="G65" s="1962" t="s">
        <v>637</v>
      </c>
      <c r="H65" s="1964">
        <v>0</v>
      </c>
      <c r="I65" s="1964">
        <v>0</v>
      </c>
      <c r="J65" s="1964">
        <v>0</v>
      </c>
      <c r="K65" s="1964">
        <v>0</v>
      </c>
      <c r="L65" s="1964">
        <f>+[4]DPS!$B$50</f>
        <v>0</v>
      </c>
      <c r="M65" s="1965">
        <f t="shared" si="1"/>
        <v>0</v>
      </c>
      <c r="N65" s="1964"/>
      <c r="O65" s="1964"/>
      <c r="P65" s="1964"/>
      <c r="Q65" s="1964"/>
      <c r="R65" s="1964"/>
      <c r="S65" s="1882"/>
      <c r="T65" s="1924"/>
      <c r="U65" s="1966"/>
    </row>
    <row r="66" spans="1:21" s="1967" customFormat="1" ht="15" hidden="1" customHeight="1" outlineLevel="1" x14ac:dyDescent="0.25">
      <c r="A66" s="1960"/>
      <c r="B66" s="1910" t="s">
        <v>138</v>
      </c>
      <c r="C66" s="1974"/>
      <c r="D66" s="1962"/>
      <c r="E66" s="1962"/>
      <c r="F66" s="1963"/>
      <c r="G66" s="1962" t="s">
        <v>637</v>
      </c>
      <c r="H66" s="1964">
        <v>0</v>
      </c>
      <c r="I66" s="1964">
        <v>0</v>
      </c>
      <c r="J66" s="1964">
        <v>0</v>
      </c>
      <c r="K66" s="1964">
        <v>0</v>
      </c>
      <c r="L66" s="1964">
        <f>+[4]DPS!$B$51</f>
        <v>0</v>
      </c>
      <c r="M66" s="1965">
        <f t="shared" si="1"/>
        <v>0</v>
      </c>
      <c r="N66" s="1964"/>
      <c r="O66" s="1964"/>
      <c r="P66" s="1964"/>
      <c r="Q66" s="1964"/>
      <c r="R66" s="1964"/>
      <c r="S66" s="1882"/>
      <c r="T66" s="1924"/>
      <c r="U66" s="1966"/>
    </row>
    <row r="67" spans="1:21" s="1967" customFormat="1" ht="15" hidden="1" customHeight="1" outlineLevel="1" thickBot="1" x14ac:dyDescent="0.3">
      <c r="A67" s="1927" t="s">
        <v>167</v>
      </c>
      <c r="B67" s="1949" t="s">
        <v>138</v>
      </c>
      <c r="C67" s="1976"/>
      <c r="D67" s="1977"/>
      <c r="E67" s="1977"/>
      <c r="F67" s="1978"/>
      <c r="G67" s="1977" t="s">
        <v>637</v>
      </c>
      <c r="H67" s="1979">
        <v>0</v>
      </c>
      <c r="I67" s="1979">
        <v>0</v>
      </c>
      <c r="J67" s="1979">
        <v>0</v>
      </c>
      <c r="K67" s="1979">
        <v>0</v>
      </c>
      <c r="L67" s="1979">
        <f>+[4]DPS!$B$52</f>
        <v>0</v>
      </c>
      <c r="M67" s="1980">
        <f t="shared" si="1"/>
        <v>0</v>
      </c>
      <c r="N67" s="1979"/>
      <c r="O67" s="1979"/>
      <c r="P67" s="1979"/>
      <c r="Q67" s="1979"/>
      <c r="R67" s="1979"/>
      <c r="S67" s="1882"/>
      <c r="T67" s="1924"/>
      <c r="U67" s="1966"/>
    </row>
    <row r="68" spans="1:21" ht="13.5" collapsed="1" thickBot="1" x14ac:dyDescent="0.3">
      <c r="A68" s="3164" t="s">
        <v>1190</v>
      </c>
      <c r="B68" s="3165" t="s">
        <v>138</v>
      </c>
      <c r="C68" s="1918"/>
      <c r="D68" s="1919"/>
      <c r="E68" s="1919"/>
      <c r="F68" s="1920"/>
      <c r="G68" s="1919" t="s">
        <v>637</v>
      </c>
      <c r="H68" s="1921">
        <v>0</v>
      </c>
      <c r="I68" s="1921">
        <v>0</v>
      </c>
      <c r="J68" s="1921">
        <v>0</v>
      </c>
      <c r="K68" s="1921">
        <v>0</v>
      </c>
      <c r="L68" s="1921">
        <f>SUM(L65:L67)</f>
        <v>0</v>
      </c>
      <c r="M68" s="1922">
        <f t="shared" si="1"/>
        <v>0</v>
      </c>
      <c r="N68" s="1921"/>
      <c r="O68" s="1921">
        <f>SUM(O65:O67)</f>
        <v>0</v>
      </c>
      <c r="P68" s="1921"/>
      <c r="Q68" s="1921"/>
      <c r="R68" s="1921"/>
      <c r="S68" s="1923">
        <f>'Výdaje kapitol celkem'!AH69</f>
        <v>0</v>
      </c>
      <c r="T68" s="1924">
        <f>+S68-L68</f>
        <v>0</v>
      </c>
    </row>
    <row r="69" spans="1:21" s="1967" customFormat="1" ht="13.5" hidden="1" outlineLevel="1" thickBot="1" x14ac:dyDescent="0.3">
      <c r="A69" s="1926"/>
      <c r="B69" s="1961" t="s">
        <v>706</v>
      </c>
      <c r="C69" s="1961"/>
      <c r="D69" s="1962"/>
      <c r="E69" s="1962"/>
      <c r="F69" s="1963"/>
      <c r="G69" s="1962" t="s">
        <v>637</v>
      </c>
      <c r="H69" s="1964"/>
      <c r="I69" s="1964"/>
      <c r="J69" s="1964"/>
      <c r="K69" s="1964"/>
      <c r="L69" s="1964"/>
      <c r="M69" s="1965">
        <f t="shared" si="1"/>
        <v>0</v>
      </c>
      <c r="N69" s="1964"/>
      <c r="O69" s="1964"/>
      <c r="P69" s="1964"/>
      <c r="Q69" s="1964"/>
      <c r="R69" s="1964"/>
      <c r="S69" s="1882"/>
      <c r="T69" s="1924"/>
      <c r="U69" s="1966"/>
    </row>
    <row r="70" spans="1:21" s="1967" customFormat="1" ht="13.5" hidden="1" outlineLevel="1" thickBot="1" x14ac:dyDescent="0.3">
      <c r="A70" s="1927">
        <v>4351</v>
      </c>
      <c r="B70" s="1981" t="s">
        <v>706</v>
      </c>
      <c r="C70" s="1981"/>
      <c r="D70" s="1977"/>
      <c r="E70" s="1977"/>
      <c r="F70" s="1978"/>
      <c r="G70" s="1982" t="s">
        <v>637</v>
      </c>
      <c r="H70" s="1983"/>
      <c r="I70" s="1983"/>
      <c r="J70" s="1983"/>
      <c r="K70" s="1983"/>
      <c r="L70" s="1983"/>
      <c r="M70" s="1984">
        <f t="shared" si="1"/>
        <v>0</v>
      </c>
      <c r="N70" s="1983"/>
      <c r="O70" s="1983"/>
      <c r="P70" s="1983"/>
      <c r="Q70" s="1983"/>
      <c r="R70" s="1983"/>
      <c r="S70" s="1882"/>
      <c r="T70" s="1924"/>
      <c r="U70" s="1966"/>
    </row>
    <row r="71" spans="1:21" ht="14.65" customHeight="1" collapsed="1" thickBot="1" x14ac:dyDescent="0.3">
      <c r="A71" s="3164" t="s">
        <v>1962</v>
      </c>
      <c r="B71" s="3165"/>
      <c r="C71" s="1918"/>
      <c r="D71" s="1919"/>
      <c r="E71" s="1919"/>
      <c r="F71" s="1920"/>
      <c r="G71" s="1919" t="s">
        <v>637</v>
      </c>
      <c r="H71" s="1921">
        <v>0</v>
      </c>
      <c r="I71" s="1921">
        <v>0</v>
      </c>
      <c r="J71" s="1921">
        <v>0</v>
      </c>
      <c r="K71" s="1921">
        <v>0</v>
      </c>
      <c r="L71" s="1921">
        <f>SUM(L69:L70)</f>
        <v>0</v>
      </c>
      <c r="M71" s="1922">
        <f t="shared" si="1"/>
        <v>0</v>
      </c>
      <c r="N71" s="1921"/>
      <c r="O71" s="1921">
        <f t="shared" ref="O71" si="5">SUM(O69:O70)</f>
        <v>0</v>
      </c>
      <c r="P71" s="1921"/>
      <c r="Q71" s="1921"/>
      <c r="R71" s="1921"/>
      <c r="S71" s="1923">
        <f>'Výdaje kapitol celkem'!V69</f>
        <v>0</v>
      </c>
      <c r="T71" s="1924">
        <f>+S71-L71</f>
        <v>0</v>
      </c>
    </row>
    <row r="72" spans="1:21" s="1967" customFormat="1" ht="15" hidden="1" customHeight="1" outlineLevel="1" x14ac:dyDescent="0.25">
      <c r="A72" s="1960"/>
      <c r="B72" s="1910" t="s">
        <v>140</v>
      </c>
      <c r="C72" s="1974" t="s">
        <v>1710</v>
      </c>
      <c r="D72" s="1962"/>
      <c r="E72" s="1962"/>
      <c r="F72" s="1963"/>
      <c r="G72" s="1962" t="s">
        <v>637</v>
      </c>
      <c r="H72" s="1964">
        <v>0</v>
      </c>
      <c r="I72" s="1964">
        <v>0</v>
      </c>
      <c r="J72" s="1964">
        <v>0</v>
      </c>
      <c r="K72" s="1964">
        <v>0</v>
      </c>
      <c r="L72" s="1964">
        <f>+[4]Hasiči!$B$41</f>
        <v>0</v>
      </c>
      <c r="M72" s="1965">
        <f t="shared" si="1"/>
        <v>0</v>
      </c>
      <c r="N72" s="1964"/>
      <c r="O72" s="1964">
        <v>0</v>
      </c>
      <c r="P72" s="1964"/>
      <c r="Q72" s="1964"/>
      <c r="R72" s="1964"/>
      <c r="S72" s="1882"/>
      <c r="T72" s="1924"/>
      <c r="U72" s="1966"/>
    </row>
    <row r="73" spans="1:21" s="1967" customFormat="1" ht="15" hidden="1" customHeight="1" outlineLevel="1" x14ac:dyDescent="0.25">
      <c r="A73" s="1960"/>
      <c r="B73" s="1985" t="s">
        <v>140</v>
      </c>
      <c r="C73" s="1985" t="s">
        <v>1697</v>
      </c>
      <c r="D73" s="1986"/>
      <c r="E73" s="1986"/>
      <c r="F73" s="1987"/>
      <c r="G73" s="1986" t="s">
        <v>1963</v>
      </c>
      <c r="H73" s="1988">
        <v>0</v>
      </c>
      <c r="I73" s="1988">
        <v>0</v>
      </c>
      <c r="J73" s="1988">
        <v>0</v>
      </c>
      <c r="K73" s="1988">
        <v>0</v>
      </c>
      <c r="L73" s="1988">
        <f>+[4]Hasiči!$B$42</f>
        <v>0</v>
      </c>
      <c r="M73" s="1989">
        <f t="shared" si="1"/>
        <v>0</v>
      </c>
      <c r="N73" s="1988"/>
      <c r="O73" s="1988">
        <v>0</v>
      </c>
      <c r="P73" s="1988"/>
      <c r="Q73" s="1988"/>
      <c r="R73" s="1988"/>
      <c r="S73" s="1882"/>
      <c r="T73" s="1924"/>
      <c r="U73" s="1966"/>
    </row>
    <row r="74" spans="1:21" s="1967" customFormat="1" ht="13.5" hidden="1" outlineLevel="1" thickBot="1" x14ac:dyDescent="0.3">
      <c r="A74" s="1926"/>
      <c r="B74" s="1968" t="s">
        <v>140</v>
      </c>
      <c r="C74" s="1968"/>
      <c r="D74" s="1969"/>
      <c r="E74" s="1969"/>
      <c r="F74" s="1970"/>
      <c r="G74" s="1969" t="s">
        <v>637</v>
      </c>
      <c r="H74" s="1971">
        <v>0</v>
      </c>
      <c r="I74" s="1971">
        <v>0</v>
      </c>
      <c r="J74" s="1971">
        <v>0</v>
      </c>
      <c r="K74" s="1971">
        <v>0</v>
      </c>
      <c r="L74" s="1971">
        <f>+[4]Hasiči!$B$43</f>
        <v>0</v>
      </c>
      <c r="M74" s="1972">
        <f t="shared" si="1"/>
        <v>0</v>
      </c>
      <c r="N74" s="1971"/>
      <c r="O74" s="1971"/>
      <c r="P74" s="1971"/>
      <c r="Q74" s="1971"/>
      <c r="R74" s="1971"/>
      <c r="S74" s="1882"/>
      <c r="T74" s="1924"/>
      <c r="U74" s="1966"/>
    </row>
    <row r="75" spans="1:21" s="1967" customFormat="1" ht="13.5" hidden="1" outlineLevel="1" thickBot="1" x14ac:dyDescent="0.3">
      <c r="A75" s="1927">
        <v>5512</v>
      </c>
      <c r="B75" s="1968" t="s">
        <v>140</v>
      </c>
      <c r="C75" s="1968"/>
      <c r="D75" s="1969"/>
      <c r="E75" s="1969"/>
      <c r="F75" s="1970"/>
      <c r="G75" s="1969" t="s">
        <v>637</v>
      </c>
      <c r="H75" s="1971">
        <v>0</v>
      </c>
      <c r="I75" s="1971">
        <v>0</v>
      </c>
      <c r="J75" s="1971">
        <v>0</v>
      </c>
      <c r="K75" s="1971">
        <v>0</v>
      </c>
      <c r="L75" s="1971">
        <f>+[4]Hasiči!$B$44</f>
        <v>0</v>
      </c>
      <c r="M75" s="1972">
        <f t="shared" si="1"/>
        <v>0</v>
      </c>
      <c r="N75" s="1971"/>
      <c r="O75" s="1971"/>
      <c r="P75" s="1971"/>
      <c r="Q75" s="1971"/>
      <c r="R75" s="1971"/>
      <c r="S75" s="1882"/>
      <c r="T75" s="1924"/>
      <c r="U75" s="1966"/>
    </row>
    <row r="76" spans="1:21" ht="13.5" collapsed="1" thickBot="1" x14ac:dyDescent="0.3">
      <c r="A76" s="3164" t="s">
        <v>644</v>
      </c>
      <c r="B76" s="3165"/>
      <c r="C76" s="1918"/>
      <c r="D76" s="1919"/>
      <c r="E76" s="1919"/>
      <c r="F76" s="1920"/>
      <c r="G76" s="1919" t="s">
        <v>637</v>
      </c>
      <c r="H76" s="1921">
        <v>0</v>
      </c>
      <c r="I76" s="1921">
        <v>0</v>
      </c>
      <c r="J76" s="1921">
        <v>0</v>
      </c>
      <c r="K76" s="1921">
        <v>0</v>
      </c>
      <c r="L76" s="1921">
        <f>SUM(L72:L75)</f>
        <v>0</v>
      </c>
      <c r="M76" s="1922">
        <f t="shared" si="1"/>
        <v>0</v>
      </c>
      <c r="N76" s="1921"/>
      <c r="O76" s="1921">
        <f>SUM(O72:O75)</f>
        <v>0</v>
      </c>
      <c r="P76" s="1921"/>
      <c r="Q76" s="1921"/>
      <c r="R76" s="1921"/>
      <c r="S76" s="1923">
        <f>'Výdaje kapitol celkem'!AN69</f>
        <v>0</v>
      </c>
      <c r="T76" s="1924">
        <f>+S76-L76</f>
        <v>0</v>
      </c>
    </row>
    <row r="77" spans="1:21" s="1967" customFormat="1" ht="25.5" hidden="1" outlineLevel="1" thickBot="1" x14ac:dyDescent="0.3">
      <c r="A77" s="1926"/>
      <c r="B77" s="1961" t="s">
        <v>143</v>
      </c>
      <c r="C77" s="1961" t="s">
        <v>1702</v>
      </c>
      <c r="D77" s="1962"/>
      <c r="E77" s="1962"/>
      <c r="F77" s="1963"/>
      <c r="G77" s="1962" t="s">
        <v>637</v>
      </c>
      <c r="H77" s="1964">
        <v>0</v>
      </c>
      <c r="I77" s="1964">
        <v>0</v>
      </c>
      <c r="J77" s="1964">
        <v>0</v>
      </c>
      <c r="K77" s="1964">
        <v>0</v>
      </c>
      <c r="L77" s="1964">
        <f>+[4]Hřbitov!$B$33</f>
        <v>0</v>
      </c>
      <c r="M77" s="1965">
        <f t="shared" si="1"/>
        <v>0</v>
      </c>
      <c r="N77" s="1964"/>
      <c r="O77" s="1964"/>
      <c r="P77" s="1964"/>
      <c r="Q77" s="1964"/>
      <c r="R77" s="1964"/>
      <c r="S77" s="1882"/>
      <c r="T77" s="1924"/>
      <c r="U77" s="1966"/>
    </row>
    <row r="78" spans="1:21" s="1967" customFormat="1" ht="13.5" hidden="1" outlineLevel="1" thickBot="1" x14ac:dyDescent="0.3">
      <c r="A78" s="1926"/>
      <c r="B78" s="1968" t="s">
        <v>143</v>
      </c>
      <c r="C78" s="1968" t="s">
        <v>1703</v>
      </c>
      <c r="D78" s="1969"/>
      <c r="E78" s="1969"/>
      <c r="F78" s="1970"/>
      <c r="G78" s="1969" t="s">
        <v>637</v>
      </c>
      <c r="H78" s="1971">
        <v>0</v>
      </c>
      <c r="I78" s="1971">
        <v>0</v>
      </c>
      <c r="J78" s="1971">
        <v>0</v>
      </c>
      <c r="K78" s="1971">
        <v>0</v>
      </c>
      <c r="L78" s="1971">
        <f>+[4]Hřbitov!$B$34</f>
        <v>0</v>
      </c>
      <c r="M78" s="1972">
        <f t="shared" si="1"/>
        <v>0</v>
      </c>
      <c r="N78" s="1971"/>
      <c r="O78" s="1971"/>
      <c r="P78" s="1971"/>
      <c r="Q78" s="1971"/>
      <c r="R78" s="1971"/>
      <c r="S78" s="1882"/>
      <c r="T78" s="1924"/>
      <c r="U78" s="1966"/>
    </row>
    <row r="79" spans="1:21" s="1967" customFormat="1" ht="13.5" hidden="1" outlineLevel="1" thickBot="1" x14ac:dyDescent="0.3">
      <c r="A79" s="1927">
        <v>3633</v>
      </c>
      <c r="B79" s="1981" t="s">
        <v>143</v>
      </c>
      <c r="C79" s="1981"/>
      <c r="D79" s="1977"/>
      <c r="E79" s="1977"/>
      <c r="F79" s="1978"/>
      <c r="G79" s="1977" t="s">
        <v>637</v>
      </c>
      <c r="H79" s="1979"/>
      <c r="I79" s="1979"/>
      <c r="J79" s="1979"/>
      <c r="K79" s="1979"/>
      <c r="L79" s="1979"/>
      <c r="M79" s="1980">
        <f t="shared" si="1"/>
        <v>0</v>
      </c>
      <c r="N79" s="1979"/>
      <c r="O79" s="1979"/>
      <c r="P79" s="1979"/>
      <c r="Q79" s="1979"/>
      <c r="R79" s="1979"/>
      <c r="S79" s="1882"/>
      <c r="T79" s="1924"/>
      <c r="U79" s="1966"/>
    </row>
    <row r="80" spans="1:21" ht="13.5" collapsed="1" thickBot="1" x14ac:dyDescent="0.3">
      <c r="A80" s="3164" t="s">
        <v>252</v>
      </c>
      <c r="B80" s="3165"/>
      <c r="C80" s="1918"/>
      <c r="D80" s="1919"/>
      <c r="E80" s="1919"/>
      <c r="F80" s="1920"/>
      <c r="G80" s="1919"/>
      <c r="H80" s="1921">
        <v>0</v>
      </c>
      <c r="I80" s="1921">
        <v>0</v>
      </c>
      <c r="J80" s="1921">
        <v>0</v>
      </c>
      <c r="K80" s="1921">
        <v>0</v>
      </c>
      <c r="L80" s="1921">
        <f>SUM(L77:L79)</f>
        <v>0</v>
      </c>
      <c r="M80" s="1922">
        <f t="shared" si="1"/>
        <v>0</v>
      </c>
      <c r="N80" s="1921"/>
      <c r="O80" s="1921">
        <f>SUM(O77:O79)</f>
        <v>0</v>
      </c>
      <c r="P80" s="1921"/>
      <c r="Q80" s="1921"/>
      <c r="R80" s="1921"/>
      <c r="S80" s="1923">
        <f>'Výdaje kapitol celkem'!AQ69</f>
        <v>0</v>
      </c>
      <c r="T80" s="1924">
        <f>+S80-L80</f>
        <v>0</v>
      </c>
    </row>
    <row r="81" spans="1:21" s="1967" customFormat="1" ht="16.5" hidden="1" customHeight="1" outlineLevel="1" x14ac:dyDescent="0.25">
      <c r="A81" s="1926"/>
      <c r="B81" s="1961" t="s">
        <v>498</v>
      </c>
      <c r="C81" s="1961" t="s">
        <v>2309</v>
      </c>
      <c r="D81" s="1962"/>
      <c r="E81" s="1962"/>
      <c r="F81" s="1963"/>
      <c r="G81" s="1962" t="s">
        <v>637</v>
      </c>
      <c r="H81" s="1964">
        <v>0</v>
      </c>
      <c r="I81" s="1964">
        <v>0</v>
      </c>
      <c r="J81" s="1964">
        <v>0</v>
      </c>
      <c r="K81" s="1964">
        <v>0</v>
      </c>
      <c r="L81" s="1964">
        <f>+'[2]Všebecná pokladna'!$B$72</f>
        <v>0</v>
      </c>
      <c r="M81" s="1965">
        <f t="shared" si="1"/>
        <v>0</v>
      </c>
      <c r="N81" s="1964"/>
      <c r="O81" s="1964"/>
      <c r="P81" s="1964"/>
      <c r="Q81" s="1964"/>
      <c r="R81" s="1964"/>
      <c r="S81" s="1882"/>
      <c r="T81" s="1924"/>
      <c r="U81" s="1966"/>
    </row>
    <row r="82" spans="1:21" s="1967" customFormat="1" ht="16.5" hidden="1" customHeight="1" outlineLevel="1" x14ac:dyDescent="0.25">
      <c r="A82" s="1926"/>
      <c r="B82" s="1961" t="s">
        <v>498</v>
      </c>
      <c r="C82" s="1968" t="s">
        <v>2310</v>
      </c>
      <c r="D82" s="1969"/>
      <c r="E82" s="1969"/>
      <c r="F82" s="1970"/>
      <c r="G82" s="1969" t="s">
        <v>637</v>
      </c>
      <c r="H82" s="1971">
        <v>0</v>
      </c>
      <c r="I82" s="1971">
        <v>0</v>
      </c>
      <c r="J82" s="1971">
        <v>0</v>
      </c>
      <c r="K82" s="1971">
        <v>0</v>
      </c>
      <c r="L82" s="1971">
        <f>+'[2]Všebecná pokladna'!$B$79</f>
        <v>0</v>
      </c>
      <c r="M82" s="1972">
        <f t="shared" si="1"/>
        <v>0</v>
      </c>
      <c r="N82" s="1971"/>
      <c r="O82" s="1971"/>
      <c r="P82" s="1971"/>
      <c r="Q82" s="1971"/>
      <c r="R82" s="1971"/>
      <c r="S82" s="1882"/>
      <c r="T82" s="1924"/>
      <c r="U82" s="1966"/>
    </row>
    <row r="83" spans="1:21" s="1967" customFormat="1" ht="16.5" hidden="1" customHeight="1" outlineLevel="1" x14ac:dyDescent="0.25">
      <c r="A83" s="1926"/>
      <c r="B83" s="1961" t="s">
        <v>498</v>
      </c>
      <c r="C83" s="1968" t="s">
        <v>2311</v>
      </c>
      <c r="D83" s="1969"/>
      <c r="E83" s="1969"/>
      <c r="F83" s="1970"/>
      <c r="G83" s="1969" t="s">
        <v>637</v>
      </c>
      <c r="H83" s="1964">
        <v>0</v>
      </c>
      <c r="I83" s="1964">
        <v>0</v>
      </c>
      <c r="J83" s="1964">
        <v>0</v>
      </c>
      <c r="K83" s="1964">
        <v>0</v>
      </c>
      <c r="L83" s="1964">
        <f>+'[2]Všebecná pokladna'!$B$80</f>
        <v>0</v>
      </c>
      <c r="M83" s="1965">
        <f t="shared" si="1"/>
        <v>0</v>
      </c>
      <c r="N83" s="1964"/>
      <c r="O83" s="1964"/>
      <c r="P83" s="1964"/>
      <c r="Q83" s="1964"/>
      <c r="R83" s="1964"/>
      <c r="S83" s="1882"/>
      <c r="T83" s="1924"/>
      <c r="U83" s="1966"/>
    </row>
    <row r="84" spans="1:21" s="1967" customFormat="1" ht="16.5" customHeight="1" outlineLevel="1" x14ac:dyDescent="0.25">
      <c r="A84" s="1926"/>
      <c r="B84" s="1961" t="s">
        <v>498</v>
      </c>
      <c r="C84" s="1968" t="s">
        <v>2312</v>
      </c>
      <c r="D84" s="1969"/>
      <c r="E84" s="1969"/>
      <c r="F84" s="1970"/>
      <c r="G84" s="1969" t="s">
        <v>637</v>
      </c>
      <c r="H84" s="1964">
        <v>0</v>
      </c>
      <c r="I84" s="1964">
        <v>40977883</v>
      </c>
      <c r="J84" s="1964">
        <v>40977883</v>
      </c>
      <c r="K84" s="1964">
        <v>33417507</v>
      </c>
      <c r="L84" s="1964">
        <f>+'[2]Všebecná pokladna'!$B$86</f>
        <v>33417507</v>
      </c>
      <c r="M84" s="1965">
        <f t="shared" ref="M84:M149" si="6">+L84-K84</f>
        <v>0</v>
      </c>
      <c r="N84" s="1964"/>
      <c r="O84" s="1964"/>
      <c r="P84" s="1964"/>
      <c r="Q84" s="1964"/>
      <c r="R84" s="1964"/>
      <c r="S84" s="1882"/>
      <c r="T84" s="1924"/>
      <c r="U84" s="1966"/>
    </row>
    <row r="85" spans="1:21" s="1967" customFormat="1" ht="16.5" hidden="1" customHeight="1" outlineLevel="1" x14ac:dyDescent="0.25">
      <c r="A85" s="1926"/>
      <c r="B85" s="1961" t="s">
        <v>498</v>
      </c>
      <c r="C85" s="1968" t="s">
        <v>1147</v>
      </c>
      <c r="D85" s="1969"/>
      <c r="E85" s="1969"/>
      <c r="F85" s="1970"/>
      <c r="G85" s="1969" t="s">
        <v>637</v>
      </c>
      <c r="H85" s="1964">
        <v>0</v>
      </c>
      <c r="I85" s="1964">
        <v>0</v>
      </c>
      <c r="J85" s="1964">
        <v>0</v>
      </c>
      <c r="K85" s="1964">
        <v>0</v>
      </c>
      <c r="L85" s="1964">
        <f>+'[2]Všebecná pokladna'!$B$87</f>
        <v>0</v>
      </c>
      <c r="M85" s="1965">
        <f t="shared" si="6"/>
        <v>0</v>
      </c>
      <c r="N85" s="1964"/>
      <c r="O85" s="1964"/>
      <c r="P85" s="1964"/>
      <c r="Q85" s="1964"/>
      <c r="R85" s="1964"/>
      <c r="S85" s="1882"/>
      <c r="T85" s="1924"/>
      <c r="U85" s="1966"/>
    </row>
    <row r="86" spans="1:21" s="1967" customFormat="1" ht="16.5" customHeight="1" outlineLevel="1" x14ac:dyDescent="0.25">
      <c r="A86" s="1926"/>
      <c r="B86" s="1961" t="s">
        <v>498</v>
      </c>
      <c r="C86" s="1968" t="s">
        <v>2313</v>
      </c>
      <c r="D86" s="1969"/>
      <c r="E86" s="1969"/>
      <c r="F86" s="1970"/>
      <c r="G86" s="1969" t="s">
        <v>637</v>
      </c>
      <c r="H86" s="1964">
        <v>65514962</v>
      </c>
      <c r="I86" s="1964">
        <v>0</v>
      </c>
      <c r="J86" s="1964">
        <v>0</v>
      </c>
      <c r="K86" s="1964">
        <v>0</v>
      </c>
      <c r="L86" s="1964">
        <f>+'[2]Všebecná pokladna'!$B$101</f>
        <v>0</v>
      </c>
      <c r="M86" s="1965">
        <f t="shared" si="6"/>
        <v>0</v>
      </c>
      <c r="N86" s="1964"/>
      <c r="O86" s="1964"/>
      <c r="P86" s="1964"/>
      <c r="Q86" s="1964"/>
      <c r="R86" s="1964"/>
      <c r="S86" s="1882"/>
      <c r="T86" s="1924"/>
      <c r="U86" s="1966"/>
    </row>
    <row r="87" spans="1:21" s="1967" customFormat="1" ht="16.5" hidden="1" customHeight="1" outlineLevel="1" x14ac:dyDescent="0.25">
      <c r="A87" s="1926"/>
      <c r="B87" s="1961" t="s">
        <v>498</v>
      </c>
      <c r="C87" s="1968" t="s">
        <v>2306</v>
      </c>
      <c r="D87" s="1969"/>
      <c r="E87" s="1969"/>
      <c r="F87" s="1970"/>
      <c r="G87" s="1969" t="s">
        <v>637</v>
      </c>
      <c r="H87" s="1964">
        <v>0</v>
      </c>
      <c r="I87" s="1964">
        <v>0</v>
      </c>
      <c r="J87" s="1964">
        <v>0</v>
      </c>
      <c r="K87" s="1964">
        <v>0</v>
      </c>
      <c r="L87" s="1964">
        <f>+'[6]Všeobecná pokladna 6409'!$B$31</f>
        <v>0</v>
      </c>
      <c r="M87" s="1965">
        <f t="shared" si="6"/>
        <v>0</v>
      </c>
      <c r="N87" s="1964"/>
      <c r="O87" s="1964"/>
      <c r="P87" s="1964"/>
      <c r="Q87" s="1964"/>
      <c r="R87" s="1964"/>
      <c r="S87" s="1882"/>
      <c r="T87" s="1924"/>
      <c r="U87" s="1966"/>
    </row>
    <row r="88" spans="1:21" s="1967" customFormat="1" ht="16.5" hidden="1" customHeight="1" outlineLevel="1" x14ac:dyDescent="0.25">
      <c r="A88" s="1926"/>
      <c r="B88" s="1968" t="s">
        <v>498</v>
      </c>
      <c r="C88" s="1968" t="s">
        <v>1964</v>
      </c>
      <c r="D88" s="1969"/>
      <c r="E88" s="1969"/>
      <c r="F88" s="1970"/>
      <c r="G88" s="1969" t="s">
        <v>637</v>
      </c>
      <c r="H88" s="1971">
        <v>0</v>
      </c>
      <c r="I88" s="1971">
        <v>0</v>
      </c>
      <c r="J88" s="1971">
        <v>0</v>
      </c>
      <c r="K88" s="1971">
        <v>0</v>
      </c>
      <c r="L88" s="1971">
        <f>+'[6]Všeobecná pokladna 6409'!$B$32</f>
        <v>0</v>
      </c>
      <c r="M88" s="1972">
        <f t="shared" si="6"/>
        <v>0</v>
      </c>
      <c r="N88" s="1971"/>
      <c r="O88" s="1971"/>
      <c r="P88" s="1971"/>
      <c r="Q88" s="1971"/>
      <c r="R88" s="1971"/>
      <c r="S88" s="1882"/>
      <c r="T88" s="1924"/>
      <c r="U88" s="1966"/>
    </row>
    <row r="89" spans="1:21" s="1967" customFormat="1" ht="16.5" customHeight="1" outlineLevel="1" x14ac:dyDescent="0.25">
      <c r="A89" s="1926"/>
      <c r="B89" s="1961" t="s">
        <v>498</v>
      </c>
      <c r="C89" s="1968" t="s">
        <v>2559</v>
      </c>
      <c r="D89" s="1969"/>
      <c r="E89" s="1969"/>
      <c r="F89" s="1970"/>
      <c r="G89" s="1969" t="s">
        <v>637</v>
      </c>
      <c r="H89" s="1971">
        <v>500000</v>
      </c>
      <c r="I89" s="1971">
        <v>500000</v>
      </c>
      <c r="J89" s="1971">
        <v>2500000</v>
      </c>
      <c r="K89" s="1971">
        <v>2500000</v>
      </c>
      <c r="L89" s="1971">
        <f>+'[4]Všeob. pokladna'!$B$47+'[6]Všeobecná pokladna 6409'!$B$33</f>
        <v>2500000</v>
      </c>
      <c r="M89" s="1972">
        <f t="shared" si="6"/>
        <v>0</v>
      </c>
      <c r="N89" s="1971"/>
      <c r="O89" s="1971"/>
      <c r="P89" s="1971"/>
      <c r="Q89" s="1971"/>
      <c r="R89" s="1971"/>
      <c r="S89" s="1882"/>
      <c r="T89" s="1924"/>
      <c r="U89" s="1966"/>
    </row>
    <row r="90" spans="1:21" s="1967" customFormat="1" ht="16.5" customHeight="1" outlineLevel="1" x14ac:dyDescent="0.25">
      <c r="A90" s="1926"/>
      <c r="B90" s="1961" t="s">
        <v>498</v>
      </c>
      <c r="C90" s="1968" t="s">
        <v>2371</v>
      </c>
      <c r="D90" s="1969"/>
      <c r="E90" s="1969"/>
      <c r="F90" s="1970"/>
      <c r="G90" s="1969" t="s">
        <v>637</v>
      </c>
      <c r="H90" s="1971">
        <v>995000</v>
      </c>
      <c r="I90" s="1971">
        <v>995000</v>
      </c>
      <c r="J90" s="1971">
        <v>995000</v>
      </c>
      <c r="K90" s="1971">
        <v>995000</v>
      </c>
      <c r="L90" s="1971">
        <f>+'[4]Všeob. pokladna'!$B$48</f>
        <v>995000</v>
      </c>
      <c r="M90" s="1972">
        <f t="shared" si="6"/>
        <v>0</v>
      </c>
      <c r="N90" s="1971"/>
      <c r="O90" s="1971"/>
      <c r="P90" s="1971"/>
      <c r="Q90" s="1971"/>
      <c r="R90" s="1971"/>
      <c r="S90" s="1882"/>
      <c r="T90" s="1924"/>
      <c r="U90" s="1966"/>
    </row>
    <row r="91" spans="1:21" s="1967" customFormat="1" ht="16.5" customHeight="1" outlineLevel="1" x14ac:dyDescent="0.25">
      <c r="A91" s="1926"/>
      <c r="B91" s="1961" t="s">
        <v>498</v>
      </c>
      <c r="C91" s="1968" t="s">
        <v>2923</v>
      </c>
      <c r="D91" s="1969"/>
      <c r="E91" s="1969"/>
      <c r="F91" s="1970"/>
      <c r="G91" s="1969"/>
      <c r="H91" s="1971"/>
      <c r="I91" s="1971"/>
      <c r="J91" s="1971"/>
      <c r="K91" s="1971"/>
      <c r="L91" s="1971">
        <f>+'[4]Všeob. pokladna'!$B$49</f>
        <v>21670</v>
      </c>
      <c r="M91" s="1972">
        <f t="shared" si="6"/>
        <v>21670</v>
      </c>
      <c r="N91" s="1971"/>
      <c r="O91" s="1971"/>
      <c r="P91" s="1971"/>
      <c r="Q91" s="1971"/>
      <c r="R91" s="1971"/>
      <c r="S91" s="1882"/>
      <c r="T91" s="1924"/>
      <c r="U91" s="1966"/>
    </row>
    <row r="92" spans="1:21" s="1967" customFormat="1" ht="16.5" customHeight="1" outlineLevel="1" x14ac:dyDescent="0.25">
      <c r="A92" s="1926"/>
      <c r="B92" s="1961" t="s">
        <v>498</v>
      </c>
      <c r="C92" s="1968" t="s">
        <v>2924</v>
      </c>
      <c r="D92" s="1969"/>
      <c r="E92" s="1969"/>
      <c r="F92" s="1970"/>
      <c r="G92" s="1969"/>
      <c r="H92" s="1971"/>
      <c r="I92" s="1971"/>
      <c r="J92" s="1971"/>
      <c r="K92" s="1971"/>
      <c r="L92" s="1971">
        <f>+'[4]Všeob. pokladna'!$B$50</f>
        <v>662456</v>
      </c>
      <c r="M92" s="1972">
        <f t="shared" si="6"/>
        <v>662456</v>
      </c>
      <c r="N92" s="1971"/>
      <c r="O92" s="1971"/>
      <c r="P92" s="1971"/>
      <c r="Q92" s="1971"/>
      <c r="R92" s="1971"/>
      <c r="S92" s="1882"/>
      <c r="T92" s="1924"/>
      <c r="U92" s="1966"/>
    </row>
    <row r="93" spans="1:21" s="1967" customFormat="1" ht="16.5" customHeight="1" outlineLevel="1" thickBot="1" x14ac:dyDescent="0.3">
      <c r="A93" s="1927">
        <v>6409</v>
      </c>
      <c r="B93" s="1981" t="s">
        <v>498</v>
      </c>
      <c r="C93" s="1981" t="s">
        <v>2364</v>
      </c>
      <c r="D93" s="1977"/>
      <c r="E93" s="1977"/>
      <c r="F93" s="1978"/>
      <c r="G93" s="1977" t="s">
        <v>637</v>
      </c>
      <c r="H93" s="1979">
        <v>1509267</v>
      </c>
      <c r="I93" s="1979">
        <v>0</v>
      </c>
      <c r="J93" s="1979">
        <v>0</v>
      </c>
      <c r="K93" s="1979">
        <v>7560000</v>
      </c>
      <c r="L93" s="1979">
        <f>+'[2]Všebecná pokladna'!$B$93</f>
        <v>7560000</v>
      </c>
      <c r="M93" s="1980">
        <f t="shared" si="6"/>
        <v>0</v>
      </c>
      <c r="N93" s="1979"/>
      <c r="O93" s="1979"/>
      <c r="P93" s="1979"/>
      <c r="Q93" s="1979"/>
      <c r="R93" s="1979"/>
      <c r="S93" s="1882"/>
      <c r="T93" s="1924"/>
      <c r="U93" s="1966"/>
    </row>
    <row r="94" spans="1:21" ht="13.5" thickBot="1" x14ac:dyDescent="0.3">
      <c r="A94" s="3164" t="s">
        <v>645</v>
      </c>
      <c r="B94" s="3165"/>
      <c r="C94" s="1918"/>
      <c r="D94" s="1919"/>
      <c r="E94" s="1919"/>
      <c r="F94" s="1920"/>
      <c r="G94" s="1919"/>
      <c r="H94" s="1921">
        <v>68519229</v>
      </c>
      <c r="I94" s="1921">
        <v>42472883</v>
      </c>
      <c r="J94" s="1921">
        <v>44472883</v>
      </c>
      <c r="K94" s="1921">
        <v>44472507</v>
      </c>
      <c r="L94" s="1921">
        <f>SUM(L81:L93)</f>
        <v>45156633</v>
      </c>
      <c r="M94" s="1922">
        <f t="shared" si="6"/>
        <v>684126</v>
      </c>
      <c r="N94" s="1921"/>
      <c r="O94" s="1921">
        <f>SUM(O81:O93)</f>
        <v>0</v>
      </c>
      <c r="P94" s="1921"/>
      <c r="Q94" s="1921"/>
      <c r="R94" s="1921"/>
      <c r="S94" s="1923">
        <f>'Výdaje kapitol celkem'!L57+'Výdaje kapitol celkem'!L58+'Výdaje kapitol celkem'!L59+'Výdaje kapitol celkem'!L60+'Výdaje kapitol celkem'!L61+'Výdaje kapitol celkem'!L62+'Výdaje kapitol celkem'!L63+'Výdaje kapitol celkem'!L64+'Výdaje kapitol celkem'!L65+'Výdaje kapitol celkem'!L66</f>
        <v>45156633</v>
      </c>
      <c r="T94" s="1924">
        <f>+S94-L94</f>
        <v>0</v>
      </c>
    </row>
    <row r="95" spans="1:21" s="1967" customFormat="1" ht="12" hidden="1" customHeight="1" outlineLevel="1" x14ac:dyDescent="0.25">
      <c r="A95" s="1926"/>
      <c r="B95" s="1961" t="s">
        <v>1192</v>
      </c>
      <c r="C95" s="1961"/>
      <c r="D95" s="1962"/>
      <c r="E95" s="1962"/>
      <c r="F95" s="1963"/>
      <c r="G95" s="1962" t="s">
        <v>637</v>
      </c>
      <c r="H95" s="1964"/>
      <c r="I95" s="1964"/>
      <c r="J95" s="1964"/>
      <c r="K95" s="1964"/>
      <c r="L95" s="1964"/>
      <c r="M95" s="1965">
        <f t="shared" si="6"/>
        <v>0</v>
      </c>
      <c r="N95" s="1964"/>
      <c r="O95" s="1964"/>
      <c r="P95" s="1964"/>
      <c r="Q95" s="1964"/>
      <c r="R95" s="1964"/>
      <c r="S95" s="1882"/>
      <c r="T95" s="1924"/>
      <c r="U95" s="1966"/>
    </row>
    <row r="96" spans="1:21" s="1967" customFormat="1" ht="12" hidden="1" customHeight="1" outlineLevel="1" x14ac:dyDescent="0.25">
      <c r="A96" s="1926"/>
      <c r="B96" s="1961" t="s">
        <v>1192</v>
      </c>
      <c r="C96" s="1961"/>
      <c r="D96" s="1962"/>
      <c r="E96" s="1962"/>
      <c r="F96" s="1963"/>
      <c r="G96" s="1962" t="s">
        <v>637</v>
      </c>
      <c r="H96" s="1964"/>
      <c r="I96" s="1964"/>
      <c r="J96" s="1964"/>
      <c r="K96" s="1964"/>
      <c r="L96" s="1964"/>
      <c r="M96" s="1965">
        <f t="shared" si="6"/>
        <v>0</v>
      </c>
      <c r="N96" s="1964"/>
      <c r="O96" s="1964"/>
      <c r="P96" s="1964"/>
      <c r="Q96" s="1964"/>
      <c r="R96" s="1964"/>
      <c r="S96" s="1882"/>
      <c r="T96" s="1924"/>
      <c r="U96" s="1966"/>
    </row>
    <row r="97" spans="1:21" s="1967" customFormat="1" ht="12" hidden="1" customHeight="1" outlineLevel="1" thickBot="1" x14ac:dyDescent="0.3">
      <c r="A97" s="1927" t="s">
        <v>180</v>
      </c>
      <c r="B97" s="1961" t="s">
        <v>1192</v>
      </c>
      <c r="C97" s="1961"/>
      <c r="D97" s="1962"/>
      <c r="E97" s="1962"/>
      <c r="F97" s="1963"/>
      <c r="G97" s="1962" t="s">
        <v>637</v>
      </c>
      <c r="H97" s="1964"/>
      <c r="I97" s="1964"/>
      <c r="J97" s="1964"/>
      <c r="K97" s="1964"/>
      <c r="L97" s="1964"/>
      <c r="M97" s="1965">
        <f t="shared" si="6"/>
        <v>0</v>
      </c>
      <c r="N97" s="1964"/>
      <c r="O97" s="1964"/>
      <c r="P97" s="1964"/>
      <c r="Q97" s="1964"/>
      <c r="R97" s="1964"/>
      <c r="S97" s="1882"/>
      <c r="T97" s="1924"/>
      <c r="U97" s="1966"/>
    </row>
    <row r="98" spans="1:21" ht="13.5" collapsed="1" thickBot="1" x14ac:dyDescent="0.3">
      <c r="A98" s="3164" t="s">
        <v>1191</v>
      </c>
      <c r="B98" s="3165"/>
      <c r="C98" s="1918"/>
      <c r="D98" s="1919"/>
      <c r="E98" s="1919"/>
      <c r="F98" s="1920"/>
      <c r="G98" s="1919" t="s">
        <v>637</v>
      </c>
      <c r="H98" s="1921">
        <v>0</v>
      </c>
      <c r="I98" s="1921">
        <v>0</v>
      </c>
      <c r="J98" s="1921">
        <v>0</v>
      </c>
      <c r="K98" s="1921">
        <v>0</v>
      </c>
      <c r="L98" s="1921">
        <f>SUM(L95:L97)</f>
        <v>0</v>
      </c>
      <c r="M98" s="1922">
        <f t="shared" si="6"/>
        <v>0</v>
      </c>
      <c r="N98" s="1921"/>
      <c r="O98" s="1921">
        <f t="shared" ref="O98" si="7">SUM(O95:O97)</f>
        <v>0</v>
      </c>
      <c r="P98" s="1921"/>
      <c r="Q98" s="1921"/>
      <c r="R98" s="1921"/>
      <c r="S98" s="1923">
        <f>'Výdaje kapitol celkem'!DC69</f>
        <v>0</v>
      </c>
      <c r="T98" s="1924">
        <f>+S98-L98</f>
        <v>0</v>
      </c>
    </row>
    <row r="99" spans="1:21" s="1967" customFormat="1" ht="12" hidden="1" customHeight="1" outlineLevel="1" x14ac:dyDescent="0.25">
      <c r="A99" s="1926"/>
      <c r="B99" s="1961" t="s">
        <v>158</v>
      </c>
      <c r="C99" s="1961" t="s">
        <v>2308</v>
      </c>
      <c r="D99" s="1962"/>
      <c r="E99" s="1962"/>
      <c r="F99" s="1963"/>
      <c r="G99" s="1962" t="s">
        <v>637</v>
      </c>
      <c r="H99" s="1964">
        <v>150000</v>
      </c>
      <c r="I99" s="1964">
        <v>150000</v>
      </c>
      <c r="J99" s="1964">
        <v>150000</v>
      </c>
      <c r="K99" s="1964">
        <v>150000</v>
      </c>
      <c r="L99" s="1964">
        <f>+'[6]Příroda 3749'!$B$26</f>
        <v>150000</v>
      </c>
      <c r="M99" s="1965">
        <f t="shared" si="6"/>
        <v>0</v>
      </c>
      <c r="N99" s="1964"/>
      <c r="O99" s="1964"/>
      <c r="P99" s="1964"/>
      <c r="Q99" s="1964"/>
      <c r="R99" s="1964"/>
      <c r="S99" s="1882"/>
      <c r="T99" s="1924"/>
      <c r="U99" s="1966"/>
    </row>
    <row r="100" spans="1:21" s="1967" customFormat="1" ht="12" hidden="1" customHeight="1" outlineLevel="1" thickBot="1" x14ac:dyDescent="0.3">
      <c r="A100" s="1927">
        <v>3749</v>
      </c>
      <c r="B100" s="1981" t="s">
        <v>158</v>
      </c>
      <c r="C100" s="1981"/>
      <c r="D100" s="1977"/>
      <c r="E100" s="1977"/>
      <c r="F100" s="1978"/>
      <c r="G100" s="1977" t="s">
        <v>637</v>
      </c>
      <c r="H100" s="1979">
        <v>0</v>
      </c>
      <c r="I100" s="1979">
        <v>0</v>
      </c>
      <c r="J100" s="1979">
        <v>0</v>
      </c>
      <c r="K100" s="1979">
        <v>0</v>
      </c>
      <c r="L100" s="1979">
        <f>+'[6]Příroda 3749'!$B$27</f>
        <v>0</v>
      </c>
      <c r="M100" s="1980">
        <f t="shared" si="6"/>
        <v>0</v>
      </c>
      <c r="N100" s="1979"/>
      <c r="O100" s="1979"/>
      <c r="P100" s="1979"/>
      <c r="Q100" s="1979"/>
      <c r="R100" s="1979"/>
      <c r="S100" s="1882"/>
      <c r="T100" s="1924"/>
      <c r="U100" s="1966"/>
    </row>
    <row r="101" spans="1:21" ht="13.5" collapsed="1" thickBot="1" x14ac:dyDescent="0.3">
      <c r="A101" s="3164" t="s">
        <v>623</v>
      </c>
      <c r="B101" s="3165"/>
      <c r="C101" s="1918"/>
      <c r="D101" s="1919"/>
      <c r="E101" s="1919"/>
      <c r="F101" s="1920"/>
      <c r="G101" s="1919"/>
      <c r="H101" s="1921">
        <v>150000</v>
      </c>
      <c r="I101" s="1921">
        <v>150000</v>
      </c>
      <c r="J101" s="1921">
        <v>150000</v>
      </c>
      <c r="K101" s="1921">
        <v>150000</v>
      </c>
      <c r="L101" s="1921">
        <f>SUM(L99:L100)</f>
        <v>150000</v>
      </c>
      <c r="M101" s="1922">
        <f t="shared" si="6"/>
        <v>0</v>
      </c>
      <c r="N101" s="1921"/>
      <c r="O101" s="1921">
        <f>SUM(O99:O100)</f>
        <v>0</v>
      </c>
      <c r="P101" s="1921"/>
      <c r="Q101" s="1921"/>
      <c r="R101" s="1921"/>
      <c r="S101" s="1923">
        <f>'Výdaje kapitol celkem'!DJ69</f>
        <v>150000</v>
      </c>
      <c r="T101" s="1924">
        <f>+S101-L101</f>
        <v>0</v>
      </c>
    </row>
    <row r="102" spans="1:21" s="1967" customFormat="1" ht="12" customHeight="1" outlineLevel="1" x14ac:dyDescent="0.25">
      <c r="A102" s="1926"/>
      <c r="B102" s="1961" t="s">
        <v>293</v>
      </c>
      <c r="C102" s="1961" t="s">
        <v>293</v>
      </c>
      <c r="D102" s="1962"/>
      <c r="E102" s="1962"/>
      <c r="F102" s="1963"/>
      <c r="G102" s="1962" t="s">
        <v>637</v>
      </c>
      <c r="H102" s="1964">
        <v>4400000</v>
      </c>
      <c r="I102" s="1964">
        <v>4400000</v>
      </c>
      <c r="J102" s="1964">
        <v>4000000</v>
      </c>
      <c r="K102" s="1964">
        <v>4500000</v>
      </c>
      <c r="L102" s="1964">
        <f>+[5]Koupaliště!$B$4</f>
        <v>4500000</v>
      </c>
      <c r="M102" s="1965">
        <f t="shared" si="6"/>
        <v>0</v>
      </c>
      <c r="N102" s="1964"/>
      <c r="O102" s="1964"/>
      <c r="P102" s="1964"/>
      <c r="Q102" s="1964"/>
      <c r="R102" s="1964"/>
      <c r="S102" s="1882"/>
      <c r="T102" s="1924"/>
      <c r="U102" s="1966"/>
    </row>
    <row r="103" spans="1:21" s="1967" customFormat="1" ht="12" customHeight="1" outlineLevel="1" x14ac:dyDescent="0.25">
      <c r="A103" s="1926"/>
      <c r="B103" s="1961" t="s">
        <v>293</v>
      </c>
      <c r="C103" s="1961" t="s">
        <v>1651</v>
      </c>
      <c r="D103" s="1962"/>
      <c r="E103" s="1962"/>
      <c r="F103" s="1963"/>
      <c r="G103" s="1962" t="s">
        <v>637</v>
      </c>
      <c r="H103" s="1964">
        <v>60000</v>
      </c>
      <c r="I103" s="1964">
        <v>60000</v>
      </c>
      <c r="J103" s="1964">
        <v>60000</v>
      </c>
      <c r="K103" s="1964">
        <v>60000</v>
      </c>
      <c r="L103" s="1964">
        <f>+[5]Koupaliště!$B$5</f>
        <v>60000</v>
      </c>
      <c r="M103" s="1965">
        <f t="shared" si="6"/>
        <v>0</v>
      </c>
      <c r="N103" s="1964"/>
      <c r="O103" s="1964"/>
      <c r="P103" s="1964"/>
      <c r="Q103" s="1964"/>
      <c r="R103" s="1964"/>
      <c r="S103" s="1882"/>
      <c r="T103" s="1924"/>
      <c r="U103" s="1966"/>
    </row>
    <row r="104" spans="1:21" s="1967" customFormat="1" ht="14.65" customHeight="1" outlineLevel="1" thickBot="1" x14ac:dyDescent="0.3">
      <c r="A104" s="1927">
        <v>3412</v>
      </c>
      <c r="B104" s="1961" t="s">
        <v>293</v>
      </c>
      <c r="C104" s="1990" t="s">
        <v>2402</v>
      </c>
      <c r="D104" s="1982"/>
      <c r="E104" s="1982"/>
      <c r="F104" s="1991"/>
      <c r="G104" s="1982" t="s">
        <v>637</v>
      </c>
      <c r="H104" s="1983">
        <v>100000</v>
      </c>
      <c r="I104" s="1983">
        <v>100000</v>
      </c>
      <c r="J104" s="1983">
        <v>100000</v>
      </c>
      <c r="K104" s="1983">
        <v>100000</v>
      </c>
      <c r="L104" s="1983">
        <f>+[4]koupaliště!$B$29</f>
        <v>100000</v>
      </c>
      <c r="M104" s="1984">
        <f t="shared" si="6"/>
        <v>0</v>
      </c>
      <c r="N104" s="1983"/>
      <c r="O104" s="1983"/>
      <c r="P104" s="1983"/>
      <c r="Q104" s="1983"/>
      <c r="R104" s="1983"/>
      <c r="S104" s="1882"/>
      <c r="T104" s="1924"/>
      <c r="U104" s="1966"/>
    </row>
    <row r="105" spans="1:21" ht="13.5" thickBot="1" x14ac:dyDescent="0.3">
      <c r="A105" s="3164" t="s">
        <v>624</v>
      </c>
      <c r="B105" s="3165"/>
      <c r="C105" s="1918"/>
      <c r="D105" s="1919"/>
      <c r="E105" s="1919"/>
      <c r="F105" s="1920"/>
      <c r="G105" s="1919"/>
      <c r="H105" s="1921">
        <v>4560000</v>
      </c>
      <c r="I105" s="1921">
        <v>4560000</v>
      </c>
      <c r="J105" s="1921">
        <v>4160000</v>
      </c>
      <c r="K105" s="1921">
        <v>4660000</v>
      </c>
      <c r="L105" s="1921">
        <f>SUM(L102:L104)</f>
        <v>4660000</v>
      </c>
      <c r="M105" s="1922">
        <f t="shared" si="6"/>
        <v>0</v>
      </c>
      <c r="N105" s="1921"/>
      <c r="O105" s="1921">
        <f>SUM(O104:O104)</f>
        <v>0</v>
      </c>
      <c r="P105" s="1921"/>
      <c r="Q105" s="1921"/>
      <c r="R105" s="1921"/>
      <c r="S105" s="1923">
        <f>'Výdaje kapitol celkem'!AT69</f>
        <v>4660000</v>
      </c>
      <c r="T105" s="1924">
        <f>+S105-L105</f>
        <v>0</v>
      </c>
    </row>
    <row r="106" spans="1:21" s="1967" customFormat="1" ht="12" hidden="1" customHeight="1" outlineLevel="1" x14ac:dyDescent="0.25">
      <c r="A106" s="1992"/>
      <c r="B106" s="1910" t="s">
        <v>1178</v>
      </c>
      <c r="C106" s="1961" t="s">
        <v>1652</v>
      </c>
      <c r="D106" s="1962"/>
      <c r="E106" s="1962"/>
      <c r="F106" s="1963"/>
      <c r="G106" s="1962" t="s">
        <v>637</v>
      </c>
      <c r="H106" s="1964">
        <v>0</v>
      </c>
      <c r="I106" s="1964">
        <v>0</v>
      </c>
      <c r="J106" s="1964">
        <v>0</v>
      </c>
      <c r="K106" s="1964">
        <v>0</v>
      </c>
      <c r="L106" s="1964">
        <f>+[5]Hřiště!$B$5</f>
        <v>0</v>
      </c>
      <c r="M106" s="1965">
        <f t="shared" si="6"/>
        <v>0</v>
      </c>
      <c r="N106" s="1964"/>
      <c r="O106" s="1964"/>
      <c r="P106" s="1964"/>
      <c r="Q106" s="1964"/>
      <c r="R106" s="1964"/>
      <c r="S106" s="1882"/>
      <c r="T106" s="1924"/>
      <c r="U106" s="1966"/>
    </row>
    <row r="107" spans="1:21" s="1967" customFormat="1" ht="12" hidden="1" customHeight="1" outlineLevel="1" x14ac:dyDescent="0.25">
      <c r="A107" s="1960"/>
      <c r="B107" s="1910" t="s">
        <v>1178</v>
      </c>
      <c r="C107" s="1961" t="s">
        <v>1653</v>
      </c>
      <c r="D107" s="1962"/>
      <c r="E107" s="1962"/>
      <c r="F107" s="1963"/>
      <c r="G107" s="1962" t="s">
        <v>637</v>
      </c>
      <c r="H107" s="1964">
        <v>0</v>
      </c>
      <c r="I107" s="1964">
        <v>0</v>
      </c>
      <c r="J107" s="1964">
        <v>0</v>
      </c>
      <c r="K107" s="1964">
        <v>0</v>
      </c>
      <c r="L107" s="1964">
        <f>+[5]Hřiště!$B$4</f>
        <v>0</v>
      </c>
      <c r="M107" s="1965">
        <f t="shared" si="6"/>
        <v>0</v>
      </c>
      <c r="N107" s="1964"/>
      <c r="O107" s="1964"/>
      <c r="P107" s="1964"/>
      <c r="Q107" s="1964"/>
      <c r="R107" s="1964"/>
      <c r="S107" s="1882"/>
      <c r="T107" s="1924"/>
      <c r="U107" s="1966"/>
    </row>
    <row r="108" spans="1:21" s="1967" customFormat="1" ht="12" hidden="1" customHeight="1" outlineLevel="1" x14ac:dyDescent="0.25">
      <c r="A108" s="1960"/>
      <c r="B108" s="2996" t="s">
        <v>1178</v>
      </c>
      <c r="C108" s="1985" t="s">
        <v>1617</v>
      </c>
      <c r="D108" s="1986"/>
      <c r="E108" s="1986"/>
      <c r="F108" s="1987"/>
      <c r="G108" s="2017" t="s">
        <v>4</v>
      </c>
      <c r="H108" s="2997">
        <v>0</v>
      </c>
      <c r="I108" s="2997">
        <v>0</v>
      </c>
      <c r="J108" s="2997">
        <v>0</v>
      </c>
      <c r="K108" s="2997">
        <v>0</v>
      </c>
      <c r="L108" s="1988">
        <f>+[5]Hřiště!$B$19</f>
        <v>0</v>
      </c>
      <c r="M108" s="1989">
        <f t="shared" si="6"/>
        <v>0</v>
      </c>
      <c r="N108" s="1988"/>
      <c r="O108" s="1988"/>
      <c r="P108" s="1988"/>
      <c r="Q108" s="1988"/>
      <c r="R108" s="1988"/>
      <c r="S108" s="1882"/>
      <c r="T108" s="1924"/>
      <c r="U108" s="1966"/>
    </row>
    <row r="109" spans="1:21" s="1967" customFormat="1" ht="12" hidden="1" customHeight="1" outlineLevel="1" x14ac:dyDescent="0.25">
      <c r="A109" s="1960"/>
      <c r="B109" s="1910" t="s">
        <v>1178</v>
      </c>
      <c r="C109" s="1968" t="s">
        <v>1617</v>
      </c>
      <c r="D109" s="1969"/>
      <c r="E109" s="1969"/>
      <c r="F109" s="1970"/>
      <c r="G109" s="1962" t="s">
        <v>637</v>
      </c>
      <c r="H109" s="1964"/>
      <c r="I109" s="1964"/>
      <c r="J109" s="1964"/>
      <c r="K109" s="1964"/>
      <c r="L109" s="1971"/>
      <c r="M109" s="1972">
        <f t="shared" si="6"/>
        <v>0</v>
      </c>
      <c r="N109" s="1971"/>
      <c r="O109" s="1971"/>
      <c r="P109" s="1971"/>
      <c r="Q109" s="1971"/>
      <c r="R109" s="1971"/>
      <c r="S109" s="1882"/>
      <c r="T109" s="1924"/>
      <c r="U109" s="1966"/>
    </row>
    <row r="110" spans="1:21" s="1967" customFormat="1" ht="12" hidden="1" customHeight="1" outlineLevel="1" x14ac:dyDescent="0.25">
      <c r="A110" s="1960"/>
      <c r="B110" s="1910" t="s">
        <v>1178</v>
      </c>
      <c r="C110" s="1968" t="s">
        <v>1618</v>
      </c>
      <c r="D110" s="1969"/>
      <c r="E110" s="1969"/>
      <c r="F110" s="1970"/>
      <c r="G110" s="1962" t="s">
        <v>637</v>
      </c>
      <c r="H110" s="1964">
        <v>0</v>
      </c>
      <c r="I110" s="1964">
        <v>0</v>
      </c>
      <c r="J110" s="1964">
        <v>0</v>
      </c>
      <c r="K110" s="1964">
        <v>0</v>
      </c>
      <c r="L110" s="1971">
        <f>+[5]Hřiště!$B$20</f>
        <v>0</v>
      </c>
      <c r="M110" s="1972">
        <f t="shared" si="6"/>
        <v>0</v>
      </c>
      <c r="N110" s="1971"/>
      <c r="O110" s="1971"/>
      <c r="P110" s="1971"/>
      <c r="Q110" s="1971"/>
      <c r="R110" s="1971"/>
      <c r="S110" s="1882"/>
      <c r="T110" s="1924"/>
      <c r="U110" s="1966"/>
    </row>
    <row r="111" spans="1:21" s="1967" customFormat="1" ht="12" hidden="1" customHeight="1" outlineLevel="1" thickBot="1" x14ac:dyDescent="0.3">
      <c r="A111" s="1927" t="s">
        <v>1181</v>
      </c>
      <c r="B111" s="1949" t="s">
        <v>1178</v>
      </c>
      <c r="C111" s="1981"/>
      <c r="D111" s="1977"/>
      <c r="E111" s="1993"/>
      <c r="F111" s="1994"/>
      <c r="G111" s="1978" t="s">
        <v>637</v>
      </c>
      <c r="H111" s="1979"/>
      <c r="I111" s="1979"/>
      <c r="J111" s="1979"/>
      <c r="K111" s="1979"/>
      <c r="L111" s="1979"/>
      <c r="M111" s="1980">
        <f t="shared" si="6"/>
        <v>0</v>
      </c>
      <c r="N111" s="1979"/>
      <c r="O111" s="1979"/>
      <c r="P111" s="1979"/>
      <c r="Q111" s="1979"/>
      <c r="R111" s="1979"/>
      <c r="S111" s="1882"/>
      <c r="T111" s="1924"/>
      <c r="U111" s="1966"/>
    </row>
    <row r="112" spans="1:21" ht="13.5" collapsed="1" thickBot="1" x14ac:dyDescent="0.3">
      <c r="A112" s="3164" t="s">
        <v>1225</v>
      </c>
      <c r="B112" s="3165"/>
      <c r="C112" s="1918"/>
      <c r="D112" s="1919"/>
      <c r="E112" s="1919"/>
      <c r="F112" s="1920"/>
      <c r="G112" s="1919"/>
      <c r="H112" s="1921">
        <v>0</v>
      </c>
      <c r="I112" s="1921">
        <v>0</v>
      </c>
      <c r="J112" s="1921">
        <v>0</v>
      </c>
      <c r="K112" s="1921">
        <v>0</v>
      </c>
      <c r="L112" s="1921">
        <f>SUM(L106:L111)</f>
        <v>0</v>
      </c>
      <c r="M112" s="1922">
        <f t="shared" si="6"/>
        <v>0</v>
      </c>
      <c r="N112" s="1921"/>
      <c r="O112" s="1921">
        <f>SUM(O106:O111)</f>
        <v>0</v>
      </c>
      <c r="P112" s="1921"/>
      <c r="Q112" s="1921"/>
      <c r="R112" s="1921"/>
      <c r="S112" s="1923">
        <f>'Výdaje kapitol celkem'!AW69</f>
        <v>0</v>
      </c>
      <c r="T112" s="1924">
        <f>+S112-L112</f>
        <v>0</v>
      </c>
    </row>
    <row r="113" spans="1:21" s="1967" customFormat="1" ht="12" customHeight="1" outlineLevel="1" x14ac:dyDescent="0.25">
      <c r="A113" s="1992"/>
      <c r="B113" s="1910" t="s">
        <v>1699</v>
      </c>
      <c r="C113" s="1961" t="s">
        <v>1700</v>
      </c>
      <c r="D113" s="1962"/>
      <c r="E113" s="1962"/>
      <c r="F113" s="1963"/>
      <c r="G113" s="1963" t="s">
        <v>637</v>
      </c>
      <c r="H113" s="1964">
        <v>1500000</v>
      </c>
      <c r="I113" s="1964">
        <v>1500000</v>
      </c>
      <c r="J113" s="1964">
        <v>1500000</v>
      </c>
      <c r="K113" s="1964">
        <v>1500000</v>
      </c>
      <c r="L113" s="1964">
        <f>+'[4]Zdrav. středisko'!$B$19</f>
        <v>1500000</v>
      </c>
      <c r="M113" s="1965">
        <f t="shared" si="6"/>
        <v>0</v>
      </c>
      <c r="N113" s="1964"/>
      <c r="O113" s="1964"/>
      <c r="P113" s="1964"/>
      <c r="Q113" s="1964"/>
      <c r="R113" s="1964"/>
      <c r="S113" s="1882"/>
      <c r="T113" s="1924"/>
      <c r="U113" s="1966"/>
    </row>
    <row r="114" spans="1:21" s="1967" customFormat="1" ht="12" customHeight="1" outlineLevel="1" x14ac:dyDescent="0.25">
      <c r="A114" s="1960"/>
      <c r="B114" s="1910" t="s">
        <v>1699</v>
      </c>
      <c r="C114" s="1961" t="s">
        <v>1701</v>
      </c>
      <c r="D114" s="1962"/>
      <c r="E114" s="1962"/>
      <c r="F114" s="1963"/>
      <c r="G114" s="1963" t="s">
        <v>637</v>
      </c>
      <c r="H114" s="1971"/>
      <c r="I114" s="1971"/>
      <c r="J114" s="1971"/>
      <c r="K114" s="1971"/>
      <c r="L114" s="1971"/>
      <c r="M114" s="1972">
        <f t="shared" si="6"/>
        <v>0</v>
      </c>
      <c r="N114" s="1971"/>
      <c r="O114" s="1971"/>
      <c r="P114" s="1971"/>
      <c r="Q114" s="1971"/>
      <c r="R114" s="1971"/>
      <c r="S114" s="1882"/>
      <c r="T114" s="1924"/>
      <c r="U114" s="1966"/>
    </row>
    <row r="115" spans="1:21" s="1967" customFormat="1" ht="12" customHeight="1" outlineLevel="1" x14ac:dyDescent="0.25">
      <c r="A115" s="1960"/>
      <c r="B115" s="1910" t="s">
        <v>1699</v>
      </c>
      <c r="C115" s="1968"/>
      <c r="D115" s="1969"/>
      <c r="E115" s="1969"/>
      <c r="F115" s="1970"/>
      <c r="G115" s="1963" t="s">
        <v>637</v>
      </c>
      <c r="H115" s="1971"/>
      <c r="I115" s="1971"/>
      <c r="J115" s="1971"/>
      <c r="K115" s="1971"/>
      <c r="L115" s="1971"/>
      <c r="M115" s="1972">
        <f t="shared" si="6"/>
        <v>0</v>
      </c>
      <c r="N115" s="1971"/>
      <c r="O115" s="1971"/>
      <c r="P115" s="1971"/>
      <c r="Q115" s="1971"/>
      <c r="R115" s="1971"/>
      <c r="S115" s="1882"/>
      <c r="T115" s="1924"/>
      <c r="U115" s="1966"/>
    </row>
    <row r="116" spans="1:21" s="1967" customFormat="1" ht="12" customHeight="1" outlineLevel="1" thickBot="1" x14ac:dyDescent="0.3">
      <c r="A116" s="1927">
        <v>3519</v>
      </c>
      <c r="B116" s="1949" t="s">
        <v>1699</v>
      </c>
      <c r="C116" s="1981"/>
      <c r="D116" s="1977"/>
      <c r="E116" s="1993"/>
      <c r="F116" s="1994"/>
      <c r="G116" s="1978" t="s">
        <v>637</v>
      </c>
      <c r="H116" s="1995"/>
      <c r="I116" s="1995"/>
      <c r="J116" s="1995"/>
      <c r="K116" s="1995"/>
      <c r="L116" s="1995"/>
      <c r="M116" s="1996">
        <f t="shared" si="6"/>
        <v>0</v>
      </c>
      <c r="N116" s="1995"/>
      <c r="O116" s="1995"/>
      <c r="P116" s="1995"/>
      <c r="Q116" s="1995"/>
      <c r="R116" s="1995"/>
      <c r="S116" s="1882"/>
      <c r="T116" s="1924"/>
      <c r="U116" s="1966"/>
    </row>
    <row r="117" spans="1:21" ht="13.5" thickBot="1" x14ac:dyDescent="0.3">
      <c r="A117" s="3164" t="s">
        <v>1698</v>
      </c>
      <c r="B117" s="3165"/>
      <c r="C117" s="1918"/>
      <c r="D117" s="1919"/>
      <c r="E117" s="1919"/>
      <c r="F117" s="1920"/>
      <c r="G117" s="1919"/>
      <c r="H117" s="1997">
        <v>1500000</v>
      </c>
      <c r="I117" s="1997">
        <v>1500000</v>
      </c>
      <c r="J117" s="1997">
        <v>1500000</v>
      </c>
      <c r="K117" s="1997">
        <v>1500000</v>
      </c>
      <c r="L117" s="1997">
        <f>SUM(L113:L116)</f>
        <v>1500000</v>
      </c>
      <c r="M117" s="1998">
        <f t="shared" si="6"/>
        <v>0</v>
      </c>
      <c r="N117" s="1997"/>
      <c r="O117" s="1997">
        <f>SUM(O113:O116)</f>
        <v>0</v>
      </c>
      <c r="P117" s="1997"/>
      <c r="Q117" s="1997"/>
      <c r="R117" s="1997"/>
      <c r="S117" s="1923">
        <f>'Výdaje kapitol celkem'!AO57+'Výdaje kapitol celkem'!AO58+'Výdaje kapitol celkem'!AO59+'Výdaje kapitol celkem'!AO60+'Výdaje kapitol celkem'!AO61+'Výdaje kapitol celkem'!AO62+'Výdaje kapitol celkem'!AO63+'Výdaje kapitol celkem'!AO64</f>
        <v>1500000</v>
      </c>
      <c r="T117" s="1924">
        <f>+S117-L117</f>
        <v>0</v>
      </c>
    </row>
    <row r="118" spans="1:21" s="1967" customFormat="1" ht="12" hidden="1" customHeight="1" outlineLevel="1" x14ac:dyDescent="0.25">
      <c r="A118" s="1992"/>
      <c r="B118" s="1910" t="s">
        <v>144</v>
      </c>
      <c r="C118" s="1999" t="s">
        <v>1654</v>
      </c>
      <c r="D118" s="2000"/>
      <c r="E118" s="1962"/>
      <c r="F118" s="1963"/>
      <c r="G118" s="1963" t="s">
        <v>637</v>
      </c>
      <c r="H118" s="1964">
        <v>0</v>
      </c>
      <c r="I118" s="1964">
        <v>0</v>
      </c>
      <c r="J118" s="1964">
        <v>0</v>
      </c>
      <c r="K118" s="1964">
        <v>0</v>
      </c>
      <c r="L118" s="1964">
        <f>+[5]ZŠ!$B$8</f>
        <v>0</v>
      </c>
      <c r="M118" s="1965">
        <f t="shared" si="6"/>
        <v>0</v>
      </c>
      <c r="N118" s="1964"/>
      <c r="O118" s="1964"/>
      <c r="P118" s="1964"/>
      <c r="Q118" s="1964"/>
      <c r="R118" s="1964"/>
      <c r="S118" s="1882"/>
      <c r="T118" s="1924"/>
      <c r="U118" s="1966"/>
    </row>
    <row r="119" spans="1:21" s="1967" customFormat="1" ht="12" hidden="1" customHeight="1" outlineLevel="1" x14ac:dyDescent="0.25">
      <c r="A119" s="1960"/>
      <c r="B119" s="1955" t="s">
        <v>144</v>
      </c>
      <c r="C119" s="1999" t="s">
        <v>1655</v>
      </c>
      <c r="D119" s="1962"/>
      <c r="E119" s="1962"/>
      <c r="F119" s="1963"/>
      <c r="G119" s="1963" t="s">
        <v>637</v>
      </c>
      <c r="H119" s="1971">
        <v>0</v>
      </c>
      <c r="I119" s="1971">
        <v>0</v>
      </c>
      <c r="J119" s="1971">
        <v>0</v>
      </c>
      <c r="K119" s="1971">
        <v>0</v>
      </c>
      <c r="L119" s="1971">
        <f>+[5]ZŠ!$B$9</f>
        <v>0</v>
      </c>
      <c r="M119" s="1972">
        <f t="shared" si="6"/>
        <v>0</v>
      </c>
      <c r="N119" s="1971"/>
      <c r="O119" s="1971"/>
      <c r="P119" s="1971"/>
      <c r="Q119" s="1971"/>
      <c r="R119" s="1971"/>
      <c r="S119" s="1882"/>
      <c r="T119" s="1924"/>
      <c r="U119" s="1966"/>
    </row>
    <row r="120" spans="1:21" s="1967" customFormat="1" ht="12" hidden="1" customHeight="1" outlineLevel="1" x14ac:dyDescent="0.25">
      <c r="A120" s="1926"/>
      <c r="B120" s="2001" t="s">
        <v>144</v>
      </c>
      <c r="C120" s="2002" t="s">
        <v>1656</v>
      </c>
      <c r="D120" s="2003"/>
      <c r="E120" s="2004"/>
      <c r="F120" s="2005"/>
      <c r="G120" s="2006" t="s">
        <v>637</v>
      </c>
      <c r="H120" s="1971">
        <v>0</v>
      </c>
      <c r="I120" s="1971">
        <v>0</v>
      </c>
      <c r="J120" s="1971">
        <v>0</v>
      </c>
      <c r="K120" s="1971">
        <v>0</v>
      </c>
      <c r="L120" s="1971">
        <f>+[5]ZŠ!$B$22</f>
        <v>0</v>
      </c>
      <c r="M120" s="1972">
        <f t="shared" si="6"/>
        <v>0</v>
      </c>
      <c r="N120" s="1971"/>
      <c r="O120" s="1971"/>
      <c r="P120" s="1971"/>
      <c r="Q120" s="1971"/>
      <c r="R120" s="1971"/>
      <c r="S120" s="1882"/>
      <c r="T120" s="1924"/>
      <c r="U120" s="1966"/>
    </row>
    <row r="121" spans="1:21" s="1967" customFormat="1" ht="12" hidden="1" customHeight="1" outlineLevel="1" x14ac:dyDescent="0.25">
      <c r="A121" s="2007"/>
      <c r="B121" s="1955" t="s">
        <v>144</v>
      </c>
      <c r="C121" s="2008" t="s">
        <v>1657</v>
      </c>
      <c r="D121" s="1969"/>
      <c r="E121" s="2009"/>
      <c r="F121" s="2010"/>
      <c r="G121" s="1970" t="s">
        <v>637</v>
      </c>
      <c r="H121" s="1971">
        <v>0</v>
      </c>
      <c r="I121" s="1971">
        <v>0</v>
      </c>
      <c r="J121" s="1971">
        <v>0</v>
      </c>
      <c r="K121" s="1971">
        <v>0</v>
      </c>
      <c r="L121" s="1971">
        <f>+[5]ZŠ!$B$23</f>
        <v>0</v>
      </c>
      <c r="M121" s="1972">
        <f t="shared" si="6"/>
        <v>0</v>
      </c>
      <c r="N121" s="1971"/>
      <c r="O121" s="1971"/>
      <c r="P121" s="1971"/>
      <c r="Q121" s="1971"/>
      <c r="R121" s="1971"/>
      <c r="S121" s="1882"/>
      <c r="T121" s="1924"/>
      <c r="U121" s="1966"/>
    </row>
    <row r="122" spans="1:21" s="1967" customFormat="1" ht="12" hidden="1" customHeight="1" outlineLevel="1" x14ac:dyDescent="0.25">
      <c r="A122" s="2007"/>
      <c r="B122" s="1955" t="s">
        <v>144</v>
      </c>
      <c r="C122" s="2008" t="s">
        <v>2232</v>
      </c>
      <c r="D122" s="1969"/>
      <c r="E122" s="2009"/>
      <c r="F122" s="2010"/>
      <c r="G122" s="1970" t="s">
        <v>637</v>
      </c>
      <c r="H122" s="1971">
        <v>0</v>
      </c>
      <c r="I122" s="1971">
        <v>0</v>
      </c>
      <c r="J122" s="1971">
        <v>0</v>
      </c>
      <c r="K122" s="1971">
        <v>0</v>
      </c>
      <c r="L122" s="1971">
        <f>+[5]ZŠ!$B$36</f>
        <v>0</v>
      </c>
      <c r="M122" s="1972">
        <f t="shared" si="6"/>
        <v>0</v>
      </c>
      <c r="N122" s="1971"/>
      <c r="O122" s="1971"/>
      <c r="P122" s="1971"/>
      <c r="Q122" s="1971"/>
      <c r="R122" s="1971"/>
      <c r="S122" s="1882"/>
      <c r="T122" s="1924"/>
      <c r="U122" s="1966"/>
    </row>
    <row r="123" spans="1:21" s="1967" customFormat="1" ht="12" hidden="1" customHeight="1" outlineLevel="1" x14ac:dyDescent="0.25">
      <c r="A123" s="2007"/>
      <c r="B123" s="1955" t="s">
        <v>144</v>
      </c>
      <c r="C123" s="2008" t="s">
        <v>2233</v>
      </c>
      <c r="D123" s="1969"/>
      <c r="E123" s="2009"/>
      <c r="F123" s="2010"/>
      <c r="G123" s="1970" t="s">
        <v>637</v>
      </c>
      <c r="H123" s="1971">
        <v>0</v>
      </c>
      <c r="I123" s="1971">
        <v>0</v>
      </c>
      <c r="J123" s="1971">
        <v>0</v>
      </c>
      <c r="K123" s="1971">
        <v>0</v>
      </c>
      <c r="L123" s="1971">
        <f>+[5]ZŠ!$B$37</f>
        <v>0</v>
      </c>
      <c r="M123" s="1972">
        <f t="shared" si="6"/>
        <v>0</v>
      </c>
      <c r="N123" s="1971"/>
      <c r="O123" s="1971"/>
      <c r="P123" s="1971"/>
      <c r="Q123" s="1971"/>
      <c r="R123" s="1971"/>
      <c r="S123" s="1882"/>
      <c r="T123" s="1924"/>
      <c r="U123" s="1966"/>
    </row>
    <row r="124" spans="1:21" s="1967" customFormat="1" ht="12" hidden="1" customHeight="1" outlineLevel="1" x14ac:dyDescent="0.25">
      <c r="A124" s="2007"/>
      <c r="B124" s="1955" t="s">
        <v>144</v>
      </c>
      <c r="C124" s="2008" t="s">
        <v>1663</v>
      </c>
      <c r="D124" s="1969"/>
      <c r="E124" s="2009"/>
      <c r="F124" s="2010"/>
      <c r="G124" s="1970" t="s">
        <v>637</v>
      </c>
      <c r="H124" s="1971">
        <v>0</v>
      </c>
      <c r="I124" s="1971">
        <v>0</v>
      </c>
      <c r="J124" s="1971">
        <v>0</v>
      </c>
      <c r="K124" s="1971">
        <v>0</v>
      </c>
      <c r="L124" s="1971">
        <f>+[5]ZŠ!$B$76</f>
        <v>0</v>
      </c>
      <c r="M124" s="1972">
        <f t="shared" si="6"/>
        <v>0</v>
      </c>
      <c r="N124" s="1971"/>
      <c r="O124" s="1971"/>
      <c r="P124" s="1971"/>
      <c r="Q124" s="1971"/>
      <c r="R124" s="1971"/>
      <c r="S124" s="1882"/>
      <c r="T124" s="1924"/>
      <c r="U124" s="1966"/>
    </row>
    <row r="125" spans="1:21" s="1967" customFormat="1" ht="12" hidden="1" customHeight="1" outlineLevel="1" x14ac:dyDescent="0.25">
      <c r="A125" s="2007"/>
      <c r="B125" s="1955" t="s">
        <v>144</v>
      </c>
      <c r="C125" s="2008" t="s">
        <v>1664</v>
      </c>
      <c r="D125" s="1969"/>
      <c r="E125" s="2009"/>
      <c r="F125" s="2010"/>
      <c r="G125" s="1970" t="s">
        <v>637</v>
      </c>
      <c r="H125" s="1971">
        <v>0</v>
      </c>
      <c r="I125" s="1971">
        <v>0</v>
      </c>
      <c r="J125" s="1971">
        <v>0</v>
      </c>
      <c r="K125" s="1971">
        <v>0</v>
      </c>
      <c r="L125" s="1971">
        <f>+[5]ZŠ!$B$77</f>
        <v>0</v>
      </c>
      <c r="M125" s="1972">
        <f t="shared" si="6"/>
        <v>0</v>
      </c>
      <c r="N125" s="1971"/>
      <c r="O125" s="1971"/>
      <c r="P125" s="1971"/>
      <c r="Q125" s="1971"/>
      <c r="R125" s="1971"/>
      <c r="S125" s="1882"/>
      <c r="T125" s="1924"/>
      <c r="U125" s="1966"/>
    </row>
    <row r="126" spans="1:21" s="1967" customFormat="1" ht="12" hidden="1" customHeight="1" outlineLevel="1" x14ac:dyDescent="0.25">
      <c r="A126" s="2007"/>
      <c r="B126" s="1955" t="s">
        <v>144</v>
      </c>
      <c r="C126" s="2008" t="s">
        <v>1658</v>
      </c>
      <c r="D126" s="1969"/>
      <c r="E126" s="2009"/>
      <c r="F126" s="2010"/>
      <c r="G126" s="1970" t="s">
        <v>637</v>
      </c>
      <c r="H126" s="1971"/>
      <c r="I126" s="1971"/>
      <c r="J126" s="1971"/>
      <c r="K126" s="1971"/>
      <c r="L126" s="1971"/>
      <c r="M126" s="1972">
        <f t="shared" si="6"/>
        <v>0</v>
      </c>
      <c r="N126" s="1971"/>
      <c r="O126" s="1971"/>
      <c r="P126" s="1971"/>
      <c r="Q126" s="1971"/>
      <c r="R126" s="1971"/>
      <c r="S126" s="1882"/>
      <c r="T126" s="1924"/>
      <c r="U126" s="1966"/>
    </row>
    <row r="127" spans="1:21" s="1967" customFormat="1" ht="12" hidden="1" customHeight="1" outlineLevel="1" x14ac:dyDescent="0.25">
      <c r="A127" s="2007"/>
      <c r="B127" s="1955" t="s">
        <v>144</v>
      </c>
      <c r="C127" s="2008" t="s">
        <v>1983</v>
      </c>
      <c r="D127" s="1969"/>
      <c r="E127" s="2009"/>
      <c r="F127" s="2010"/>
      <c r="G127" s="1970" t="s">
        <v>637</v>
      </c>
      <c r="H127" s="1971"/>
      <c r="I127" s="1971"/>
      <c r="J127" s="1971"/>
      <c r="K127" s="1971"/>
      <c r="L127" s="1971"/>
      <c r="M127" s="1972">
        <f t="shared" si="6"/>
        <v>0</v>
      </c>
      <c r="N127" s="1971"/>
      <c r="O127" s="1971"/>
      <c r="P127" s="1971"/>
      <c r="Q127" s="1971"/>
      <c r="R127" s="1971"/>
      <c r="S127" s="1882"/>
      <c r="T127" s="1924"/>
      <c r="U127" s="1966"/>
    </row>
    <row r="128" spans="1:21" s="1967" customFormat="1" ht="12" customHeight="1" outlineLevel="1" x14ac:dyDescent="0.25">
      <c r="A128" s="2011"/>
      <c r="B128" s="1955" t="s">
        <v>144</v>
      </c>
      <c r="C128" s="2008" t="s">
        <v>1659</v>
      </c>
      <c r="D128" s="1969"/>
      <c r="E128" s="2009"/>
      <c r="F128" s="2010"/>
      <c r="G128" s="1970" t="s">
        <v>637</v>
      </c>
      <c r="H128" s="1971">
        <v>285000</v>
      </c>
      <c r="I128" s="1971">
        <v>285000</v>
      </c>
      <c r="J128" s="1971">
        <v>285000</v>
      </c>
      <c r="K128" s="1971">
        <v>285000</v>
      </c>
      <c r="L128" s="1971">
        <f>+[5]ZŠ!$B$49</f>
        <v>285000</v>
      </c>
      <c r="M128" s="1972">
        <f t="shared" si="6"/>
        <v>0</v>
      </c>
      <c r="N128" s="1971"/>
      <c r="O128" s="1971"/>
      <c r="P128" s="1971"/>
      <c r="Q128" s="1971"/>
      <c r="R128" s="1971"/>
      <c r="S128" s="1882"/>
      <c r="T128" s="1924"/>
      <c r="U128" s="1966"/>
    </row>
    <row r="129" spans="1:21" s="1967" customFormat="1" ht="12" customHeight="1" outlineLevel="1" x14ac:dyDescent="0.25">
      <c r="A129" s="1926"/>
      <c r="B129" s="1955" t="s">
        <v>144</v>
      </c>
      <c r="C129" s="2008" t="s">
        <v>1660</v>
      </c>
      <c r="D129" s="1969"/>
      <c r="E129" s="2009"/>
      <c r="F129" s="2010"/>
      <c r="G129" s="1970" t="s">
        <v>637</v>
      </c>
      <c r="H129" s="1971">
        <v>0</v>
      </c>
      <c r="I129" s="1971">
        <v>0</v>
      </c>
      <c r="J129" s="1971">
        <v>0</v>
      </c>
      <c r="K129" s="1971">
        <v>0</v>
      </c>
      <c r="L129" s="1971">
        <f>+[5]ZŠ!$B$50</f>
        <v>0</v>
      </c>
      <c r="M129" s="1972">
        <f t="shared" si="6"/>
        <v>0</v>
      </c>
      <c r="N129" s="1971"/>
      <c r="O129" s="1971"/>
      <c r="P129" s="1971"/>
      <c r="Q129" s="1971"/>
      <c r="R129" s="1971"/>
      <c r="S129" s="1882"/>
      <c r="T129" s="1924"/>
      <c r="U129" s="1966"/>
    </row>
    <row r="130" spans="1:21" s="1967" customFormat="1" ht="12" customHeight="1" outlineLevel="1" x14ac:dyDescent="0.25">
      <c r="A130" s="1926"/>
      <c r="B130" s="1955" t="s">
        <v>144</v>
      </c>
      <c r="C130" s="2012" t="s">
        <v>1662</v>
      </c>
      <c r="D130" s="1969"/>
      <c r="E130" s="2009"/>
      <c r="F130" s="2010"/>
      <c r="G130" s="1970" t="s">
        <v>637</v>
      </c>
      <c r="H130" s="1971">
        <v>30000</v>
      </c>
      <c r="I130" s="1971">
        <v>30000</v>
      </c>
      <c r="J130" s="1971">
        <v>30000</v>
      </c>
      <c r="K130" s="1971">
        <v>30000</v>
      </c>
      <c r="L130" s="1971">
        <f>+[5]ZŠ!$B$62</f>
        <v>30000</v>
      </c>
      <c r="M130" s="1972">
        <f t="shared" si="6"/>
        <v>0</v>
      </c>
      <c r="N130" s="1971"/>
      <c r="O130" s="1971"/>
      <c r="P130" s="1971"/>
      <c r="Q130" s="1971"/>
      <c r="R130" s="1971"/>
      <c r="S130" s="1882"/>
      <c r="T130" s="1924"/>
      <c r="U130" s="1966"/>
    </row>
    <row r="131" spans="1:21" s="1967" customFormat="1" ht="12" customHeight="1" outlineLevel="1" x14ac:dyDescent="0.25">
      <c r="A131" s="1926"/>
      <c r="B131" s="1955" t="s">
        <v>144</v>
      </c>
      <c r="C131" s="1999" t="s">
        <v>1661</v>
      </c>
      <c r="D131" s="1962"/>
      <c r="E131" s="2013"/>
      <c r="F131" s="2014"/>
      <c r="G131" s="1970" t="s">
        <v>637</v>
      </c>
      <c r="H131" s="1971">
        <v>0</v>
      </c>
      <c r="I131" s="1971">
        <v>0</v>
      </c>
      <c r="J131" s="1971">
        <v>0</v>
      </c>
      <c r="K131" s="1971">
        <v>0</v>
      </c>
      <c r="L131" s="1971">
        <f>+[5]ZŠ!$B$63</f>
        <v>0</v>
      </c>
      <c r="M131" s="1972">
        <f t="shared" si="6"/>
        <v>0</v>
      </c>
      <c r="N131" s="1971"/>
      <c r="O131" s="1971"/>
      <c r="P131" s="1971"/>
      <c r="Q131" s="1971"/>
      <c r="R131" s="1971"/>
      <c r="S131" s="1882"/>
      <c r="T131" s="1924"/>
      <c r="U131" s="1966"/>
    </row>
    <row r="132" spans="1:21" s="1967" customFormat="1" ht="12" customHeight="1" outlineLevel="1" x14ac:dyDescent="0.25">
      <c r="A132" s="1926"/>
      <c r="B132" s="2015" t="s">
        <v>144</v>
      </c>
      <c r="C132" s="2016" t="s">
        <v>1663</v>
      </c>
      <c r="D132" s="2017"/>
      <c r="E132" s="2018"/>
      <c r="F132" s="2019"/>
      <c r="G132" s="1987" t="s">
        <v>1963</v>
      </c>
      <c r="H132" s="1988"/>
      <c r="I132" s="1988"/>
      <c r="J132" s="1988"/>
      <c r="K132" s="1988"/>
      <c r="L132" s="1988"/>
      <c r="M132" s="1989">
        <f t="shared" si="6"/>
        <v>0</v>
      </c>
      <c r="N132" s="1988"/>
      <c r="O132" s="1988"/>
      <c r="P132" s="1988"/>
      <c r="Q132" s="1988"/>
      <c r="R132" s="1988"/>
      <c r="S132" s="1882"/>
      <c r="T132" s="1924"/>
      <c r="U132" s="1966"/>
    </row>
    <row r="133" spans="1:21" s="1967" customFormat="1" ht="12" customHeight="1" outlineLevel="1" x14ac:dyDescent="0.25">
      <c r="A133" s="1926"/>
      <c r="B133" s="1955" t="s">
        <v>144</v>
      </c>
      <c r="C133" s="1999" t="s">
        <v>1664</v>
      </c>
      <c r="D133" s="1962"/>
      <c r="E133" s="2013"/>
      <c r="F133" s="2014"/>
      <c r="G133" s="1970" t="s">
        <v>637</v>
      </c>
      <c r="H133" s="1971"/>
      <c r="I133" s="1971"/>
      <c r="J133" s="1971"/>
      <c r="K133" s="1971"/>
      <c r="L133" s="1971"/>
      <c r="M133" s="1972">
        <f t="shared" si="6"/>
        <v>0</v>
      </c>
      <c r="N133" s="1971"/>
      <c r="O133" s="1971"/>
      <c r="P133" s="1971"/>
      <c r="Q133" s="1971"/>
      <c r="R133" s="1971"/>
      <c r="S133" s="1882"/>
      <c r="T133" s="1924"/>
      <c r="U133" s="1966"/>
    </row>
    <row r="134" spans="1:21" s="1967" customFormat="1" ht="12" customHeight="1" outlineLevel="1" x14ac:dyDescent="0.25">
      <c r="A134" s="1926"/>
      <c r="B134" s="1955" t="s">
        <v>144</v>
      </c>
      <c r="C134" s="1999" t="s">
        <v>2385</v>
      </c>
      <c r="D134" s="1962"/>
      <c r="E134" s="2013"/>
      <c r="F134" s="2014"/>
      <c r="G134" s="1970" t="s">
        <v>637</v>
      </c>
      <c r="H134" s="1971">
        <v>2283840</v>
      </c>
      <c r="I134" s="1971">
        <v>3783840</v>
      </c>
      <c r="J134" s="1971">
        <v>3783840</v>
      </c>
      <c r="K134" s="1971">
        <v>3783840</v>
      </c>
      <c r="L134" s="1971">
        <f>+[2]ZŠ!$B$40</f>
        <v>3783840</v>
      </c>
      <c r="M134" s="1972">
        <f t="shared" si="6"/>
        <v>0</v>
      </c>
      <c r="N134" s="1971"/>
      <c r="O134" s="1971"/>
      <c r="P134" s="1971"/>
      <c r="Q134" s="1971"/>
      <c r="R134" s="1971"/>
      <c r="S134" s="1882"/>
      <c r="T134" s="1924"/>
      <c r="U134" s="1966"/>
    </row>
    <row r="135" spans="1:21" s="1967" customFormat="1" ht="12" customHeight="1" outlineLevel="1" thickBot="1" x14ac:dyDescent="0.3">
      <c r="A135" s="1942"/>
      <c r="B135" s="1949" t="s">
        <v>144</v>
      </c>
      <c r="C135" s="2020"/>
      <c r="D135" s="1977"/>
      <c r="E135" s="1993"/>
      <c r="F135" s="1994"/>
      <c r="G135" s="1978" t="s">
        <v>637</v>
      </c>
      <c r="H135" s="1995"/>
      <c r="I135" s="1995"/>
      <c r="J135" s="1995"/>
      <c r="K135" s="1995"/>
      <c r="L135" s="1995"/>
      <c r="M135" s="1996">
        <f t="shared" si="6"/>
        <v>0</v>
      </c>
      <c r="N135" s="1995"/>
      <c r="O135" s="1995"/>
      <c r="P135" s="1995"/>
      <c r="Q135" s="1995"/>
      <c r="R135" s="1995"/>
      <c r="S135" s="1882"/>
      <c r="T135" s="1924"/>
      <c r="U135" s="1966"/>
    </row>
    <row r="136" spans="1:21" ht="13.5" thickBot="1" x14ac:dyDescent="0.3">
      <c r="A136" s="3164" t="s">
        <v>204</v>
      </c>
      <c r="B136" s="3165"/>
      <c r="C136" s="1918"/>
      <c r="D136" s="1919"/>
      <c r="E136" s="1919"/>
      <c r="F136" s="1920"/>
      <c r="G136" s="1919"/>
      <c r="H136" s="1997">
        <v>2598840</v>
      </c>
      <c r="I136" s="1997">
        <v>4098840</v>
      </c>
      <c r="J136" s="1997">
        <v>4098840</v>
      </c>
      <c r="K136" s="1997">
        <v>4098840</v>
      </c>
      <c r="L136" s="1997">
        <f>SUM(L118:L135)</f>
        <v>4098840</v>
      </c>
      <c r="M136" s="1998">
        <f t="shared" si="6"/>
        <v>0</v>
      </c>
      <c r="N136" s="1997"/>
      <c r="O136" s="1997">
        <f>SUM(O118:O120)</f>
        <v>0</v>
      </c>
      <c r="P136" s="1997"/>
      <c r="Q136" s="1997"/>
      <c r="R136" s="1997"/>
      <c r="S136" s="1923">
        <f>'Výdaje kapitol celkem'!BC69</f>
        <v>4098840</v>
      </c>
      <c r="T136" s="1924">
        <f>+S136-L136</f>
        <v>0</v>
      </c>
    </row>
    <row r="137" spans="1:21" s="1967" customFormat="1" ht="12" customHeight="1" outlineLevel="1" x14ac:dyDescent="0.25">
      <c r="A137" s="1992"/>
      <c r="B137" s="1910" t="s">
        <v>1539</v>
      </c>
      <c r="C137" s="2008" t="s">
        <v>2365</v>
      </c>
      <c r="D137" s="1962"/>
      <c r="E137" s="1962"/>
      <c r="F137" s="1963"/>
      <c r="G137" s="1962" t="s">
        <v>637</v>
      </c>
      <c r="H137" s="1964">
        <v>0</v>
      </c>
      <c r="I137" s="1964">
        <v>0</v>
      </c>
      <c r="J137" s="1964">
        <v>0</v>
      </c>
      <c r="K137" s="1964">
        <v>0</v>
      </c>
      <c r="L137" s="1964">
        <f>+[4]Sv.Š!$B$47</f>
        <v>0</v>
      </c>
      <c r="M137" s="1965">
        <f t="shared" si="6"/>
        <v>0</v>
      </c>
      <c r="N137" s="1964"/>
      <c r="O137" s="1964"/>
      <c r="P137" s="1964"/>
      <c r="Q137" s="1964"/>
      <c r="R137" s="1964"/>
      <c r="S137" s="1882"/>
      <c r="T137" s="1924"/>
      <c r="U137" s="1966"/>
    </row>
    <row r="138" spans="1:21" s="1967" customFormat="1" ht="12" customHeight="1" outlineLevel="1" x14ac:dyDescent="0.25">
      <c r="A138" s="1960"/>
      <c r="B138" s="1910" t="s">
        <v>1539</v>
      </c>
      <c r="C138" s="2008" t="s">
        <v>2366</v>
      </c>
      <c r="D138" s="1962"/>
      <c r="E138" s="1962"/>
      <c r="F138" s="1963"/>
      <c r="G138" s="1962" t="s">
        <v>637</v>
      </c>
      <c r="H138" s="1964">
        <v>4145255</v>
      </c>
      <c r="I138" s="1964">
        <v>4145255</v>
      </c>
      <c r="J138" s="1964">
        <v>4145255</v>
      </c>
      <c r="K138" s="1964">
        <v>4145255</v>
      </c>
      <c r="L138" s="1964">
        <f>+[4]Sv.Š!$B$48</f>
        <v>4145255</v>
      </c>
      <c r="M138" s="1965">
        <f t="shared" si="6"/>
        <v>0</v>
      </c>
      <c r="N138" s="1964"/>
      <c r="O138" s="1964"/>
      <c r="P138" s="1964"/>
      <c r="Q138" s="1964"/>
      <c r="R138" s="1964"/>
      <c r="S138" s="1882"/>
      <c r="T138" s="1924"/>
      <c r="U138" s="1966"/>
    </row>
    <row r="139" spans="1:21" s="1967" customFormat="1" ht="12" customHeight="1" outlineLevel="1" x14ac:dyDescent="0.25">
      <c r="A139" s="1960"/>
      <c r="B139" s="1910" t="s">
        <v>1539</v>
      </c>
      <c r="C139" s="2008" t="s">
        <v>2367</v>
      </c>
      <c r="D139" s="1962"/>
      <c r="E139" s="1962"/>
      <c r="F139" s="1963"/>
      <c r="G139" s="1962" t="s">
        <v>637</v>
      </c>
      <c r="H139" s="1964">
        <v>4400000</v>
      </c>
      <c r="I139" s="1964">
        <v>2400000</v>
      </c>
      <c r="J139" s="1964">
        <v>2400000</v>
      </c>
      <c r="K139" s="1964">
        <v>4400000</v>
      </c>
      <c r="L139" s="1964">
        <f>+[5]Sv.Š!$B$14</f>
        <v>4400000</v>
      </c>
      <c r="M139" s="1965">
        <f t="shared" si="6"/>
        <v>0</v>
      </c>
      <c r="N139" s="1964"/>
      <c r="O139" s="1964"/>
      <c r="P139" s="1964"/>
      <c r="Q139" s="1964"/>
      <c r="R139" s="1964"/>
      <c r="S139" s="1882"/>
      <c r="T139" s="1924"/>
      <c r="U139" s="1966"/>
    </row>
    <row r="140" spans="1:21" s="1967" customFormat="1" ht="12" customHeight="1" outlineLevel="1" thickBot="1" x14ac:dyDescent="0.3">
      <c r="A140" s="1927" t="s">
        <v>1540</v>
      </c>
      <c r="B140" s="1949" t="s">
        <v>1539</v>
      </c>
      <c r="C140" s="1981" t="s">
        <v>2368</v>
      </c>
      <c r="D140" s="1977"/>
      <c r="E140" s="1993"/>
      <c r="F140" s="1994"/>
      <c r="G140" s="1977" t="s">
        <v>637</v>
      </c>
      <c r="H140" s="1979">
        <v>0</v>
      </c>
      <c r="I140" s="1979">
        <v>0</v>
      </c>
      <c r="J140" s="1979">
        <v>0</v>
      </c>
      <c r="K140" s="1979">
        <v>0</v>
      </c>
      <c r="L140" s="1979">
        <f>+[5]Byty!$B$5</f>
        <v>0</v>
      </c>
      <c r="M140" s="1965">
        <f t="shared" si="6"/>
        <v>0</v>
      </c>
      <c r="N140" s="1979"/>
      <c r="O140" s="1979"/>
      <c r="P140" s="1979"/>
      <c r="Q140" s="1979"/>
      <c r="R140" s="1979"/>
      <c r="S140" s="1882"/>
      <c r="T140" s="1924"/>
      <c r="U140" s="1966"/>
    </row>
    <row r="141" spans="1:21" ht="13.5" thickBot="1" x14ac:dyDescent="0.3">
      <c r="A141" s="3164" t="s">
        <v>1542</v>
      </c>
      <c r="B141" s="3165"/>
      <c r="C141" s="1918"/>
      <c r="D141" s="1919"/>
      <c r="E141" s="1919"/>
      <c r="F141" s="1920"/>
      <c r="G141" s="1919"/>
      <c r="H141" s="1921">
        <v>8545255</v>
      </c>
      <c r="I141" s="1921">
        <v>6545255</v>
      </c>
      <c r="J141" s="1921">
        <v>6545255</v>
      </c>
      <c r="K141" s="1921">
        <v>6545255</v>
      </c>
      <c r="L141" s="1921">
        <f>SUM(L137:L140)</f>
        <v>8545255</v>
      </c>
      <c r="M141" s="1922">
        <f t="shared" si="6"/>
        <v>2000000</v>
      </c>
      <c r="N141" s="1921"/>
      <c r="O141" s="1921">
        <f>SUM(O137:O140)</f>
        <v>0</v>
      </c>
      <c r="P141" s="1921"/>
      <c r="Q141" s="1921"/>
      <c r="R141" s="1921"/>
      <c r="S141" s="1923">
        <f>+'Výdaje kapitol celkem'!BF69</f>
        <v>8545255</v>
      </c>
      <c r="T141" s="1924">
        <f>+S141-L141</f>
        <v>0</v>
      </c>
    </row>
    <row r="142" spans="1:21" s="1967" customFormat="1" ht="12" customHeight="1" outlineLevel="1" x14ac:dyDescent="0.25">
      <c r="A142" s="1960"/>
      <c r="B142" s="1974" t="s">
        <v>489</v>
      </c>
      <c r="C142" s="1961"/>
      <c r="D142" s="1962"/>
      <c r="E142" s="1962"/>
      <c r="F142" s="1963"/>
      <c r="G142" s="1962" t="s">
        <v>637</v>
      </c>
      <c r="H142" s="1913">
        <v>0</v>
      </c>
      <c r="I142" s="1913">
        <v>0</v>
      </c>
      <c r="J142" s="1913">
        <v>0</v>
      </c>
      <c r="K142" s="1913">
        <v>0</v>
      </c>
      <c r="L142" s="1913">
        <f>+'[5]Č.p. 65'!$B$4</f>
        <v>0</v>
      </c>
      <c r="M142" s="1914">
        <f t="shared" si="6"/>
        <v>0</v>
      </c>
      <c r="N142" s="1913"/>
      <c r="O142" s="1913"/>
      <c r="P142" s="1913"/>
      <c r="Q142" s="1913"/>
      <c r="R142" s="1913"/>
      <c r="S142" s="1882"/>
      <c r="T142" s="1924"/>
      <c r="U142" s="1966"/>
    </row>
    <row r="143" spans="1:21" s="1967" customFormat="1" ht="12" customHeight="1" outlineLevel="1" x14ac:dyDescent="0.25">
      <c r="A143" s="1960"/>
      <c r="B143" s="1974" t="s">
        <v>489</v>
      </c>
      <c r="C143" s="1961"/>
      <c r="D143" s="1962"/>
      <c r="E143" s="1962"/>
      <c r="F143" s="1963"/>
      <c r="G143" s="1962" t="s">
        <v>637</v>
      </c>
      <c r="H143" s="1913">
        <v>0</v>
      </c>
      <c r="I143" s="1913">
        <v>0</v>
      </c>
      <c r="J143" s="1913">
        <v>0</v>
      </c>
      <c r="K143" s="1913">
        <v>0</v>
      </c>
      <c r="L143" s="1913">
        <f>+'[5]Č.p. 65'!$B$5</f>
        <v>0</v>
      </c>
      <c r="M143" s="1914">
        <f t="shared" si="6"/>
        <v>0</v>
      </c>
      <c r="N143" s="1913"/>
      <c r="O143" s="1913"/>
      <c r="P143" s="1913"/>
      <c r="Q143" s="1913"/>
      <c r="R143" s="1913"/>
      <c r="S143" s="1882"/>
      <c r="T143" s="1924"/>
      <c r="U143" s="1966"/>
    </row>
    <row r="144" spans="1:21" s="1967" customFormat="1" ht="12" customHeight="1" outlineLevel="1" thickBot="1" x14ac:dyDescent="0.3">
      <c r="A144" s="2021">
        <v>3114</v>
      </c>
      <c r="B144" s="1976" t="s">
        <v>489</v>
      </c>
      <c r="C144" s="1981"/>
      <c r="D144" s="1977"/>
      <c r="E144" s="1977"/>
      <c r="F144" s="1978"/>
      <c r="G144" s="1977" t="s">
        <v>637</v>
      </c>
      <c r="H144" s="1953">
        <v>0</v>
      </c>
      <c r="I144" s="1953">
        <v>0</v>
      </c>
      <c r="J144" s="1953">
        <v>0</v>
      </c>
      <c r="K144" s="1953">
        <v>0</v>
      </c>
      <c r="L144" s="1953">
        <f>+[3]č.p.65!$B$47</f>
        <v>0</v>
      </c>
      <c r="M144" s="1954">
        <f t="shared" si="6"/>
        <v>0</v>
      </c>
      <c r="N144" s="1953"/>
      <c r="O144" s="1953"/>
      <c r="P144" s="1953"/>
      <c r="Q144" s="1953"/>
      <c r="R144" s="1953"/>
      <c r="S144" s="1882"/>
      <c r="T144" s="1924"/>
      <c r="U144" s="1966"/>
    </row>
    <row r="145" spans="1:21" ht="13.5" thickBot="1" x14ac:dyDescent="0.3">
      <c r="A145" s="3164" t="s">
        <v>625</v>
      </c>
      <c r="B145" s="3165"/>
      <c r="C145" s="1918"/>
      <c r="D145" s="1919"/>
      <c r="E145" s="1919"/>
      <c r="F145" s="1920"/>
      <c r="G145" s="1919"/>
      <c r="H145" s="1921">
        <v>0</v>
      </c>
      <c r="I145" s="1921">
        <v>0</v>
      </c>
      <c r="J145" s="1921">
        <v>0</v>
      </c>
      <c r="K145" s="1921">
        <v>0</v>
      </c>
      <c r="L145" s="1921">
        <f>SUM(L142:L144)</f>
        <v>0</v>
      </c>
      <c r="M145" s="1922">
        <f t="shared" si="6"/>
        <v>0</v>
      </c>
      <c r="N145" s="1921"/>
      <c r="O145" s="1921">
        <f>SUM(O142:O144)</f>
        <v>0</v>
      </c>
      <c r="P145" s="1921"/>
      <c r="Q145" s="1921"/>
      <c r="R145" s="1921"/>
      <c r="S145" s="1923">
        <f>'Výdaje kapitol celkem'!BI69</f>
        <v>0</v>
      </c>
      <c r="T145" s="1924">
        <f>+S145-L145</f>
        <v>0</v>
      </c>
    </row>
    <row r="146" spans="1:21" s="1967" customFormat="1" ht="13.5" hidden="1" outlineLevel="1" thickBot="1" x14ac:dyDescent="0.3">
      <c r="A146" s="1960"/>
      <c r="B146" s="1974" t="s">
        <v>147</v>
      </c>
      <c r="C146" s="1961" t="s">
        <v>1665</v>
      </c>
      <c r="D146" s="1962"/>
      <c r="E146" s="1962"/>
      <c r="F146" s="1963"/>
      <c r="G146" s="1962" t="s">
        <v>637</v>
      </c>
      <c r="H146" s="1913"/>
      <c r="I146" s="1913"/>
      <c r="J146" s="1913"/>
      <c r="K146" s="1913"/>
      <c r="L146" s="1913"/>
      <c r="M146" s="1914">
        <f t="shared" si="6"/>
        <v>0</v>
      </c>
      <c r="N146" s="1913"/>
      <c r="O146" s="1913"/>
      <c r="P146" s="1913"/>
      <c r="Q146" s="1913"/>
      <c r="R146" s="1913"/>
      <c r="S146" s="1882"/>
      <c r="T146" s="1924"/>
      <c r="U146" s="1966"/>
    </row>
    <row r="147" spans="1:21" s="1967" customFormat="1" ht="13.5" hidden="1" outlineLevel="1" thickBot="1" x14ac:dyDescent="0.3">
      <c r="A147" s="1960"/>
      <c r="B147" s="1974" t="s">
        <v>147</v>
      </c>
      <c r="C147" s="1961" t="s">
        <v>1650</v>
      </c>
      <c r="D147" s="1962"/>
      <c r="E147" s="1962"/>
      <c r="F147" s="1963"/>
      <c r="G147" s="1962" t="s">
        <v>637</v>
      </c>
      <c r="H147" s="1913"/>
      <c r="I147" s="1913"/>
      <c r="J147" s="1913"/>
      <c r="K147" s="1913"/>
      <c r="L147" s="1913"/>
      <c r="M147" s="1914">
        <f t="shared" si="6"/>
        <v>0</v>
      </c>
      <c r="N147" s="1913"/>
      <c r="O147" s="1913"/>
      <c r="P147" s="1913"/>
      <c r="Q147" s="1913"/>
      <c r="R147" s="1913"/>
      <c r="S147" s="1882"/>
      <c r="T147" s="1924"/>
      <c r="U147" s="1966"/>
    </row>
    <row r="148" spans="1:21" s="1967" customFormat="1" ht="13.5" hidden="1" outlineLevel="1" thickBot="1" x14ac:dyDescent="0.3">
      <c r="A148" s="1960"/>
      <c r="B148" s="1974" t="s">
        <v>147</v>
      </c>
      <c r="C148" s="1961" t="s">
        <v>1666</v>
      </c>
      <c r="D148" s="1962"/>
      <c r="E148" s="1962"/>
      <c r="F148" s="1963"/>
      <c r="G148" s="1962" t="s">
        <v>637</v>
      </c>
      <c r="H148" s="1913"/>
      <c r="I148" s="1913"/>
      <c r="J148" s="1913"/>
      <c r="K148" s="1913"/>
      <c r="L148" s="1913"/>
      <c r="M148" s="1914">
        <f t="shared" si="6"/>
        <v>0</v>
      </c>
      <c r="N148" s="1913"/>
      <c r="O148" s="1913"/>
      <c r="P148" s="1913"/>
      <c r="Q148" s="1913"/>
      <c r="R148" s="1913"/>
      <c r="S148" s="1882"/>
      <c r="T148" s="1924"/>
      <c r="U148" s="1966"/>
    </row>
    <row r="149" spans="1:21" s="1967" customFormat="1" ht="13.5" hidden="1" outlineLevel="1" thickBot="1" x14ac:dyDescent="0.3">
      <c r="A149" s="1960"/>
      <c r="B149" s="1974" t="s">
        <v>147</v>
      </c>
      <c r="C149" s="1961" t="s">
        <v>1667</v>
      </c>
      <c r="D149" s="1962"/>
      <c r="E149" s="1962"/>
      <c r="F149" s="1963"/>
      <c r="G149" s="1962" t="s">
        <v>637</v>
      </c>
      <c r="H149" s="1913"/>
      <c r="I149" s="1913"/>
      <c r="J149" s="1913"/>
      <c r="K149" s="1913"/>
      <c r="L149" s="1913"/>
      <c r="M149" s="1914">
        <f t="shared" si="6"/>
        <v>0</v>
      </c>
      <c r="N149" s="1913"/>
      <c r="O149" s="1913"/>
      <c r="P149" s="1913"/>
      <c r="Q149" s="1913"/>
      <c r="R149" s="1913"/>
      <c r="S149" s="1882"/>
      <c r="T149" s="1924"/>
      <c r="U149" s="1966"/>
    </row>
    <row r="150" spans="1:21" s="1967" customFormat="1" ht="13.5" hidden="1" outlineLevel="1" thickBot="1" x14ac:dyDescent="0.3">
      <c r="A150" s="1960"/>
      <c r="B150" s="1974" t="s">
        <v>147</v>
      </c>
      <c r="C150" s="1961" t="s">
        <v>1668</v>
      </c>
      <c r="D150" s="1962"/>
      <c r="E150" s="1962"/>
      <c r="F150" s="1963"/>
      <c r="G150" s="1962" t="s">
        <v>637</v>
      </c>
      <c r="H150" s="1913"/>
      <c r="I150" s="1913"/>
      <c r="J150" s="1913"/>
      <c r="K150" s="1913"/>
      <c r="L150" s="1913"/>
      <c r="M150" s="1914">
        <f t="shared" ref="M150:M213" si="8">+L150-K150</f>
        <v>0</v>
      </c>
      <c r="N150" s="1913"/>
      <c r="O150" s="1913"/>
      <c r="P150" s="1913"/>
      <c r="Q150" s="1913"/>
      <c r="R150" s="1913"/>
      <c r="S150" s="1882"/>
      <c r="T150" s="1924"/>
      <c r="U150" s="1966"/>
    </row>
    <row r="151" spans="1:21" s="1967" customFormat="1" ht="13.5" hidden="1" outlineLevel="1" thickBot="1" x14ac:dyDescent="0.3">
      <c r="A151" s="1960"/>
      <c r="B151" s="1974" t="s">
        <v>147</v>
      </c>
      <c r="C151" s="1961" t="s">
        <v>1669</v>
      </c>
      <c r="D151" s="1962"/>
      <c r="E151" s="1962"/>
      <c r="F151" s="1963"/>
      <c r="G151" s="1962" t="s">
        <v>637</v>
      </c>
      <c r="H151" s="1913"/>
      <c r="I151" s="1913"/>
      <c r="J151" s="1913"/>
      <c r="K151" s="1913"/>
      <c r="L151" s="1913"/>
      <c r="M151" s="1914">
        <f t="shared" si="8"/>
        <v>0</v>
      </c>
      <c r="N151" s="1913"/>
      <c r="O151" s="1913"/>
      <c r="P151" s="1913"/>
      <c r="Q151" s="1913"/>
      <c r="R151" s="1913"/>
      <c r="S151" s="1882"/>
      <c r="T151" s="1924"/>
      <c r="U151" s="1966"/>
    </row>
    <row r="152" spans="1:21" s="1967" customFormat="1" ht="13.5" hidden="1" outlineLevel="1" thickBot="1" x14ac:dyDescent="0.3">
      <c r="A152" s="1960"/>
      <c r="B152" s="1973" t="s">
        <v>147</v>
      </c>
      <c r="C152" s="1968" t="s">
        <v>1670</v>
      </c>
      <c r="D152" s="1969"/>
      <c r="E152" s="2009"/>
      <c r="F152" s="2022"/>
      <c r="G152" s="1969" t="s">
        <v>637</v>
      </c>
      <c r="H152" s="2023"/>
      <c r="I152" s="2023"/>
      <c r="J152" s="2023"/>
      <c r="K152" s="2023"/>
      <c r="L152" s="2023"/>
      <c r="M152" s="2024">
        <f t="shared" si="8"/>
        <v>0</v>
      </c>
      <c r="N152" s="2023"/>
      <c r="O152" s="2023"/>
      <c r="P152" s="2023"/>
      <c r="Q152" s="2023"/>
      <c r="R152" s="2023"/>
      <c r="S152" s="1882"/>
      <c r="T152" s="1924"/>
      <c r="U152" s="1966"/>
    </row>
    <row r="153" spans="1:21" s="1967" customFormat="1" ht="13.5" hidden="1" outlineLevel="1" thickBot="1" x14ac:dyDescent="0.3">
      <c r="A153" s="1960"/>
      <c r="B153" s="1974" t="s">
        <v>147</v>
      </c>
      <c r="C153" s="1961" t="s">
        <v>1671</v>
      </c>
      <c r="D153" s="1962"/>
      <c r="E153" s="2013"/>
      <c r="F153" s="2025"/>
      <c r="G153" s="1962" t="s">
        <v>637</v>
      </c>
      <c r="H153" s="1916"/>
      <c r="I153" s="1916"/>
      <c r="J153" s="1916"/>
      <c r="K153" s="1916"/>
      <c r="L153" s="1916"/>
      <c r="M153" s="2026">
        <f t="shared" si="8"/>
        <v>0</v>
      </c>
      <c r="N153" s="1916"/>
      <c r="O153" s="1916"/>
      <c r="P153" s="1916"/>
      <c r="Q153" s="1916"/>
      <c r="R153" s="1916"/>
      <c r="S153" s="1882"/>
      <c r="T153" s="1924"/>
      <c r="U153" s="1966"/>
    </row>
    <row r="154" spans="1:21" s="1967" customFormat="1" ht="13.5" hidden="1" outlineLevel="1" thickBot="1" x14ac:dyDescent="0.3">
      <c r="A154" s="2021" t="s">
        <v>1672</v>
      </c>
      <c r="B154" s="1976" t="s">
        <v>147</v>
      </c>
      <c r="C154" s="1981" t="s">
        <v>1673</v>
      </c>
      <c r="D154" s="1977"/>
      <c r="E154" s="1993"/>
      <c r="F154" s="1994"/>
      <c r="G154" s="1977"/>
      <c r="H154" s="2027">
        <v>0</v>
      </c>
      <c r="I154" s="2027">
        <v>0</v>
      </c>
      <c r="J154" s="2027">
        <v>0</v>
      </c>
      <c r="K154" s="2027">
        <v>0</v>
      </c>
      <c r="L154" s="2027">
        <f>+'[5]MŠ Cukrovar'!$B$22</f>
        <v>0</v>
      </c>
      <c r="M154" s="2028">
        <f t="shared" si="8"/>
        <v>0</v>
      </c>
      <c r="N154" s="2027"/>
      <c r="O154" s="2027"/>
      <c r="P154" s="2027"/>
      <c r="Q154" s="2027"/>
      <c r="R154" s="2027"/>
      <c r="S154" s="1882"/>
      <c r="T154" s="1924"/>
      <c r="U154" s="1966"/>
    </row>
    <row r="155" spans="1:21" ht="13.5" collapsed="1" thickBot="1" x14ac:dyDescent="0.3">
      <c r="A155" s="3164" t="s">
        <v>626</v>
      </c>
      <c r="B155" s="3165"/>
      <c r="C155" s="1918"/>
      <c r="D155" s="1919"/>
      <c r="E155" s="1919"/>
      <c r="F155" s="1920"/>
      <c r="G155" s="1919"/>
      <c r="H155" s="1921">
        <v>0</v>
      </c>
      <c r="I155" s="1921">
        <v>0</v>
      </c>
      <c r="J155" s="1921">
        <v>0</v>
      </c>
      <c r="K155" s="1921">
        <v>0</v>
      </c>
      <c r="L155" s="1921">
        <f>SUM(L146:L154)</f>
        <v>0</v>
      </c>
      <c r="M155" s="1922">
        <f t="shared" si="8"/>
        <v>0</v>
      </c>
      <c r="N155" s="1921"/>
      <c r="O155" s="1921">
        <f t="shared" ref="O155" si="9">SUM(O146:O152)</f>
        <v>0</v>
      </c>
      <c r="P155" s="1921"/>
      <c r="Q155" s="1921"/>
      <c r="R155" s="1921"/>
      <c r="S155" s="1923">
        <f>'Výdaje kapitol celkem'!BR69</f>
        <v>0</v>
      </c>
      <c r="T155" s="1924">
        <f>+S155-L155</f>
        <v>0</v>
      </c>
    </row>
    <row r="156" spans="1:21" s="1967" customFormat="1" ht="12" hidden="1" customHeight="1" outlineLevel="1" x14ac:dyDescent="0.25">
      <c r="A156" s="1926"/>
      <c r="B156" s="1910" t="s">
        <v>1131</v>
      </c>
      <c r="C156" s="1961" t="s">
        <v>1652</v>
      </c>
      <c r="D156" s="1962"/>
      <c r="E156" s="1962"/>
      <c r="F156" s="1963"/>
      <c r="G156" s="1962" t="s">
        <v>637</v>
      </c>
      <c r="H156" s="1913">
        <v>0</v>
      </c>
      <c r="I156" s="1913">
        <v>0</v>
      </c>
      <c r="J156" s="1913">
        <v>0</v>
      </c>
      <c r="K156" s="1913">
        <v>0</v>
      </c>
      <c r="L156" s="1913">
        <f>+'[5]MŠ Pražská'!$B$4</f>
        <v>0</v>
      </c>
      <c r="M156" s="1914">
        <f t="shared" si="8"/>
        <v>0</v>
      </c>
      <c r="N156" s="1913"/>
      <c r="O156" s="1913"/>
      <c r="P156" s="1913"/>
      <c r="Q156" s="1913"/>
      <c r="R156" s="1913"/>
      <c r="S156" s="1882"/>
      <c r="T156" s="1924"/>
      <c r="U156" s="1966"/>
    </row>
    <row r="157" spans="1:21" s="1967" customFormat="1" ht="12" hidden="1" customHeight="1" outlineLevel="1" x14ac:dyDescent="0.25">
      <c r="A157" s="1926"/>
      <c r="B157" s="1910" t="s">
        <v>1131</v>
      </c>
      <c r="C157" s="1961" t="s">
        <v>2231</v>
      </c>
      <c r="D157" s="1962"/>
      <c r="E157" s="1962"/>
      <c r="F157" s="1963"/>
      <c r="G157" s="1962" t="s">
        <v>637</v>
      </c>
      <c r="H157" s="1913">
        <v>0</v>
      </c>
      <c r="I157" s="1913">
        <v>0</v>
      </c>
      <c r="J157" s="1913">
        <v>0</v>
      </c>
      <c r="K157" s="1913">
        <v>0</v>
      </c>
      <c r="L157" s="1913">
        <f>+'[5]MŠ Pražská'!$B$5</f>
        <v>0</v>
      </c>
      <c r="M157" s="1914">
        <f t="shared" si="8"/>
        <v>0</v>
      </c>
      <c r="N157" s="1913"/>
      <c r="O157" s="1913"/>
      <c r="P157" s="1913"/>
      <c r="Q157" s="1913"/>
      <c r="R157" s="1913"/>
      <c r="S157" s="1882"/>
      <c r="T157" s="1924"/>
      <c r="U157" s="1966"/>
    </row>
    <row r="158" spans="1:21" s="1967" customFormat="1" ht="12" hidden="1" customHeight="1" outlineLevel="1" thickBot="1" x14ac:dyDescent="0.3">
      <c r="A158" s="1927" t="s">
        <v>192</v>
      </c>
      <c r="B158" s="2029" t="s">
        <v>1131</v>
      </c>
      <c r="C158" s="1990"/>
      <c r="D158" s="1982"/>
      <c r="E158" s="1982"/>
      <c r="F158" s="1991"/>
      <c r="G158" s="1982"/>
      <c r="H158" s="1931"/>
      <c r="I158" s="1931"/>
      <c r="J158" s="1931"/>
      <c r="K158" s="1931"/>
      <c r="L158" s="1931"/>
      <c r="M158" s="1932">
        <f t="shared" si="8"/>
        <v>0</v>
      </c>
      <c r="N158" s="1931"/>
      <c r="O158" s="1931"/>
      <c r="P158" s="1931"/>
      <c r="Q158" s="1931"/>
      <c r="R158" s="1931"/>
      <c r="S158" s="1882"/>
      <c r="T158" s="1924"/>
      <c r="U158" s="1966"/>
    </row>
    <row r="159" spans="1:21" ht="13.5" collapsed="1" thickBot="1" x14ac:dyDescent="0.3">
      <c r="A159" s="3164" t="s">
        <v>1130</v>
      </c>
      <c r="B159" s="3165"/>
      <c r="C159" s="1918"/>
      <c r="D159" s="1919"/>
      <c r="E159" s="1919"/>
      <c r="F159" s="1920"/>
      <c r="G159" s="1919"/>
      <c r="H159" s="1921">
        <v>0</v>
      </c>
      <c r="I159" s="1921">
        <v>0</v>
      </c>
      <c r="J159" s="1921">
        <v>0</v>
      </c>
      <c r="K159" s="1921">
        <v>0</v>
      </c>
      <c r="L159" s="1921">
        <f>SUM(L156:L158)</f>
        <v>0</v>
      </c>
      <c r="M159" s="1922">
        <f t="shared" si="8"/>
        <v>0</v>
      </c>
      <c r="N159" s="1921"/>
      <c r="O159" s="1921">
        <f>SUM(O156:O158)</f>
        <v>0</v>
      </c>
      <c r="P159" s="1921"/>
      <c r="Q159" s="1921"/>
      <c r="R159" s="1921"/>
      <c r="S159" s="1923">
        <f>'Výdaje kapitol celkem'!BO58</f>
        <v>0</v>
      </c>
      <c r="T159" s="1924">
        <f>+S159-L159</f>
        <v>0</v>
      </c>
    </row>
    <row r="160" spans="1:21" s="1967" customFormat="1" ht="12" hidden="1" customHeight="1" outlineLevel="1" x14ac:dyDescent="0.25">
      <c r="A160" s="1926"/>
      <c r="B160" s="1910" t="s">
        <v>260</v>
      </c>
      <c r="C160" s="1961" t="s">
        <v>2234</v>
      </c>
      <c r="D160" s="1962"/>
      <c r="E160" s="1962"/>
      <c r="F160" s="1963"/>
      <c r="G160" s="1962" t="s">
        <v>637</v>
      </c>
      <c r="H160" s="1913">
        <v>0</v>
      </c>
      <c r="I160" s="1913">
        <v>0</v>
      </c>
      <c r="J160" s="1913">
        <v>0</v>
      </c>
      <c r="K160" s="1913">
        <v>0</v>
      </c>
      <c r="L160" s="1913">
        <f>+'[5]Jídelna ZŠ'!$B$3</f>
        <v>0</v>
      </c>
      <c r="M160" s="1914">
        <f t="shared" si="8"/>
        <v>0</v>
      </c>
      <c r="N160" s="1913"/>
      <c r="O160" s="1913"/>
      <c r="P160" s="1913"/>
      <c r="Q160" s="1913"/>
      <c r="R160" s="1913"/>
      <c r="S160" s="1882"/>
      <c r="T160" s="1924"/>
      <c r="U160" s="1966"/>
    </row>
    <row r="161" spans="1:21" s="1967" customFormat="1" ht="12" hidden="1" customHeight="1" outlineLevel="1" x14ac:dyDescent="0.25">
      <c r="A161" s="1926"/>
      <c r="B161" s="1910" t="s">
        <v>260</v>
      </c>
      <c r="C161" s="1961" t="s">
        <v>2235</v>
      </c>
      <c r="D161" s="1962"/>
      <c r="E161" s="1962"/>
      <c r="F161" s="1963"/>
      <c r="G161" s="1962" t="s">
        <v>637</v>
      </c>
      <c r="H161" s="1913">
        <v>0</v>
      </c>
      <c r="I161" s="1913">
        <v>0</v>
      </c>
      <c r="J161" s="1913">
        <v>0</v>
      </c>
      <c r="K161" s="1913">
        <v>0</v>
      </c>
      <c r="L161" s="1913">
        <f>+'[5]Jídelna ZŠ'!$B$4</f>
        <v>0</v>
      </c>
      <c r="M161" s="1914">
        <f t="shared" si="8"/>
        <v>0</v>
      </c>
      <c r="N161" s="1913"/>
      <c r="O161" s="1913"/>
      <c r="P161" s="1913"/>
      <c r="Q161" s="1913"/>
      <c r="R161" s="1913"/>
      <c r="S161" s="1882"/>
      <c r="T161" s="1924"/>
      <c r="U161" s="1966"/>
    </row>
    <row r="162" spans="1:21" s="1967" customFormat="1" ht="12" hidden="1" customHeight="1" outlineLevel="1" x14ac:dyDescent="0.25">
      <c r="A162" s="1926"/>
      <c r="B162" s="1955" t="s">
        <v>260</v>
      </c>
      <c r="C162" s="1968" t="s">
        <v>1671</v>
      </c>
      <c r="D162" s="1969"/>
      <c r="E162" s="1969"/>
      <c r="F162" s="1970"/>
      <c r="G162" s="1969" t="s">
        <v>637</v>
      </c>
      <c r="H162" s="1959">
        <v>0</v>
      </c>
      <c r="I162" s="1959">
        <v>0</v>
      </c>
      <c r="J162" s="1959">
        <v>0</v>
      </c>
      <c r="K162" s="1959">
        <v>0</v>
      </c>
      <c r="L162" s="1959">
        <f>+'[5]Jídelna ZŠ'!$B$14</f>
        <v>0</v>
      </c>
      <c r="M162" s="2030">
        <f t="shared" si="8"/>
        <v>0</v>
      </c>
      <c r="N162" s="1959"/>
      <c r="O162" s="1959"/>
      <c r="P162" s="1959"/>
      <c r="Q162" s="1959"/>
      <c r="R162" s="1959"/>
      <c r="S162" s="1882"/>
      <c r="T162" s="1924"/>
      <c r="U162" s="1966"/>
    </row>
    <row r="163" spans="1:21" s="1967" customFormat="1" ht="12" hidden="1" customHeight="1" outlineLevel="1" x14ac:dyDescent="0.25">
      <c r="A163" s="1926"/>
      <c r="B163" s="2001" t="s">
        <v>260</v>
      </c>
      <c r="C163" s="2031" t="s">
        <v>1673</v>
      </c>
      <c r="D163" s="2003"/>
      <c r="E163" s="2003"/>
      <c r="F163" s="2006"/>
      <c r="G163" s="2003" t="s">
        <v>637</v>
      </c>
      <c r="H163" s="2032">
        <v>0</v>
      </c>
      <c r="I163" s="2032">
        <v>0</v>
      </c>
      <c r="J163" s="2032">
        <v>0</v>
      </c>
      <c r="K163" s="2032">
        <v>0</v>
      </c>
      <c r="L163" s="2032">
        <f>+'[5]Jídelna ZŠ'!$B$15</f>
        <v>0</v>
      </c>
      <c r="M163" s="2033">
        <f t="shared" si="8"/>
        <v>0</v>
      </c>
      <c r="N163" s="2032"/>
      <c r="O163" s="2032"/>
      <c r="P163" s="2032"/>
      <c r="Q163" s="2032"/>
      <c r="R163" s="2032"/>
      <c r="S163" s="1882"/>
      <c r="T163" s="1924"/>
      <c r="U163" s="1966"/>
    </row>
    <row r="164" spans="1:21" s="1967" customFormat="1" ht="12" hidden="1" customHeight="1" outlineLevel="1" x14ac:dyDescent="0.25">
      <c r="A164" s="1926"/>
      <c r="B164" s="1955" t="s">
        <v>260</v>
      </c>
      <c r="C164" s="1968" t="s">
        <v>2236</v>
      </c>
      <c r="D164" s="1969"/>
      <c r="E164" s="1969"/>
      <c r="F164" s="1970"/>
      <c r="G164" s="1969" t="s">
        <v>637</v>
      </c>
      <c r="H164" s="1959">
        <v>0</v>
      </c>
      <c r="I164" s="1959">
        <v>0</v>
      </c>
      <c r="J164" s="1959">
        <v>0</v>
      </c>
      <c r="K164" s="1959">
        <v>0</v>
      </c>
      <c r="L164" s="1959">
        <f>+'[5]Jídelna ZŠ'!$B$25</f>
        <v>0</v>
      </c>
      <c r="M164" s="2030">
        <f t="shared" si="8"/>
        <v>0</v>
      </c>
      <c r="N164" s="1959"/>
      <c r="O164" s="1959"/>
      <c r="P164" s="1959"/>
      <c r="Q164" s="1959"/>
      <c r="R164" s="1959"/>
      <c r="S164" s="1882"/>
      <c r="T164" s="1924"/>
      <c r="U164" s="1966"/>
    </row>
    <row r="165" spans="1:21" s="1967" customFormat="1" ht="12" hidden="1" customHeight="1" outlineLevel="1" thickBot="1" x14ac:dyDescent="0.3">
      <c r="A165" s="1927" t="s">
        <v>619</v>
      </c>
      <c r="B165" s="1949" t="s">
        <v>260</v>
      </c>
      <c r="C165" s="1981" t="s">
        <v>2237</v>
      </c>
      <c r="D165" s="1977"/>
      <c r="E165" s="1977"/>
      <c r="F165" s="1978"/>
      <c r="G165" s="1977" t="s">
        <v>637</v>
      </c>
      <c r="H165" s="1953">
        <v>0</v>
      </c>
      <c r="I165" s="1953">
        <v>0</v>
      </c>
      <c r="J165" s="1953">
        <v>0</v>
      </c>
      <c r="K165" s="1953">
        <v>0</v>
      </c>
      <c r="L165" s="1953">
        <f>+'[5]Jídelna ZŠ'!$B$26</f>
        <v>0</v>
      </c>
      <c r="M165" s="1954">
        <f t="shared" si="8"/>
        <v>0</v>
      </c>
      <c r="N165" s="1953"/>
      <c r="O165" s="1953"/>
      <c r="P165" s="1953"/>
      <c r="Q165" s="1953"/>
      <c r="R165" s="1953"/>
      <c r="S165" s="1882"/>
      <c r="T165" s="1924"/>
      <c r="U165" s="1966"/>
    </row>
    <row r="166" spans="1:21" ht="13.5" collapsed="1" thickBot="1" x14ac:dyDescent="0.3">
      <c r="A166" s="3164" t="s">
        <v>627</v>
      </c>
      <c r="B166" s="3165"/>
      <c r="C166" s="1918"/>
      <c r="D166" s="1919"/>
      <c r="E166" s="1919"/>
      <c r="F166" s="1920"/>
      <c r="G166" s="1919"/>
      <c r="H166" s="1921">
        <v>0</v>
      </c>
      <c r="I166" s="1921">
        <v>0</v>
      </c>
      <c r="J166" s="1921">
        <v>0</v>
      </c>
      <c r="K166" s="1921">
        <v>0</v>
      </c>
      <c r="L166" s="1921">
        <f>SUM(L160:L165)</f>
        <v>0</v>
      </c>
      <c r="M166" s="1922">
        <f t="shared" si="8"/>
        <v>0</v>
      </c>
      <c r="N166" s="1921"/>
      <c r="O166" s="1921">
        <f>SUM(O160:O165)</f>
        <v>0</v>
      </c>
      <c r="P166" s="1921"/>
      <c r="Q166" s="1921"/>
      <c r="R166" s="1921"/>
      <c r="S166" s="1923">
        <f>'Výdaje kapitol celkem'!BU69</f>
        <v>0</v>
      </c>
      <c r="T166" s="1924">
        <f>+S166-L166</f>
        <v>0</v>
      </c>
    </row>
    <row r="167" spans="1:21" s="1967" customFormat="1" ht="12" customHeight="1" outlineLevel="1" x14ac:dyDescent="0.25">
      <c r="A167" s="1926"/>
      <c r="B167" s="2034" t="s">
        <v>490</v>
      </c>
      <c r="C167" s="2035" t="s">
        <v>1650</v>
      </c>
      <c r="D167" s="2017"/>
      <c r="E167" s="2017"/>
      <c r="F167" s="2036"/>
      <c r="G167" s="2017" t="s">
        <v>1963</v>
      </c>
      <c r="H167" s="2037">
        <v>30398511.57</v>
      </c>
      <c r="I167" s="2037">
        <v>30398511.57</v>
      </c>
      <c r="J167" s="2037">
        <v>30398511.57</v>
      </c>
      <c r="K167" s="2037">
        <v>30398511.57</v>
      </c>
      <c r="L167" s="2037">
        <f>+'[5]MŠ Cukrovar'!$C$18</f>
        <v>0</v>
      </c>
      <c r="M167" s="2038">
        <f t="shared" si="8"/>
        <v>-30398511.57</v>
      </c>
      <c r="N167" s="2037"/>
      <c r="O167" s="2037"/>
      <c r="P167" s="2037"/>
      <c r="Q167" s="2037"/>
      <c r="R167" s="2037" t="s">
        <v>2407</v>
      </c>
      <c r="S167" s="1882"/>
      <c r="T167" s="1924"/>
      <c r="U167" s="1966"/>
    </row>
    <row r="168" spans="1:21" s="1967" customFormat="1" ht="12" customHeight="1" outlineLevel="1" x14ac:dyDescent="0.25">
      <c r="A168" s="1926"/>
      <c r="B168" s="1955" t="s">
        <v>490</v>
      </c>
      <c r="C168" s="1968" t="s">
        <v>1650</v>
      </c>
      <c r="D168" s="1969"/>
      <c r="E168" s="1969"/>
      <c r="F168" s="1970"/>
      <c r="G168" s="1969" t="s">
        <v>637</v>
      </c>
      <c r="H168" s="1959">
        <v>3931488</v>
      </c>
      <c r="I168" s="1959">
        <v>3931488</v>
      </c>
      <c r="J168" s="1959">
        <v>3931488</v>
      </c>
      <c r="K168" s="1959">
        <v>3931488</v>
      </c>
      <c r="L168" s="1959">
        <f>+'[5]MŠ Cukrovar'!$D$18</f>
        <v>130000</v>
      </c>
      <c r="M168" s="2030">
        <f t="shared" si="8"/>
        <v>-3801488</v>
      </c>
      <c r="N168" s="1959"/>
      <c r="O168" s="1959"/>
      <c r="P168" s="1959"/>
      <c r="Q168" s="1959"/>
      <c r="R168" s="1959" t="s">
        <v>2943</v>
      </c>
      <c r="S168" s="1882"/>
      <c r="T168" s="1924"/>
      <c r="U168" s="1966"/>
    </row>
    <row r="169" spans="1:21" s="1967" customFormat="1" ht="12" customHeight="1" outlineLevel="1" x14ac:dyDescent="0.25">
      <c r="A169" s="1926"/>
      <c r="B169" s="1955" t="s">
        <v>490</v>
      </c>
      <c r="C169" s="1968" t="s">
        <v>1665</v>
      </c>
      <c r="D169" s="1969"/>
      <c r="E169" s="1969"/>
      <c r="F169" s="1970"/>
      <c r="G169" s="1969" t="s">
        <v>637</v>
      </c>
      <c r="H169" s="1959">
        <v>300000</v>
      </c>
      <c r="I169" s="1959">
        <v>300000</v>
      </c>
      <c r="J169" s="1959">
        <v>300000</v>
      </c>
      <c r="K169" s="1959">
        <v>300000</v>
      </c>
      <c r="L169" s="1959">
        <f>+'[5]MŠ Cukrovar'!$B$5</f>
        <v>300000</v>
      </c>
      <c r="M169" s="2030">
        <f t="shared" si="8"/>
        <v>0</v>
      </c>
      <c r="N169" s="1959"/>
      <c r="O169" s="1959"/>
      <c r="P169" s="1959"/>
      <c r="Q169" s="1959"/>
      <c r="R169" s="1959"/>
      <c r="S169" s="1882"/>
      <c r="T169" s="1924"/>
      <c r="U169" s="1966"/>
    </row>
    <row r="170" spans="1:21" s="1967" customFormat="1" ht="12" customHeight="1" outlineLevel="1" x14ac:dyDescent="0.25">
      <c r="A170" s="1926"/>
      <c r="B170" s="1955" t="s">
        <v>490</v>
      </c>
      <c r="C170" s="1968" t="s">
        <v>1984</v>
      </c>
      <c r="D170" s="1969"/>
      <c r="E170" s="1969"/>
      <c r="F170" s="1970"/>
      <c r="G170" s="1969" t="s">
        <v>637</v>
      </c>
      <c r="H170" s="1959">
        <v>250000</v>
      </c>
      <c r="I170" s="1959">
        <v>250000</v>
      </c>
      <c r="J170" s="1959">
        <v>250000</v>
      </c>
      <c r="K170" s="1959">
        <v>250000</v>
      </c>
      <c r="L170" s="1959">
        <f>+'[5]MŠ Cukrovar'!$B$21</f>
        <v>0</v>
      </c>
      <c r="M170" s="2030">
        <f t="shared" si="8"/>
        <v>-250000</v>
      </c>
      <c r="N170" s="1959"/>
      <c r="O170" s="1959"/>
      <c r="P170" s="1959"/>
      <c r="Q170" s="1959"/>
      <c r="R170" s="1959"/>
      <c r="S170" s="1882"/>
      <c r="T170" s="1924"/>
      <c r="U170" s="1966"/>
    </row>
    <row r="171" spans="1:21" s="1967" customFormat="1" ht="15" customHeight="1" outlineLevel="1" thickBot="1" x14ac:dyDescent="0.3">
      <c r="A171" s="1927" t="s">
        <v>620</v>
      </c>
      <c r="B171" s="2039" t="s">
        <v>490</v>
      </c>
      <c r="C171" s="2040"/>
      <c r="D171" s="2041"/>
      <c r="E171" s="2041"/>
      <c r="F171" s="2042"/>
      <c r="G171" s="2043" t="s">
        <v>637</v>
      </c>
      <c r="H171" s="2044"/>
      <c r="I171" s="2044"/>
      <c r="J171" s="2044"/>
      <c r="K171" s="2044"/>
      <c r="L171" s="2044"/>
      <c r="M171" s="2045">
        <f t="shared" si="8"/>
        <v>0</v>
      </c>
      <c r="N171" s="2044"/>
      <c r="O171" s="2044"/>
      <c r="P171" s="2044"/>
      <c r="Q171" s="2044"/>
      <c r="R171" s="2044"/>
      <c r="S171" s="1882"/>
      <c r="T171" s="1924"/>
      <c r="U171" s="1966"/>
    </row>
    <row r="172" spans="1:21" ht="13.5" thickBot="1" x14ac:dyDescent="0.3">
      <c r="A172" s="3164" t="s">
        <v>628</v>
      </c>
      <c r="B172" s="3165"/>
      <c r="C172" s="1918"/>
      <c r="D172" s="1919"/>
      <c r="E172" s="1919"/>
      <c r="F172" s="1920"/>
      <c r="G172" s="1919"/>
      <c r="H172" s="1921">
        <v>34880000</v>
      </c>
      <c r="I172" s="1921">
        <v>34880000</v>
      </c>
      <c r="J172" s="1921">
        <v>34880000</v>
      </c>
      <c r="K172" s="1921">
        <v>34879999.57</v>
      </c>
      <c r="L172" s="1921">
        <f>SUM(L167:L171)</f>
        <v>430000</v>
      </c>
      <c r="M172" s="1922">
        <f t="shared" si="8"/>
        <v>-34449999.57</v>
      </c>
      <c r="N172" s="1921"/>
      <c r="O172" s="1921">
        <f>SUM(O167:O171)</f>
        <v>0</v>
      </c>
      <c r="P172" s="1921"/>
      <c r="Q172" s="1921"/>
      <c r="R172" s="1921"/>
      <c r="S172" s="1923">
        <f>'Výdaje kapitol celkem'!BY69</f>
        <v>430000</v>
      </c>
      <c r="T172" s="1924">
        <f>+S172-L172</f>
        <v>0</v>
      </c>
    </row>
    <row r="173" spans="1:21" s="1967" customFormat="1" ht="12" customHeight="1" outlineLevel="1" x14ac:dyDescent="0.25">
      <c r="A173" s="1960"/>
      <c r="B173" s="1901" t="s">
        <v>151</v>
      </c>
      <c r="C173" s="1961" t="s">
        <v>1704</v>
      </c>
      <c r="D173" s="1962"/>
      <c r="E173" s="2013"/>
      <c r="F173" s="2025"/>
      <c r="G173" s="1962" t="s">
        <v>637</v>
      </c>
      <c r="H173" s="1913">
        <v>351000</v>
      </c>
      <c r="I173" s="1913">
        <v>351000</v>
      </c>
      <c r="J173" s="1913">
        <v>351000</v>
      </c>
      <c r="K173" s="1913">
        <v>351000</v>
      </c>
      <c r="L173" s="1913">
        <f>+[4]VO!$B$38</f>
        <v>351000</v>
      </c>
      <c r="M173" s="1914">
        <f t="shared" si="8"/>
        <v>0</v>
      </c>
      <c r="N173" s="1913"/>
      <c r="O173" s="1913"/>
      <c r="P173" s="1913"/>
      <c r="Q173" s="1913"/>
      <c r="R173" s="1913"/>
      <c r="S173" s="1882"/>
      <c r="T173" s="1924"/>
      <c r="U173" s="1966"/>
    </row>
    <row r="174" spans="1:21" s="1967" customFormat="1" ht="12" customHeight="1" outlineLevel="1" x14ac:dyDescent="0.25">
      <c r="A174" s="1960"/>
      <c r="B174" s="1910" t="s">
        <v>151</v>
      </c>
      <c r="C174" s="1961" t="s">
        <v>1705</v>
      </c>
      <c r="D174" s="1962"/>
      <c r="E174" s="1962"/>
      <c r="F174" s="1963"/>
      <c r="G174" s="1962" t="s">
        <v>637</v>
      </c>
      <c r="H174" s="1913">
        <v>181000</v>
      </c>
      <c r="I174" s="1913">
        <v>181000</v>
      </c>
      <c r="J174" s="1913">
        <v>181000</v>
      </c>
      <c r="K174" s="1913">
        <v>181000</v>
      </c>
      <c r="L174" s="1913">
        <f>+[4]VO!$B$40</f>
        <v>181000</v>
      </c>
      <c r="M174" s="1914">
        <f t="shared" si="8"/>
        <v>0</v>
      </c>
      <c r="N174" s="1913"/>
      <c r="O174" s="1913"/>
      <c r="P174" s="1913"/>
      <c r="Q174" s="1913"/>
      <c r="R174" s="1913"/>
      <c r="S174" s="1882"/>
      <c r="T174" s="1924"/>
      <c r="U174" s="1966"/>
    </row>
    <row r="175" spans="1:21" s="1967" customFormat="1" ht="12" customHeight="1" outlineLevel="1" x14ac:dyDescent="0.25">
      <c r="A175" s="1960"/>
      <c r="B175" s="1955" t="s">
        <v>151</v>
      </c>
      <c r="C175" s="1968" t="s">
        <v>1706</v>
      </c>
      <c r="D175" s="1969"/>
      <c r="E175" s="1969"/>
      <c r="F175" s="1970"/>
      <c r="G175" s="1969" t="s">
        <v>637</v>
      </c>
      <c r="H175" s="1959">
        <v>60000</v>
      </c>
      <c r="I175" s="1959">
        <v>60000</v>
      </c>
      <c r="J175" s="1959">
        <v>60000</v>
      </c>
      <c r="K175" s="1959">
        <v>60000</v>
      </c>
      <c r="L175" s="1959">
        <f>+[4]VO!$B$42</f>
        <v>60000</v>
      </c>
      <c r="M175" s="2030">
        <f t="shared" si="8"/>
        <v>0</v>
      </c>
      <c r="N175" s="1959"/>
      <c r="O175" s="1959"/>
      <c r="P175" s="1959"/>
      <c r="Q175" s="1959"/>
      <c r="R175" s="1959"/>
      <c r="S175" s="1882"/>
      <c r="T175" s="1924"/>
      <c r="U175" s="1966"/>
    </row>
    <row r="176" spans="1:21" s="1967" customFormat="1" ht="12" customHeight="1" outlineLevel="1" thickBot="1" x14ac:dyDescent="0.3">
      <c r="A176" s="2021">
        <v>3631</v>
      </c>
      <c r="B176" s="1955" t="s">
        <v>151</v>
      </c>
      <c r="C176" s="1968"/>
      <c r="D176" s="1969"/>
      <c r="E176" s="1969"/>
      <c r="F176" s="1970"/>
      <c r="G176" s="1969" t="s">
        <v>637</v>
      </c>
      <c r="H176" s="1959"/>
      <c r="I176" s="1959"/>
      <c r="J176" s="1959"/>
      <c r="K176" s="1959"/>
      <c r="L176" s="1959"/>
      <c r="M176" s="2030">
        <f t="shared" si="8"/>
        <v>0</v>
      </c>
      <c r="N176" s="1959"/>
      <c r="O176" s="1959"/>
      <c r="P176" s="1959"/>
      <c r="Q176" s="1959"/>
      <c r="R176" s="1959"/>
      <c r="S176" s="1882"/>
      <c r="T176" s="1924"/>
      <c r="U176" s="1966"/>
    </row>
    <row r="177" spans="1:20" ht="13.5" thickBot="1" x14ac:dyDescent="0.3">
      <c r="A177" s="3164" t="s">
        <v>629</v>
      </c>
      <c r="B177" s="3165"/>
      <c r="C177" s="1918"/>
      <c r="D177" s="1919"/>
      <c r="E177" s="1919"/>
      <c r="F177" s="1920"/>
      <c r="G177" s="1919"/>
      <c r="H177" s="1921">
        <v>592000</v>
      </c>
      <c r="I177" s="1921">
        <v>592000</v>
      </c>
      <c r="J177" s="1921">
        <v>592000</v>
      </c>
      <c r="K177" s="1921">
        <v>592000</v>
      </c>
      <c r="L177" s="1921">
        <f>SUM(L173:L176)</f>
        <v>592000</v>
      </c>
      <c r="M177" s="1922">
        <f t="shared" si="8"/>
        <v>0</v>
      </c>
      <c r="N177" s="1921"/>
      <c r="O177" s="1921">
        <f>SUM(O173:O176)</f>
        <v>0</v>
      </c>
      <c r="P177" s="1921"/>
      <c r="Q177" s="1921"/>
      <c r="R177" s="1921"/>
      <c r="S177" s="1923">
        <f>'Výdaje kapitol celkem'!CC69</f>
        <v>592000</v>
      </c>
      <c r="T177" s="1924">
        <f>+S177-L177</f>
        <v>0</v>
      </c>
    </row>
    <row r="178" spans="1:20" ht="12" hidden="1" customHeight="1" outlineLevel="1" x14ac:dyDescent="0.25">
      <c r="A178" s="1960"/>
      <c r="B178" s="1955" t="s">
        <v>152</v>
      </c>
      <c r="C178" s="2046" t="s">
        <v>1606</v>
      </c>
      <c r="D178" s="2047"/>
      <c r="E178" s="2047"/>
      <c r="F178" s="2048"/>
      <c r="G178" s="2047" t="s">
        <v>637</v>
      </c>
      <c r="H178" s="1959">
        <v>0</v>
      </c>
      <c r="I178" s="1959">
        <v>0</v>
      </c>
      <c r="J178" s="1959">
        <v>0</v>
      </c>
      <c r="K178" s="1959">
        <v>0</v>
      </c>
      <c r="L178" s="1959">
        <f>+'[5]Silnice stavba'!$B$9</f>
        <v>0</v>
      </c>
      <c r="M178" s="2030">
        <f t="shared" si="8"/>
        <v>0</v>
      </c>
      <c r="N178" s="1959"/>
      <c r="O178" s="1959"/>
      <c r="P178" s="1959"/>
      <c r="Q178" s="1959"/>
      <c r="R178" s="1959"/>
      <c r="S178" s="1882"/>
      <c r="T178" s="1924"/>
    </row>
    <row r="179" spans="1:20" ht="12" hidden="1" customHeight="1" outlineLevel="1" x14ac:dyDescent="0.25">
      <c r="A179" s="1960"/>
      <c r="B179" s="1955" t="s">
        <v>152</v>
      </c>
      <c r="C179" s="2046" t="s">
        <v>1607</v>
      </c>
      <c r="D179" s="2047"/>
      <c r="E179" s="2049"/>
      <c r="F179" s="2050"/>
      <c r="G179" s="2047" t="s">
        <v>637</v>
      </c>
      <c r="H179" s="1959">
        <v>0</v>
      </c>
      <c r="I179" s="1959">
        <v>0</v>
      </c>
      <c r="J179" s="1959">
        <v>0</v>
      </c>
      <c r="K179" s="1959">
        <v>0</v>
      </c>
      <c r="L179" s="1959">
        <f>+'[5]Silnice stavba'!$B$21</f>
        <v>0</v>
      </c>
      <c r="M179" s="2030">
        <f t="shared" si="8"/>
        <v>0</v>
      </c>
      <c r="N179" s="1959"/>
      <c r="O179" s="1959">
        <v>0</v>
      </c>
      <c r="P179" s="1959"/>
      <c r="Q179" s="1959"/>
      <c r="R179" s="1959"/>
      <c r="S179" s="1882"/>
      <c r="T179" s="1924"/>
    </row>
    <row r="180" spans="1:20" ht="12" hidden="1" customHeight="1" outlineLevel="1" x14ac:dyDescent="0.25">
      <c r="A180" s="1960"/>
      <c r="B180" s="1955" t="s">
        <v>152</v>
      </c>
      <c r="C180" s="2046" t="s">
        <v>1608</v>
      </c>
      <c r="D180" s="2047"/>
      <c r="E180" s="2049"/>
      <c r="F180" s="2050"/>
      <c r="G180" s="2047" t="s">
        <v>637</v>
      </c>
      <c r="H180" s="1959">
        <v>0</v>
      </c>
      <c r="I180" s="1959">
        <v>0</v>
      </c>
      <c r="J180" s="1959">
        <v>0</v>
      </c>
      <c r="K180" s="1959">
        <v>0</v>
      </c>
      <c r="L180" s="1959">
        <f>+'[5]Silnice stavba'!$B$30</f>
        <v>0</v>
      </c>
      <c r="M180" s="2030">
        <f t="shared" si="8"/>
        <v>0</v>
      </c>
      <c r="N180" s="1959"/>
      <c r="O180" s="1959"/>
      <c r="P180" s="1959"/>
      <c r="Q180" s="1959"/>
      <c r="R180" s="1959"/>
      <c r="S180" s="1882"/>
      <c r="T180" s="1924"/>
    </row>
    <row r="181" spans="1:20" ht="12" customHeight="1" outlineLevel="1" x14ac:dyDescent="0.25">
      <c r="A181" s="1960"/>
      <c r="B181" s="1955" t="s">
        <v>152</v>
      </c>
      <c r="C181" s="2046" t="s">
        <v>1609</v>
      </c>
      <c r="D181" s="2047"/>
      <c r="E181" s="2047"/>
      <c r="F181" s="2048"/>
      <c r="G181" s="2047" t="s">
        <v>637</v>
      </c>
      <c r="H181" s="1959">
        <v>80000</v>
      </c>
      <c r="I181" s="1959">
        <v>80000</v>
      </c>
      <c r="J181" s="1959">
        <v>80000</v>
      </c>
      <c r="K181" s="1959">
        <v>80000</v>
      </c>
      <c r="L181" s="1959">
        <f>+'[5]Silnice stavba'!$B$33</f>
        <v>80000</v>
      </c>
      <c r="M181" s="2030">
        <f t="shared" si="8"/>
        <v>0</v>
      </c>
      <c r="N181" s="1959"/>
      <c r="O181" s="1959"/>
      <c r="P181" s="1959"/>
      <c r="Q181" s="1959"/>
      <c r="R181" s="1959"/>
      <c r="S181" s="1882"/>
      <c r="T181" s="1924"/>
    </row>
    <row r="182" spans="1:20" ht="12" hidden="1" customHeight="1" outlineLevel="1" x14ac:dyDescent="0.25">
      <c r="A182" s="1960"/>
      <c r="B182" s="1955" t="s">
        <v>152</v>
      </c>
      <c r="C182" s="2046" t="s">
        <v>1610</v>
      </c>
      <c r="D182" s="2047"/>
      <c r="E182" s="2047"/>
      <c r="F182" s="2048"/>
      <c r="G182" s="2047" t="s">
        <v>637</v>
      </c>
      <c r="H182" s="1959">
        <v>0</v>
      </c>
      <c r="I182" s="1959">
        <v>0</v>
      </c>
      <c r="J182" s="1959">
        <v>0</v>
      </c>
      <c r="K182" s="1959">
        <v>0</v>
      </c>
      <c r="L182" s="1959">
        <f>+'[5]Silnice stavba'!$B$34</f>
        <v>0</v>
      </c>
      <c r="M182" s="2030">
        <f t="shared" si="8"/>
        <v>0</v>
      </c>
      <c r="N182" s="1959"/>
      <c r="O182" s="1959"/>
      <c r="P182" s="1959"/>
      <c r="Q182" s="1959"/>
      <c r="R182" s="1959"/>
      <c r="S182" s="1882"/>
      <c r="T182" s="1924"/>
    </row>
    <row r="183" spans="1:20" ht="12" hidden="1" customHeight="1" outlineLevel="1" x14ac:dyDescent="0.25">
      <c r="A183" s="1960"/>
      <c r="B183" s="1955" t="s">
        <v>152</v>
      </c>
      <c r="C183" s="2046" t="s">
        <v>2226</v>
      </c>
      <c r="D183" s="2047"/>
      <c r="E183" s="2047"/>
      <c r="F183" s="2048"/>
      <c r="G183" s="2047" t="s">
        <v>637</v>
      </c>
      <c r="H183" s="1959">
        <v>0</v>
      </c>
      <c r="I183" s="1959">
        <v>0</v>
      </c>
      <c r="J183" s="1959">
        <v>0</v>
      </c>
      <c r="K183" s="1959">
        <v>0</v>
      </c>
      <c r="L183" s="1959">
        <f>+'[5]Silnice stavba'!$B$47</f>
        <v>0</v>
      </c>
      <c r="M183" s="2030">
        <f t="shared" si="8"/>
        <v>0</v>
      </c>
      <c r="N183" s="1959"/>
      <c r="O183" s="1959"/>
      <c r="P183" s="1959"/>
      <c r="Q183" s="1959"/>
      <c r="R183" s="1959"/>
      <c r="S183" s="1882"/>
      <c r="T183" s="1924"/>
    </row>
    <row r="184" spans="1:20" ht="12" customHeight="1" outlineLevel="1" x14ac:dyDescent="0.25">
      <c r="A184" s="1960"/>
      <c r="B184" s="1955" t="s">
        <v>152</v>
      </c>
      <c r="C184" s="2046" t="s">
        <v>2227</v>
      </c>
      <c r="D184" s="2047"/>
      <c r="E184" s="2047"/>
      <c r="F184" s="2048"/>
      <c r="G184" s="1962" t="s">
        <v>637</v>
      </c>
      <c r="H184" s="1959">
        <v>400000</v>
      </c>
      <c r="I184" s="1959">
        <v>400000</v>
      </c>
      <c r="J184" s="1959">
        <v>400000</v>
      </c>
      <c r="K184" s="1959">
        <v>400000</v>
      </c>
      <c r="L184" s="1959">
        <f>+'[5]Silnice stavba'!$B$48</f>
        <v>400000</v>
      </c>
      <c r="M184" s="2030">
        <f t="shared" si="8"/>
        <v>0</v>
      </c>
      <c r="N184" s="1959"/>
      <c r="O184" s="1959"/>
      <c r="P184" s="1959"/>
      <c r="Q184" s="1959"/>
      <c r="R184" s="1959"/>
      <c r="S184" s="1882"/>
      <c r="T184" s="1924"/>
    </row>
    <row r="185" spans="1:20" ht="12" customHeight="1" outlineLevel="1" x14ac:dyDescent="0.25">
      <c r="A185" s="1960"/>
      <c r="B185" s="1955" t="s">
        <v>152</v>
      </c>
      <c r="C185" s="2046" t="s">
        <v>1611</v>
      </c>
      <c r="D185" s="2047"/>
      <c r="E185" s="2047"/>
      <c r="F185" s="2048"/>
      <c r="G185" s="1962" t="s">
        <v>637</v>
      </c>
      <c r="H185" s="1959">
        <v>0</v>
      </c>
      <c r="I185" s="1959">
        <v>0</v>
      </c>
      <c r="J185" s="1959">
        <v>0</v>
      </c>
      <c r="K185" s="1959">
        <v>0</v>
      </c>
      <c r="L185" s="1959">
        <f>+'[5]Silnice stavba'!$B$59</f>
        <v>0</v>
      </c>
      <c r="M185" s="2030">
        <f t="shared" si="8"/>
        <v>0</v>
      </c>
      <c r="N185" s="1959"/>
      <c r="O185" s="1959"/>
      <c r="P185" s="1959"/>
      <c r="Q185" s="1959"/>
      <c r="R185" s="1959"/>
      <c r="S185" s="1882"/>
      <c r="T185" s="1924"/>
    </row>
    <row r="186" spans="1:20" ht="12" customHeight="1" outlineLevel="1" x14ac:dyDescent="0.25">
      <c r="A186" s="1960"/>
      <c r="B186" s="1955" t="s">
        <v>152</v>
      </c>
      <c r="C186" s="2046" t="s">
        <v>1612</v>
      </c>
      <c r="D186" s="2047"/>
      <c r="E186" s="2047"/>
      <c r="F186" s="2048"/>
      <c r="G186" s="1962" t="s">
        <v>637</v>
      </c>
      <c r="H186" s="1959">
        <v>1350000</v>
      </c>
      <c r="I186" s="1959">
        <v>1350000</v>
      </c>
      <c r="J186" s="1959">
        <v>1350000</v>
      </c>
      <c r="K186" s="1959">
        <v>1350000</v>
      </c>
      <c r="L186" s="1959">
        <f>+'[5]Silnice stavba'!$B$60</f>
        <v>1350000</v>
      </c>
      <c r="M186" s="2030">
        <f t="shared" si="8"/>
        <v>0</v>
      </c>
      <c r="N186" s="1959"/>
      <c r="O186" s="1959"/>
      <c r="P186" s="1959"/>
      <c r="Q186" s="1959"/>
      <c r="R186" s="1959"/>
      <c r="S186" s="1882"/>
      <c r="T186" s="1924"/>
    </row>
    <row r="187" spans="1:20" ht="12" hidden="1" customHeight="1" outlineLevel="1" x14ac:dyDescent="0.25">
      <c r="A187" s="1960"/>
      <c r="B187" s="1955" t="s">
        <v>152</v>
      </c>
      <c r="C187" s="2046" t="s">
        <v>1613</v>
      </c>
      <c r="D187" s="2047"/>
      <c r="E187" s="2047"/>
      <c r="F187" s="2048"/>
      <c r="G187" s="1969" t="s">
        <v>637</v>
      </c>
      <c r="H187" s="1959">
        <v>0</v>
      </c>
      <c r="I187" s="1959">
        <v>0</v>
      </c>
      <c r="J187" s="1959">
        <v>0</v>
      </c>
      <c r="K187" s="1959">
        <v>0</v>
      </c>
      <c r="L187" s="1959">
        <f>+'[5]Silnice stavba'!$B$70</f>
        <v>0</v>
      </c>
      <c r="M187" s="2030">
        <f t="shared" si="8"/>
        <v>0</v>
      </c>
      <c r="N187" s="1959"/>
      <c r="O187" s="1959"/>
      <c r="P187" s="1959"/>
      <c r="Q187" s="1959"/>
      <c r="R187" s="1959"/>
      <c r="S187" s="1882"/>
      <c r="T187" s="1924"/>
    </row>
    <row r="188" spans="1:20" ht="12" hidden="1" customHeight="1" outlineLevel="1" x14ac:dyDescent="0.25">
      <c r="A188" s="1960"/>
      <c r="B188" s="1955" t="s">
        <v>152</v>
      </c>
      <c r="C188" s="2046" t="s">
        <v>1614</v>
      </c>
      <c r="D188" s="2047"/>
      <c r="E188" s="2047"/>
      <c r="F188" s="2048"/>
      <c r="G188" s="1969" t="s">
        <v>637</v>
      </c>
      <c r="H188" s="1959">
        <v>0</v>
      </c>
      <c r="I188" s="1959">
        <v>0</v>
      </c>
      <c r="J188" s="1959">
        <v>0</v>
      </c>
      <c r="K188" s="1959">
        <v>0</v>
      </c>
      <c r="L188" s="1959">
        <f>+'[5]Silnice stavba'!$B$71</f>
        <v>0</v>
      </c>
      <c r="M188" s="2030">
        <f t="shared" si="8"/>
        <v>0</v>
      </c>
      <c r="N188" s="1959"/>
      <c r="O188" s="1959"/>
      <c r="P188" s="1959"/>
      <c r="Q188" s="1959"/>
      <c r="R188" s="1959"/>
      <c r="S188" s="1882"/>
      <c r="T188" s="1924"/>
    </row>
    <row r="189" spans="1:20" ht="12" hidden="1" customHeight="1" outlineLevel="1" x14ac:dyDescent="0.25">
      <c r="A189" s="1960"/>
      <c r="B189" s="1955" t="s">
        <v>152</v>
      </c>
      <c r="C189" s="2046" t="s">
        <v>1615</v>
      </c>
      <c r="D189" s="2047"/>
      <c r="E189" s="2047"/>
      <c r="F189" s="2048"/>
      <c r="G189" s="1969" t="s">
        <v>637</v>
      </c>
      <c r="H189" s="1959">
        <v>0</v>
      </c>
      <c r="I189" s="1959">
        <v>0</v>
      </c>
      <c r="J189" s="1959">
        <v>0</v>
      </c>
      <c r="K189" s="1959">
        <v>0</v>
      </c>
      <c r="L189" s="1959">
        <f>+'[5]Silnice stavba'!$B$84</f>
        <v>0</v>
      </c>
      <c r="M189" s="2030">
        <f t="shared" si="8"/>
        <v>0</v>
      </c>
      <c r="N189" s="1959"/>
      <c r="O189" s="1959"/>
      <c r="P189" s="1959"/>
      <c r="Q189" s="1959"/>
      <c r="R189" s="1959"/>
      <c r="S189" s="1882"/>
      <c r="T189" s="1924"/>
    </row>
    <row r="190" spans="1:20" ht="12" hidden="1" customHeight="1" outlineLevel="1" x14ac:dyDescent="0.25">
      <c r="A190" s="1960"/>
      <c r="B190" s="1955" t="s">
        <v>152</v>
      </c>
      <c r="C190" s="2046" t="s">
        <v>1616</v>
      </c>
      <c r="D190" s="2047"/>
      <c r="E190" s="2047"/>
      <c r="F190" s="2048"/>
      <c r="G190" s="1969" t="s">
        <v>637</v>
      </c>
      <c r="H190" s="1959">
        <v>0</v>
      </c>
      <c r="I190" s="1959">
        <v>0</v>
      </c>
      <c r="J190" s="1959">
        <v>0</v>
      </c>
      <c r="K190" s="1959">
        <v>0</v>
      </c>
      <c r="L190" s="1959">
        <f>+'[5]Silnice stavba'!$B$85</f>
        <v>0</v>
      </c>
      <c r="M190" s="2030">
        <f t="shared" si="8"/>
        <v>0</v>
      </c>
      <c r="N190" s="1959"/>
      <c r="O190" s="1959"/>
      <c r="P190" s="1959"/>
      <c r="Q190" s="1959"/>
      <c r="R190" s="1959"/>
      <c r="S190" s="1882"/>
      <c r="T190" s="1924"/>
    </row>
    <row r="191" spans="1:20" ht="12" hidden="1" customHeight="1" outlineLevel="1" x14ac:dyDescent="0.25">
      <c r="A191" s="1960"/>
      <c r="B191" s="1955" t="s">
        <v>152</v>
      </c>
      <c r="C191" s="2046" t="s">
        <v>1619</v>
      </c>
      <c r="D191" s="2047"/>
      <c r="E191" s="2047"/>
      <c r="F191" s="2048"/>
      <c r="G191" s="1969" t="s">
        <v>637</v>
      </c>
      <c r="H191" s="1959">
        <v>0</v>
      </c>
      <c r="I191" s="1959">
        <v>0</v>
      </c>
      <c r="J191" s="1959">
        <v>0</v>
      </c>
      <c r="K191" s="1959">
        <v>0</v>
      </c>
      <c r="L191" s="1959">
        <f>+'[5]Silnice stavba'!$B$94</f>
        <v>0</v>
      </c>
      <c r="M191" s="2030">
        <f t="shared" si="8"/>
        <v>0</v>
      </c>
      <c r="N191" s="1959"/>
      <c r="O191" s="1959"/>
      <c r="P191" s="1959"/>
      <c r="Q191" s="1959"/>
      <c r="R191" s="1959"/>
      <c r="S191" s="1882"/>
      <c r="T191" s="1924"/>
    </row>
    <row r="192" spans="1:20" ht="12" customHeight="1" outlineLevel="1" x14ac:dyDescent="0.25">
      <c r="A192" s="1960"/>
      <c r="B192" s="1955" t="s">
        <v>152</v>
      </c>
      <c r="C192" s="2046" t="s">
        <v>1620</v>
      </c>
      <c r="D192" s="2047"/>
      <c r="E192" s="2047"/>
      <c r="F192" s="2048"/>
      <c r="G192" s="1969" t="s">
        <v>637</v>
      </c>
      <c r="H192" s="1959">
        <v>100000</v>
      </c>
      <c r="I192" s="1959">
        <v>100000</v>
      </c>
      <c r="J192" s="1959">
        <v>100000</v>
      </c>
      <c r="K192" s="1959">
        <v>100000</v>
      </c>
      <c r="L192" s="1959">
        <f>+'[5]Silnice stavba'!$B$95</f>
        <v>100000</v>
      </c>
      <c r="M192" s="2030">
        <f t="shared" si="8"/>
        <v>0</v>
      </c>
      <c r="N192" s="1959"/>
      <c r="O192" s="1959"/>
      <c r="P192" s="1959"/>
      <c r="Q192" s="1959"/>
      <c r="R192" s="1959"/>
      <c r="S192" s="1882"/>
      <c r="T192" s="1924"/>
    </row>
    <row r="193" spans="1:20" ht="12" customHeight="1" outlineLevel="1" x14ac:dyDescent="0.25">
      <c r="A193" s="1960"/>
      <c r="B193" s="1955" t="s">
        <v>152</v>
      </c>
      <c r="C193" s="2046" t="s">
        <v>1621</v>
      </c>
      <c r="D193" s="2047"/>
      <c r="E193" s="2047"/>
      <c r="F193" s="2048"/>
      <c r="G193" s="1969" t="s">
        <v>637</v>
      </c>
      <c r="H193" s="1959">
        <v>0</v>
      </c>
      <c r="I193" s="1959">
        <v>0</v>
      </c>
      <c r="J193" s="1959">
        <v>0</v>
      </c>
      <c r="K193" s="1959">
        <v>0</v>
      </c>
      <c r="L193" s="1959">
        <f>+'[5]Silnice stavba'!$B$107</f>
        <v>0</v>
      </c>
      <c r="M193" s="2030">
        <f t="shared" si="8"/>
        <v>0</v>
      </c>
      <c r="N193" s="1959"/>
      <c r="O193" s="1959"/>
      <c r="P193" s="1959"/>
      <c r="Q193" s="1959"/>
      <c r="R193" s="1959"/>
      <c r="S193" s="1882"/>
      <c r="T193" s="1924"/>
    </row>
    <row r="194" spans="1:20" ht="12" customHeight="1" outlineLevel="1" x14ac:dyDescent="0.25">
      <c r="A194" s="1960"/>
      <c r="B194" s="1955" t="s">
        <v>152</v>
      </c>
      <c r="C194" s="2046" t="s">
        <v>1622</v>
      </c>
      <c r="D194" s="2047"/>
      <c r="E194" s="2047"/>
      <c r="F194" s="2048"/>
      <c r="G194" s="1969" t="s">
        <v>637</v>
      </c>
      <c r="H194" s="1959">
        <v>100000</v>
      </c>
      <c r="I194" s="1959">
        <v>100000</v>
      </c>
      <c r="J194" s="1959">
        <v>100000</v>
      </c>
      <c r="K194" s="1959">
        <v>100000</v>
      </c>
      <c r="L194" s="1959">
        <f>+'[5]Silnice stavba'!$B$108</f>
        <v>100000</v>
      </c>
      <c r="M194" s="2030">
        <f t="shared" si="8"/>
        <v>0</v>
      </c>
      <c r="N194" s="1959"/>
      <c r="O194" s="1959"/>
      <c r="P194" s="1959"/>
      <c r="Q194" s="1959"/>
      <c r="R194" s="1959"/>
      <c r="S194" s="1882"/>
      <c r="T194" s="1924"/>
    </row>
    <row r="195" spans="1:20" ht="12" customHeight="1" outlineLevel="1" x14ac:dyDescent="0.25">
      <c r="A195" s="1960"/>
      <c r="B195" s="1955" t="s">
        <v>152</v>
      </c>
      <c r="C195" s="2046" t="s">
        <v>1623</v>
      </c>
      <c r="D195" s="2047"/>
      <c r="E195" s="2047"/>
      <c r="F195" s="2048"/>
      <c r="G195" s="1969" t="s">
        <v>637</v>
      </c>
      <c r="H195" s="1959">
        <v>0</v>
      </c>
      <c r="I195" s="1959">
        <v>0</v>
      </c>
      <c r="J195" s="1959">
        <v>0</v>
      </c>
      <c r="K195" s="1959">
        <v>0</v>
      </c>
      <c r="L195" s="1959">
        <f>+'[5]Silnice stavba'!$B$120</f>
        <v>0</v>
      </c>
      <c r="M195" s="2030">
        <f t="shared" si="8"/>
        <v>0</v>
      </c>
      <c r="N195" s="1959"/>
      <c r="O195" s="1959"/>
      <c r="P195" s="1959"/>
      <c r="Q195" s="1959"/>
      <c r="R195" s="1959"/>
      <c r="S195" s="1882"/>
      <c r="T195" s="1924"/>
    </row>
    <row r="196" spans="1:20" ht="12" customHeight="1" outlineLevel="1" x14ac:dyDescent="0.25">
      <c r="A196" s="1960"/>
      <c r="B196" s="1955" t="s">
        <v>152</v>
      </c>
      <c r="C196" s="2046" t="s">
        <v>1624</v>
      </c>
      <c r="D196" s="2047"/>
      <c r="E196" s="2047"/>
      <c r="F196" s="2048"/>
      <c r="G196" s="1969" t="s">
        <v>637</v>
      </c>
      <c r="H196" s="1959">
        <v>50000</v>
      </c>
      <c r="I196" s="1959">
        <v>50000</v>
      </c>
      <c r="J196" s="1959">
        <v>50000</v>
      </c>
      <c r="K196" s="1959">
        <v>50000</v>
      </c>
      <c r="L196" s="1959">
        <f>+'[5]Silnice stavba'!$B$121</f>
        <v>50000</v>
      </c>
      <c r="M196" s="2030">
        <f t="shared" si="8"/>
        <v>0</v>
      </c>
      <c r="N196" s="1959"/>
      <c r="O196" s="1959"/>
      <c r="P196" s="1959"/>
      <c r="Q196" s="1959"/>
      <c r="R196" s="1959"/>
      <c r="S196" s="1882"/>
      <c r="T196" s="1924"/>
    </row>
    <row r="197" spans="1:20" ht="12" customHeight="1" outlineLevel="1" x14ac:dyDescent="0.25">
      <c r="A197" s="1960"/>
      <c r="B197" s="1955" t="s">
        <v>152</v>
      </c>
      <c r="C197" s="2046" t="s">
        <v>1625</v>
      </c>
      <c r="D197" s="2047"/>
      <c r="E197" s="2047"/>
      <c r="F197" s="2048"/>
      <c r="G197" s="1969" t="s">
        <v>637</v>
      </c>
      <c r="H197" s="1959">
        <v>0</v>
      </c>
      <c r="I197" s="1959">
        <v>0</v>
      </c>
      <c r="J197" s="1959">
        <v>4500000</v>
      </c>
      <c r="K197" s="1959">
        <v>4500000</v>
      </c>
      <c r="L197" s="1959">
        <f>+'[5]Silnice stavba'!$B$133</f>
        <v>0</v>
      </c>
      <c r="M197" s="2030">
        <f t="shared" si="8"/>
        <v>-4500000</v>
      </c>
      <c r="N197" s="1959"/>
      <c r="O197" s="1959"/>
      <c r="P197" s="1959"/>
      <c r="Q197" s="1959"/>
      <c r="R197" s="1959" t="s">
        <v>2851</v>
      </c>
      <c r="S197" s="1882"/>
      <c r="T197" s="1924"/>
    </row>
    <row r="198" spans="1:20" ht="12" customHeight="1" outlineLevel="1" x14ac:dyDescent="0.25">
      <c r="A198" s="1960"/>
      <c r="B198" s="1955" t="s">
        <v>152</v>
      </c>
      <c r="C198" s="2046" t="s">
        <v>1626</v>
      </c>
      <c r="D198" s="2047"/>
      <c r="E198" s="2047"/>
      <c r="F198" s="2048"/>
      <c r="G198" s="1969" t="s">
        <v>637</v>
      </c>
      <c r="H198" s="1959">
        <v>150000</v>
      </c>
      <c r="I198" s="1959">
        <v>150000</v>
      </c>
      <c r="J198" s="1959">
        <v>150000</v>
      </c>
      <c r="K198" s="1959">
        <v>150000</v>
      </c>
      <c r="L198" s="1959">
        <f>+'[5]Silnice stavba'!$B$134</f>
        <v>150000</v>
      </c>
      <c r="M198" s="2030">
        <f t="shared" si="8"/>
        <v>0</v>
      </c>
      <c r="N198" s="1959"/>
      <c r="O198" s="1959"/>
      <c r="P198" s="1959"/>
      <c r="Q198" s="1959"/>
      <c r="R198" s="1959"/>
      <c r="S198" s="1882"/>
      <c r="T198" s="1924"/>
    </row>
    <row r="199" spans="1:20" ht="12" customHeight="1" outlineLevel="1" x14ac:dyDescent="0.25">
      <c r="A199" s="1960"/>
      <c r="B199" s="1955" t="s">
        <v>152</v>
      </c>
      <c r="C199" s="2046" t="s">
        <v>1627</v>
      </c>
      <c r="D199" s="2047"/>
      <c r="E199" s="2047"/>
      <c r="F199" s="2048"/>
      <c r="G199" s="1969" t="s">
        <v>637</v>
      </c>
      <c r="H199" s="1959">
        <v>20000</v>
      </c>
      <c r="I199" s="1959">
        <v>20000</v>
      </c>
      <c r="J199" s="1959">
        <v>20000</v>
      </c>
      <c r="K199" s="1959">
        <v>20000</v>
      </c>
      <c r="L199" s="1959">
        <f>+'[5]Silnice stavba'!$B$146</f>
        <v>20000</v>
      </c>
      <c r="M199" s="2030">
        <f t="shared" si="8"/>
        <v>0</v>
      </c>
      <c r="N199" s="1959"/>
      <c r="O199" s="1959"/>
      <c r="P199" s="1959"/>
      <c r="Q199" s="1959"/>
      <c r="R199" s="1959"/>
      <c r="S199" s="1882"/>
      <c r="T199" s="1924"/>
    </row>
    <row r="200" spans="1:20" ht="12" hidden="1" customHeight="1" outlineLevel="1" x14ac:dyDescent="0.25">
      <c r="A200" s="1960"/>
      <c r="B200" s="1955" t="s">
        <v>152</v>
      </c>
      <c r="C200" s="2046" t="s">
        <v>1628</v>
      </c>
      <c r="D200" s="2047"/>
      <c r="E200" s="2047"/>
      <c r="F200" s="2048"/>
      <c r="G200" s="1969" t="s">
        <v>637</v>
      </c>
      <c r="H200" s="1959">
        <v>0</v>
      </c>
      <c r="I200" s="1959">
        <v>0</v>
      </c>
      <c r="J200" s="1959">
        <v>0</v>
      </c>
      <c r="K200" s="1959">
        <v>0</v>
      </c>
      <c r="L200" s="1959">
        <f>+'[5]Silnice stavba'!$B$147</f>
        <v>0</v>
      </c>
      <c r="M200" s="2030">
        <f t="shared" si="8"/>
        <v>0</v>
      </c>
      <c r="N200" s="1959"/>
      <c r="O200" s="1959"/>
      <c r="P200" s="1959"/>
      <c r="Q200" s="1959"/>
      <c r="R200" s="1959"/>
      <c r="S200" s="1882"/>
      <c r="T200" s="1924"/>
    </row>
    <row r="201" spans="1:20" ht="12" hidden="1" customHeight="1" outlineLevel="1" x14ac:dyDescent="0.25">
      <c r="A201" s="1960"/>
      <c r="B201" s="1955" t="s">
        <v>152</v>
      </c>
      <c r="C201" s="2046" t="s">
        <v>1629</v>
      </c>
      <c r="D201" s="2047"/>
      <c r="E201" s="2047"/>
      <c r="F201" s="2048"/>
      <c r="G201" s="1969" t="s">
        <v>637</v>
      </c>
      <c r="H201" s="1959">
        <v>0</v>
      </c>
      <c r="I201" s="1959">
        <v>0</v>
      </c>
      <c r="J201" s="1959">
        <v>0</v>
      </c>
      <c r="K201" s="1959">
        <v>0</v>
      </c>
      <c r="L201" s="1959">
        <f>+'[5]Silnice stavba'!$B$161</f>
        <v>0</v>
      </c>
      <c r="M201" s="2030">
        <f t="shared" si="8"/>
        <v>0</v>
      </c>
      <c r="N201" s="1959"/>
      <c r="O201" s="1959"/>
      <c r="P201" s="1959"/>
      <c r="Q201" s="1959"/>
      <c r="R201" s="1959"/>
      <c r="S201" s="1882"/>
      <c r="T201" s="1924"/>
    </row>
    <row r="202" spans="1:20" ht="12" hidden="1" customHeight="1" outlineLevel="1" x14ac:dyDescent="0.25">
      <c r="A202" s="1960"/>
      <c r="B202" s="1955" t="s">
        <v>152</v>
      </c>
      <c r="C202" s="2046" t="s">
        <v>1630</v>
      </c>
      <c r="D202" s="2047"/>
      <c r="E202" s="2047"/>
      <c r="F202" s="2048"/>
      <c r="G202" s="1969" t="s">
        <v>637</v>
      </c>
      <c r="H202" s="1959">
        <v>0</v>
      </c>
      <c r="I202" s="1959">
        <v>0</v>
      </c>
      <c r="J202" s="1959">
        <v>0</v>
      </c>
      <c r="K202" s="1959">
        <v>0</v>
      </c>
      <c r="L202" s="1959">
        <f>+'[5]Silnice stavba'!$B$162</f>
        <v>0</v>
      </c>
      <c r="M202" s="2030">
        <f t="shared" si="8"/>
        <v>0</v>
      </c>
      <c r="N202" s="1959"/>
      <c r="O202" s="1959"/>
      <c r="P202" s="1959"/>
      <c r="Q202" s="1959"/>
      <c r="R202" s="1959"/>
      <c r="S202" s="1882"/>
      <c r="T202" s="1924"/>
    </row>
    <row r="203" spans="1:20" ht="12" hidden="1" customHeight="1" outlineLevel="1" x14ac:dyDescent="0.25">
      <c r="A203" s="1960"/>
      <c r="B203" s="1955" t="s">
        <v>152</v>
      </c>
      <c r="C203" s="2046" t="s">
        <v>1631</v>
      </c>
      <c r="D203" s="2047"/>
      <c r="E203" s="2047"/>
      <c r="F203" s="2048"/>
      <c r="G203" s="1969" t="s">
        <v>637</v>
      </c>
      <c r="H203" s="1959">
        <v>0</v>
      </c>
      <c r="I203" s="1959">
        <v>0</v>
      </c>
      <c r="J203" s="1959">
        <v>0</v>
      </c>
      <c r="K203" s="1959">
        <v>0</v>
      </c>
      <c r="L203" s="1959">
        <f>+'[5]Silnice stavba'!$B$179</f>
        <v>0</v>
      </c>
      <c r="M203" s="2030">
        <f t="shared" si="8"/>
        <v>0</v>
      </c>
      <c r="N203" s="1959"/>
      <c r="O203" s="1959"/>
      <c r="P203" s="1959"/>
      <c r="Q203" s="1959"/>
      <c r="R203" s="1959"/>
      <c r="S203" s="1882"/>
      <c r="T203" s="1924"/>
    </row>
    <row r="204" spans="1:20" ht="12" hidden="1" customHeight="1" outlineLevel="1" x14ac:dyDescent="0.25">
      <c r="A204" s="1960"/>
      <c r="B204" s="1955" t="s">
        <v>152</v>
      </c>
      <c r="C204" s="2046" t="s">
        <v>1632</v>
      </c>
      <c r="D204" s="2047"/>
      <c r="E204" s="2047"/>
      <c r="F204" s="2048"/>
      <c r="G204" s="1969" t="s">
        <v>637</v>
      </c>
      <c r="H204" s="1959">
        <v>0</v>
      </c>
      <c r="I204" s="1959">
        <v>0</v>
      </c>
      <c r="J204" s="1959">
        <v>0</v>
      </c>
      <c r="K204" s="1959">
        <v>0</v>
      </c>
      <c r="L204" s="1959">
        <f>+'[5]Silnice stavba'!$B$180</f>
        <v>0</v>
      </c>
      <c r="M204" s="2030">
        <f t="shared" si="8"/>
        <v>0</v>
      </c>
      <c r="N204" s="1959"/>
      <c r="O204" s="1959"/>
      <c r="P204" s="1959"/>
      <c r="Q204" s="1959"/>
      <c r="R204" s="1959"/>
      <c r="S204" s="1882"/>
      <c r="T204" s="1924"/>
    </row>
    <row r="205" spans="1:20" ht="13.5" hidden="1" customHeight="1" outlineLevel="1" x14ac:dyDescent="0.25">
      <c r="A205" s="1960"/>
      <c r="B205" s="1955" t="s">
        <v>152</v>
      </c>
      <c r="C205" s="2046" t="s">
        <v>1633</v>
      </c>
      <c r="D205" s="2047"/>
      <c r="E205" s="2047"/>
      <c r="F205" s="2048"/>
      <c r="G205" s="1969" t="s">
        <v>637</v>
      </c>
      <c r="H205" s="1959">
        <v>0</v>
      </c>
      <c r="I205" s="1959">
        <v>0</v>
      </c>
      <c r="J205" s="1959">
        <v>0</v>
      </c>
      <c r="K205" s="1959">
        <v>0</v>
      </c>
      <c r="L205" s="1959">
        <f>+'[5]Silnice stavba'!$B$189</f>
        <v>0</v>
      </c>
      <c r="M205" s="2030">
        <f t="shared" si="8"/>
        <v>0</v>
      </c>
      <c r="N205" s="1959"/>
      <c r="O205" s="1959"/>
      <c r="P205" s="1959"/>
      <c r="Q205" s="1959"/>
      <c r="R205" s="1959"/>
      <c r="S205" s="1882"/>
      <c r="T205" s="1924"/>
    </row>
    <row r="206" spans="1:20" ht="12" customHeight="1" outlineLevel="1" x14ac:dyDescent="0.25">
      <c r="A206" s="1960"/>
      <c r="B206" s="1955" t="s">
        <v>152</v>
      </c>
      <c r="C206" s="2046" t="s">
        <v>1634</v>
      </c>
      <c r="D206" s="2047"/>
      <c r="E206" s="2047"/>
      <c r="F206" s="2048"/>
      <c r="G206" s="1969" t="s">
        <v>637</v>
      </c>
      <c r="H206" s="1959">
        <v>100000</v>
      </c>
      <c r="I206" s="1959">
        <v>100000</v>
      </c>
      <c r="J206" s="1959">
        <v>100000</v>
      </c>
      <c r="K206" s="1959">
        <v>100000</v>
      </c>
      <c r="L206" s="1959">
        <f>+'[5]Silnice stavba'!$B$190</f>
        <v>100000</v>
      </c>
      <c r="M206" s="2030">
        <f t="shared" si="8"/>
        <v>0</v>
      </c>
      <c r="N206" s="1959"/>
      <c r="O206" s="1959"/>
      <c r="P206" s="1959"/>
      <c r="Q206" s="1959"/>
      <c r="R206" s="1959"/>
      <c r="S206" s="1882"/>
      <c r="T206" s="1924"/>
    </row>
    <row r="207" spans="1:20" ht="12" hidden="1" customHeight="1" outlineLevel="1" x14ac:dyDescent="0.25">
      <c r="A207" s="1960"/>
      <c r="B207" s="1955" t="s">
        <v>152</v>
      </c>
      <c r="C207" s="2046" t="s">
        <v>1635</v>
      </c>
      <c r="D207" s="2047"/>
      <c r="E207" s="2047"/>
      <c r="F207" s="2048"/>
      <c r="G207" s="1969" t="s">
        <v>637</v>
      </c>
      <c r="H207" s="1959">
        <v>0</v>
      </c>
      <c r="I207" s="1959">
        <v>0</v>
      </c>
      <c r="J207" s="1959">
        <v>0</v>
      </c>
      <c r="K207" s="1959">
        <v>0</v>
      </c>
      <c r="L207" s="1959">
        <f>+'[5]Silnice stavba'!$B$199</f>
        <v>0</v>
      </c>
      <c r="M207" s="2030">
        <f t="shared" si="8"/>
        <v>0</v>
      </c>
      <c r="N207" s="1959"/>
      <c r="O207" s="1959"/>
      <c r="P207" s="1959"/>
      <c r="Q207" s="1959"/>
      <c r="R207" s="1959"/>
      <c r="S207" s="1882"/>
      <c r="T207" s="1924"/>
    </row>
    <row r="208" spans="1:20" ht="12" hidden="1" customHeight="1" outlineLevel="1" x14ac:dyDescent="0.25">
      <c r="A208" s="1960"/>
      <c r="B208" s="1955" t="s">
        <v>152</v>
      </c>
      <c r="C208" s="2046" t="s">
        <v>1636</v>
      </c>
      <c r="D208" s="2047"/>
      <c r="E208" s="2047"/>
      <c r="F208" s="2048"/>
      <c r="G208" s="1969" t="s">
        <v>637</v>
      </c>
      <c r="H208" s="1959">
        <v>0</v>
      </c>
      <c r="I208" s="1959">
        <v>0</v>
      </c>
      <c r="J208" s="1959">
        <v>0</v>
      </c>
      <c r="K208" s="1959">
        <v>0</v>
      </c>
      <c r="L208" s="1959">
        <f>+'[5]Silnice stavba'!$B$200</f>
        <v>0</v>
      </c>
      <c r="M208" s="2030">
        <f t="shared" si="8"/>
        <v>0</v>
      </c>
      <c r="N208" s="1959"/>
      <c r="O208" s="1959"/>
      <c r="P208" s="1959"/>
      <c r="Q208" s="1959"/>
      <c r="R208" s="1959"/>
      <c r="S208" s="1882"/>
      <c r="T208" s="1924"/>
    </row>
    <row r="209" spans="1:20" ht="12" hidden="1" customHeight="1" outlineLevel="1" x14ac:dyDescent="0.25">
      <c r="A209" s="1960"/>
      <c r="B209" s="1955" t="s">
        <v>152</v>
      </c>
      <c r="C209" s="2046" t="s">
        <v>1637</v>
      </c>
      <c r="D209" s="2047"/>
      <c r="E209" s="2047"/>
      <c r="F209" s="2048"/>
      <c r="G209" s="1969" t="s">
        <v>637</v>
      </c>
      <c r="H209" s="1959">
        <v>0</v>
      </c>
      <c r="I209" s="1959">
        <v>0</v>
      </c>
      <c r="J209" s="1959">
        <v>0</v>
      </c>
      <c r="K209" s="1959">
        <v>0</v>
      </c>
      <c r="L209" s="1959">
        <f>+'[5]Silnice stavba'!$B$209</f>
        <v>0</v>
      </c>
      <c r="M209" s="2030">
        <f t="shared" si="8"/>
        <v>0</v>
      </c>
      <c r="N209" s="1959"/>
      <c r="O209" s="1959"/>
      <c r="P209" s="1959"/>
      <c r="Q209" s="1959"/>
      <c r="R209" s="1959"/>
      <c r="S209" s="1882"/>
      <c r="T209" s="1924"/>
    </row>
    <row r="210" spans="1:20" ht="12" hidden="1" customHeight="1" outlineLevel="1" x14ac:dyDescent="0.25">
      <c r="A210" s="1960"/>
      <c r="B210" s="1955" t="s">
        <v>152</v>
      </c>
      <c r="C210" s="2046" t="s">
        <v>1638</v>
      </c>
      <c r="D210" s="2047"/>
      <c r="E210" s="2047"/>
      <c r="F210" s="2048"/>
      <c r="G210" s="1969" t="s">
        <v>637</v>
      </c>
      <c r="H210" s="1959">
        <v>0</v>
      </c>
      <c r="I210" s="1959">
        <v>0</v>
      </c>
      <c r="J210" s="1959">
        <v>0</v>
      </c>
      <c r="K210" s="1959">
        <v>0</v>
      </c>
      <c r="L210" s="1959">
        <f>+'[5]Silnice stavba'!$B$210</f>
        <v>0</v>
      </c>
      <c r="M210" s="2030">
        <f t="shared" si="8"/>
        <v>0</v>
      </c>
      <c r="N210" s="1959"/>
      <c r="O210" s="1959"/>
      <c r="P210" s="1959"/>
      <c r="Q210" s="1959"/>
      <c r="R210" s="1959"/>
      <c r="S210" s="1882"/>
      <c r="T210" s="1924"/>
    </row>
    <row r="211" spans="1:20" ht="12" hidden="1" customHeight="1" outlineLevel="1" x14ac:dyDescent="0.25">
      <c r="A211" s="1960"/>
      <c r="B211" s="1955" t="s">
        <v>152</v>
      </c>
      <c r="C211" s="2051" t="s">
        <v>1639</v>
      </c>
      <c r="D211" s="2047"/>
      <c r="E211" s="2047"/>
      <c r="F211" s="2048"/>
      <c r="G211" s="1969" t="s">
        <v>637</v>
      </c>
      <c r="H211" s="1959">
        <v>0</v>
      </c>
      <c r="I211" s="1959">
        <v>0</v>
      </c>
      <c r="J211" s="1959">
        <v>0</v>
      </c>
      <c r="K211" s="1959">
        <v>0</v>
      </c>
      <c r="L211" s="1959">
        <f>+'[5]Silnice stavba'!$B$223</f>
        <v>0</v>
      </c>
      <c r="M211" s="2030">
        <f t="shared" si="8"/>
        <v>0</v>
      </c>
      <c r="N211" s="1959"/>
      <c r="O211" s="1959"/>
      <c r="P211" s="1959"/>
      <c r="Q211" s="1959"/>
      <c r="R211" s="1959"/>
      <c r="S211" s="1882"/>
      <c r="T211" s="1924"/>
    </row>
    <row r="212" spans="1:20" ht="24.75" hidden="1" outlineLevel="1" x14ac:dyDescent="0.25">
      <c r="A212" s="1960"/>
      <c r="B212" s="1955" t="s">
        <v>152</v>
      </c>
      <c r="C212" s="2051" t="s">
        <v>1640</v>
      </c>
      <c r="D212" s="2047"/>
      <c r="E212" s="2047"/>
      <c r="F212" s="2048"/>
      <c r="G212" s="1969" t="s">
        <v>637</v>
      </c>
      <c r="H212" s="1959">
        <v>0</v>
      </c>
      <c r="I212" s="1959">
        <v>0</v>
      </c>
      <c r="J212" s="1959">
        <v>0</v>
      </c>
      <c r="K212" s="1959">
        <v>0</v>
      </c>
      <c r="L212" s="1959">
        <f>+'[5]Silnice stavba'!$B$224</f>
        <v>0</v>
      </c>
      <c r="M212" s="2030">
        <f t="shared" si="8"/>
        <v>0</v>
      </c>
      <c r="N212" s="1959"/>
      <c r="O212" s="1959"/>
      <c r="P212" s="1959"/>
      <c r="Q212" s="1959"/>
      <c r="R212" s="1959"/>
      <c r="S212" s="1882"/>
      <c r="T212" s="1924"/>
    </row>
    <row r="213" spans="1:20" ht="12" hidden="1" customHeight="1" outlineLevel="1" x14ac:dyDescent="0.25">
      <c r="A213" s="1960"/>
      <c r="B213" s="1955" t="s">
        <v>152</v>
      </c>
      <c r="C213" s="2046" t="s">
        <v>1643</v>
      </c>
      <c r="D213" s="2047"/>
      <c r="E213" s="2047"/>
      <c r="F213" s="2048"/>
      <c r="G213" s="2047" t="s">
        <v>637</v>
      </c>
      <c r="H213" s="1959">
        <v>0</v>
      </c>
      <c r="I213" s="1959">
        <v>0</v>
      </c>
      <c r="J213" s="1959">
        <v>0</v>
      </c>
      <c r="K213" s="1959">
        <v>0</v>
      </c>
      <c r="L213" s="1959">
        <f>+'[5]Silnice stavba'!$B$254</f>
        <v>0</v>
      </c>
      <c r="M213" s="2030">
        <f t="shared" si="8"/>
        <v>0</v>
      </c>
      <c r="N213" s="1959"/>
      <c r="O213" s="1959"/>
      <c r="P213" s="1959"/>
      <c r="Q213" s="1959"/>
      <c r="R213" s="1959"/>
      <c r="S213" s="1882"/>
      <c r="T213" s="1924"/>
    </row>
    <row r="214" spans="1:20" ht="12" hidden="1" customHeight="1" outlineLevel="1" x14ac:dyDescent="0.25">
      <c r="A214" s="1960"/>
      <c r="B214" s="1955" t="s">
        <v>152</v>
      </c>
      <c r="C214" s="2046" t="s">
        <v>1644</v>
      </c>
      <c r="D214" s="2047"/>
      <c r="E214" s="2047"/>
      <c r="F214" s="2048"/>
      <c r="G214" s="2047" t="s">
        <v>637</v>
      </c>
      <c r="H214" s="1959">
        <v>0</v>
      </c>
      <c r="I214" s="1959">
        <v>0</v>
      </c>
      <c r="J214" s="1959">
        <v>0</v>
      </c>
      <c r="K214" s="1959">
        <v>0</v>
      </c>
      <c r="L214" s="1959">
        <f>+'[5]Silnice stavba'!$B$255</f>
        <v>0</v>
      </c>
      <c r="M214" s="2030">
        <f t="shared" ref="M214:M277" si="10">+L214-K214</f>
        <v>0</v>
      </c>
      <c r="N214" s="1959"/>
      <c r="O214" s="1959"/>
      <c r="P214" s="1959"/>
      <c r="Q214" s="1959"/>
      <c r="R214" s="1959"/>
      <c r="S214" s="1882"/>
      <c r="T214" s="1924"/>
    </row>
    <row r="215" spans="1:20" ht="12" hidden="1" customHeight="1" outlineLevel="1" x14ac:dyDescent="0.25">
      <c r="A215" s="1960"/>
      <c r="B215" s="1955" t="s">
        <v>152</v>
      </c>
      <c r="C215" s="2046" t="s">
        <v>1641</v>
      </c>
      <c r="D215" s="2047"/>
      <c r="E215" s="2047"/>
      <c r="F215" s="2048"/>
      <c r="G215" s="1969" t="s">
        <v>637</v>
      </c>
      <c r="H215" s="1959">
        <v>0</v>
      </c>
      <c r="I215" s="1959">
        <v>0</v>
      </c>
      <c r="J215" s="1959">
        <v>0</v>
      </c>
      <c r="K215" s="1959">
        <v>0</v>
      </c>
      <c r="L215" s="1959">
        <f>+'[5]Silnice stavba'!$B$234</f>
        <v>0</v>
      </c>
      <c r="M215" s="2030">
        <f t="shared" si="10"/>
        <v>0</v>
      </c>
      <c r="N215" s="1959"/>
      <c r="O215" s="1959"/>
      <c r="P215" s="1959"/>
      <c r="Q215" s="1959"/>
      <c r="R215" s="1959"/>
      <c r="S215" s="1882"/>
      <c r="T215" s="1924"/>
    </row>
    <row r="216" spans="1:20" ht="12" hidden="1" customHeight="1" outlineLevel="1" x14ac:dyDescent="0.25">
      <c r="A216" s="1960"/>
      <c r="B216" s="1955" t="s">
        <v>152</v>
      </c>
      <c r="C216" s="2046" t="s">
        <v>1642</v>
      </c>
      <c r="D216" s="2047"/>
      <c r="E216" s="2047"/>
      <c r="F216" s="2048"/>
      <c r="G216" s="1969" t="s">
        <v>637</v>
      </c>
      <c r="H216" s="1959">
        <v>0</v>
      </c>
      <c r="I216" s="1959">
        <v>0</v>
      </c>
      <c r="J216" s="1959">
        <v>0</v>
      </c>
      <c r="K216" s="1959">
        <v>0</v>
      </c>
      <c r="L216" s="1959">
        <f>+'[5]Silnice stavba'!$B$235</f>
        <v>0</v>
      </c>
      <c r="M216" s="2030">
        <f t="shared" si="10"/>
        <v>0</v>
      </c>
      <c r="N216" s="1959"/>
      <c r="O216" s="1959"/>
      <c r="P216" s="1959"/>
      <c r="Q216" s="1959"/>
      <c r="R216" s="1959"/>
      <c r="S216" s="1882"/>
      <c r="T216" s="1924"/>
    </row>
    <row r="217" spans="1:20" ht="12" hidden="1" customHeight="1" outlineLevel="1" x14ac:dyDescent="0.25">
      <c r="A217" s="1960"/>
      <c r="B217" s="1955" t="s">
        <v>152</v>
      </c>
      <c r="C217" s="2046" t="s">
        <v>1645</v>
      </c>
      <c r="D217" s="2047"/>
      <c r="E217" s="2047"/>
      <c r="F217" s="2048"/>
      <c r="G217" s="2047" t="s">
        <v>637</v>
      </c>
      <c r="H217" s="1959">
        <v>0</v>
      </c>
      <c r="I217" s="1959">
        <v>0</v>
      </c>
      <c r="J217" s="1959">
        <v>0</v>
      </c>
      <c r="K217" s="1959">
        <v>0</v>
      </c>
      <c r="L217" s="1959">
        <f>+'[5]Silnice stavba'!$B$254</f>
        <v>0</v>
      </c>
      <c r="M217" s="2030">
        <f t="shared" si="10"/>
        <v>0</v>
      </c>
      <c r="N217" s="1959"/>
      <c r="O217" s="1959"/>
      <c r="P217" s="1959"/>
      <c r="Q217" s="1959"/>
      <c r="R217" s="1959"/>
      <c r="S217" s="1882"/>
      <c r="T217" s="1924"/>
    </row>
    <row r="218" spans="1:20" ht="12" hidden="1" customHeight="1" outlineLevel="1" x14ac:dyDescent="0.25">
      <c r="A218" s="1960"/>
      <c r="B218" s="1955" t="s">
        <v>152</v>
      </c>
      <c r="C218" s="2046" t="s">
        <v>1645</v>
      </c>
      <c r="D218" s="2047"/>
      <c r="E218" s="2047"/>
      <c r="F218" s="2048"/>
      <c r="G218" s="2047" t="s">
        <v>637</v>
      </c>
      <c r="H218" s="1959">
        <v>0</v>
      </c>
      <c r="I218" s="1959">
        <v>0</v>
      </c>
      <c r="J218" s="1959">
        <v>0</v>
      </c>
      <c r="K218" s="1959">
        <v>0</v>
      </c>
      <c r="L218" s="1959">
        <f>+'[5]Silnice stavba'!$B$255</f>
        <v>0</v>
      </c>
      <c r="M218" s="2030">
        <f t="shared" si="10"/>
        <v>0</v>
      </c>
      <c r="N218" s="1959"/>
      <c r="O218" s="1959"/>
      <c r="P218" s="1959"/>
      <c r="Q218" s="1959"/>
      <c r="R218" s="1959"/>
      <c r="S218" s="1882"/>
      <c r="T218" s="1924"/>
    </row>
    <row r="219" spans="1:20" ht="11.65" hidden="1" customHeight="1" outlineLevel="1" x14ac:dyDescent="0.25">
      <c r="A219" s="1960"/>
      <c r="B219" s="1955" t="s">
        <v>152</v>
      </c>
      <c r="C219" s="2051" t="s">
        <v>1646</v>
      </c>
      <c r="D219" s="2047"/>
      <c r="E219" s="2047"/>
      <c r="F219" s="2048"/>
      <c r="G219" s="1969" t="s">
        <v>637</v>
      </c>
      <c r="H219" s="1959">
        <v>0</v>
      </c>
      <c r="I219" s="1959">
        <v>0</v>
      </c>
      <c r="J219" s="1959">
        <v>0</v>
      </c>
      <c r="K219" s="1959">
        <v>0</v>
      </c>
      <c r="L219" s="1959">
        <f>+'[5]Silnice stavba'!$B$264</f>
        <v>0</v>
      </c>
      <c r="M219" s="2030">
        <f t="shared" si="10"/>
        <v>0</v>
      </c>
      <c r="N219" s="1959"/>
      <c r="O219" s="1959"/>
      <c r="P219" s="1959"/>
      <c r="Q219" s="1959"/>
      <c r="R219" s="1959"/>
      <c r="S219" s="1882"/>
      <c r="T219" s="1924"/>
    </row>
    <row r="220" spans="1:20" ht="12" customHeight="1" outlineLevel="1" x14ac:dyDescent="0.25">
      <c r="A220" s="1960"/>
      <c r="B220" s="1955" t="s">
        <v>152</v>
      </c>
      <c r="C220" s="2051" t="s">
        <v>1647</v>
      </c>
      <c r="D220" s="2047"/>
      <c r="E220" s="2047"/>
      <c r="F220" s="2048"/>
      <c r="G220" s="1969" t="s">
        <v>637</v>
      </c>
      <c r="H220" s="1959">
        <v>0</v>
      </c>
      <c r="I220" s="1959">
        <v>0</v>
      </c>
      <c r="J220" s="1959">
        <v>300000</v>
      </c>
      <c r="K220" s="1959">
        <v>300000</v>
      </c>
      <c r="L220" s="1959">
        <f>+'[5]Silnice stavba'!$B$265</f>
        <v>300000</v>
      </c>
      <c r="M220" s="2030">
        <f t="shared" si="10"/>
        <v>0</v>
      </c>
      <c r="N220" s="1959"/>
      <c r="O220" s="1959"/>
      <c r="P220" s="1959"/>
      <c r="Q220" s="1959"/>
      <c r="R220" s="1959"/>
      <c r="S220" s="1882"/>
      <c r="T220" s="1924"/>
    </row>
    <row r="221" spans="1:20" ht="12" hidden="1" customHeight="1" outlineLevel="1" x14ac:dyDescent="0.25">
      <c r="A221" s="1960"/>
      <c r="B221" s="1955" t="s">
        <v>152</v>
      </c>
      <c r="C221" s="2046" t="s">
        <v>1648</v>
      </c>
      <c r="D221" s="2047"/>
      <c r="E221" s="2047"/>
      <c r="F221" s="2048"/>
      <c r="G221" s="1969" t="s">
        <v>637</v>
      </c>
      <c r="H221" s="1959">
        <v>0</v>
      </c>
      <c r="I221" s="1959">
        <v>0</v>
      </c>
      <c r="J221" s="1959">
        <v>0</v>
      </c>
      <c r="K221" s="1959">
        <v>0</v>
      </c>
      <c r="L221" s="1959">
        <f>+'[5]Silnice stavba'!$B$274</f>
        <v>0</v>
      </c>
      <c r="M221" s="2030">
        <f t="shared" si="10"/>
        <v>0</v>
      </c>
      <c r="N221" s="1959"/>
      <c r="O221" s="1959"/>
      <c r="P221" s="1959"/>
      <c r="Q221" s="1959"/>
      <c r="R221" s="1959"/>
      <c r="S221" s="1882"/>
      <c r="T221" s="1924"/>
    </row>
    <row r="222" spans="1:20" ht="12" hidden="1" customHeight="1" outlineLevel="1" x14ac:dyDescent="0.25">
      <c r="A222" s="1960"/>
      <c r="B222" s="1955" t="s">
        <v>152</v>
      </c>
      <c r="C222" s="2046" t="s">
        <v>1649</v>
      </c>
      <c r="D222" s="2047"/>
      <c r="E222" s="2047"/>
      <c r="F222" s="2048"/>
      <c r="G222" s="1969" t="s">
        <v>637</v>
      </c>
      <c r="H222" s="1959">
        <v>0</v>
      </c>
      <c r="I222" s="1959">
        <v>0</v>
      </c>
      <c r="J222" s="1959">
        <v>0</v>
      </c>
      <c r="K222" s="1959">
        <v>0</v>
      </c>
      <c r="L222" s="1959">
        <f>+'[5]Silnice stavba'!$B$275</f>
        <v>0</v>
      </c>
      <c r="M222" s="2030">
        <f t="shared" si="10"/>
        <v>0</v>
      </c>
      <c r="N222" s="1959"/>
      <c r="O222" s="1959"/>
      <c r="P222" s="1959"/>
      <c r="Q222" s="1959"/>
      <c r="R222" s="1959"/>
      <c r="S222" s="1882"/>
      <c r="T222" s="1924"/>
    </row>
    <row r="223" spans="1:20" ht="12" customHeight="1" outlineLevel="1" x14ac:dyDescent="0.25">
      <c r="A223" s="1960"/>
      <c r="B223" s="1955" t="s">
        <v>152</v>
      </c>
      <c r="C223" s="2046" t="s">
        <v>2228</v>
      </c>
      <c r="D223" s="2047"/>
      <c r="E223" s="2047"/>
      <c r="F223" s="2048"/>
      <c r="G223" s="1969" t="s">
        <v>637</v>
      </c>
      <c r="H223" s="1959">
        <v>6000000</v>
      </c>
      <c r="I223" s="1959">
        <v>6000000</v>
      </c>
      <c r="J223" s="1959">
        <v>6000000</v>
      </c>
      <c r="K223" s="1959">
        <v>0</v>
      </c>
      <c r="L223" s="1959">
        <f>+'[5]Silnice stavba'!$B$284</f>
        <v>0</v>
      </c>
      <c r="M223" s="2030">
        <f t="shared" si="10"/>
        <v>0</v>
      </c>
      <c r="N223" s="1959"/>
      <c r="O223" s="1959"/>
      <c r="P223" s="1959"/>
      <c r="Q223" s="1959"/>
      <c r="R223" s="1959" t="s">
        <v>2851</v>
      </c>
      <c r="S223" s="1882"/>
      <c r="T223" s="1924"/>
    </row>
    <row r="224" spans="1:20" ht="12" customHeight="1" outlineLevel="1" x14ac:dyDescent="0.25">
      <c r="A224" s="1960"/>
      <c r="B224" s="1955" t="s">
        <v>152</v>
      </c>
      <c r="C224" s="2046" t="s">
        <v>2229</v>
      </c>
      <c r="D224" s="2047"/>
      <c r="E224" s="2047"/>
      <c r="F224" s="2048"/>
      <c r="G224" s="1969" t="s">
        <v>637</v>
      </c>
      <c r="H224" s="1959">
        <v>0</v>
      </c>
      <c r="I224" s="1959">
        <v>0</v>
      </c>
      <c r="J224" s="1959">
        <v>0</v>
      </c>
      <c r="K224" s="1959">
        <v>0</v>
      </c>
      <c r="L224" s="1959">
        <f>+'[5]Silnice stavba'!$B$285</f>
        <v>0</v>
      </c>
      <c r="M224" s="2030">
        <f t="shared" si="10"/>
        <v>0</v>
      </c>
      <c r="N224" s="1959"/>
      <c r="O224" s="1959"/>
      <c r="P224" s="1959"/>
      <c r="Q224" s="1959"/>
      <c r="R224" s="1959"/>
      <c r="S224" s="1882"/>
      <c r="T224" s="1924"/>
    </row>
    <row r="225" spans="1:21" ht="12" customHeight="1" outlineLevel="1" x14ac:dyDescent="0.25">
      <c r="A225" s="1960"/>
      <c r="B225" s="1955" t="s">
        <v>152</v>
      </c>
      <c r="C225" s="2046" t="s">
        <v>2230</v>
      </c>
      <c r="D225" s="2047"/>
      <c r="E225" s="2047"/>
      <c r="F225" s="2048"/>
      <c r="G225" s="1969" t="s">
        <v>637</v>
      </c>
      <c r="H225" s="1959">
        <v>400000</v>
      </c>
      <c r="I225" s="1959">
        <v>400000</v>
      </c>
      <c r="J225" s="1959">
        <v>400000</v>
      </c>
      <c r="K225" s="1959">
        <v>400000</v>
      </c>
      <c r="L225" s="1959">
        <f>+'[5]Silnice stavba'!$B$298</f>
        <v>400000</v>
      </c>
      <c r="M225" s="2030">
        <f t="shared" si="10"/>
        <v>0</v>
      </c>
      <c r="N225" s="1959"/>
      <c r="O225" s="1959"/>
      <c r="P225" s="1959"/>
      <c r="Q225" s="1959"/>
      <c r="R225" s="1959"/>
      <c r="S225" s="1882"/>
      <c r="T225" s="1924"/>
    </row>
    <row r="226" spans="1:21" ht="12" customHeight="1" outlineLevel="1" x14ac:dyDescent="0.25">
      <c r="A226" s="1960"/>
      <c r="B226" s="1955" t="s">
        <v>152</v>
      </c>
      <c r="C226" s="2046" t="s">
        <v>2230</v>
      </c>
      <c r="D226" s="2047"/>
      <c r="E226" s="2047"/>
      <c r="F226" s="2048"/>
      <c r="G226" s="1969" t="s">
        <v>637</v>
      </c>
      <c r="H226" s="1959">
        <v>0</v>
      </c>
      <c r="I226" s="1959">
        <v>0</v>
      </c>
      <c r="J226" s="1959">
        <v>0</v>
      </c>
      <c r="K226" s="1959">
        <v>0</v>
      </c>
      <c r="L226" s="1959">
        <f>+'[5]Silnice stavba'!$B$294</f>
        <v>0</v>
      </c>
      <c r="M226" s="2030">
        <f t="shared" si="10"/>
        <v>0</v>
      </c>
      <c r="N226" s="1959"/>
      <c r="O226" s="1959"/>
      <c r="P226" s="1959"/>
      <c r="Q226" s="1959"/>
      <c r="R226" s="1959"/>
      <c r="S226" s="1882"/>
      <c r="T226" s="1924"/>
    </row>
    <row r="227" spans="1:21" ht="12" customHeight="1" outlineLevel="1" x14ac:dyDescent="0.25">
      <c r="A227" s="1960"/>
      <c r="B227" s="1955" t="s">
        <v>152</v>
      </c>
      <c r="C227" s="2046" t="s">
        <v>1674</v>
      </c>
      <c r="D227" s="2047"/>
      <c r="E227" s="2047"/>
      <c r="F227" s="2048"/>
      <c r="G227" s="1969" t="s">
        <v>637</v>
      </c>
      <c r="H227" s="1959">
        <v>100000</v>
      </c>
      <c r="I227" s="1959">
        <v>100000</v>
      </c>
      <c r="J227" s="1959">
        <v>100000</v>
      </c>
      <c r="K227" s="1959">
        <v>100000</v>
      </c>
      <c r="L227" s="1959">
        <f>+'[5]Silnice - pozemky'!$B$4</f>
        <v>100000</v>
      </c>
      <c r="M227" s="2030">
        <f t="shared" si="10"/>
        <v>0</v>
      </c>
      <c r="N227" s="1959"/>
      <c r="O227" s="1959"/>
      <c r="P227" s="1959"/>
      <c r="Q227" s="1959"/>
      <c r="R227" s="1959"/>
      <c r="S227" s="1882"/>
      <c r="T227" s="1924"/>
    </row>
    <row r="228" spans="1:21" ht="12" customHeight="1" outlineLevel="1" x14ac:dyDescent="0.25">
      <c r="A228" s="1960"/>
      <c r="B228" s="1955" t="s">
        <v>152</v>
      </c>
      <c r="C228" s="2052" t="s">
        <v>2854</v>
      </c>
      <c r="D228" s="2053"/>
      <c r="E228" s="2053"/>
      <c r="F228" s="2054"/>
      <c r="G228" s="1969" t="s">
        <v>637</v>
      </c>
      <c r="H228" s="1975"/>
      <c r="I228" s="1975"/>
      <c r="J228" s="1975"/>
      <c r="K228" s="1975">
        <v>363000</v>
      </c>
      <c r="L228" s="1975">
        <f>+'[5]Silnice stavba'!$B$304</f>
        <v>363000</v>
      </c>
      <c r="M228" s="2030">
        <f t="shared" si="10"/>
        <v>0</v>
      </c>
      <c r="N228" s="1975"/>
      <c r="O228" s="1975"/>
      <c r="P228" s="1975"/>
      <c r="Q228" s="1975"/>
      <c r="R228" s="1975"/>
      <c r="S228" s="1882"/>
      <c r="T228" s="1924"/>
    </row>
    <row r="229" spans="1:21" ht="12" hidden="1" customHeight="1" outlineLevel="1" x14ac:dyDescent="0.25">
      <c r="A229" s="1960"/>
      <c r="B229" s="1955" t="s">
        <v>152</v>
      </c>
      <c r="C229" s="2052" t="s">
        <v>2855</v>
      </c>
      <c r="D229" s="2053"/>
      <c r="E229" s="2053"/>
      <c r="F229" s="2054"/>
      <c r="G229" s="1969" t="s">
        <v>637</v>
      </c>
      <c r="H229" s="1975"/>
      <c r="I229" s="1975"/>
      <c r="J229" s="1975"/>
      <c r="K229" s="1975">
        <v>0</v>
      </c>
      <c r="L229" s="1975">
        <f>+'[5]Silnice stavba'!$B$305</f>
        <v>0</v>
      </c>
      <c r="M229" s="2030">
        <f t="shared" si="10"/>
        <v>0</v>
      </c>
      <c r="N229" s="1975"/>
      <c r="O229" s="1975"/>
      <c r="P229" s="1975"/>
      <c r="Q229" s="1975"/>
      <c r="R229" s="1975"/>
      <c r="S229" s="1882"/>
      <c r="T229" s="1924"/>
    </row>
    <row r="230" spans="1:21" ht="12" hidden="1" customHeight="1" outlineLevel="1" x14ac:dyDescent="0.25">
      <c r="A230" s="1960"/>
      <c r="B230" s="1955" t="s">
        <v>152</v>
      </c>
      <c r="C230" s="2052" t="s">
        <v>2277</v>
      </c>
      <c r="D230" s="2053"/>
      <c r="E230" s="2053"/>
      <c r="F230" s="2054"/>
      <c r="G230" s="1969" t="s">
        <v>637</v>
      </c>
      <c r="H230" s="1975">
        <v>0</v>
      </c>
      <c r="I230" s="1975">
        <v>0</v>
      </c>
      <c r="J230" s="1975">
        <v>0</v>
      </c>
      <c r="K230" s="1975">
        <v>0</v>
      </c>
      <c r="L230" s="1975">
        <f>+[4]Silnice!$B$73</f>
        <v>0</v>
      </c>
      <c r="M230" s="2030">
        <f t="shared" si="10"/>
        <v>0</v>
      </c>
      <c r="N230" s="1975"/>
      <c r="O230" s="1975"/>
      <c r="P230" s="1975"/>
      <c r="Q230" s="1975"/>
      <c r="R230" s="1975"/>
      <c r="S230" s="1882"/>
      <c r="T230" s="1924"/>
    </row>
    <row r="231" spans="1:21" ht="12" hidden="1" customHeight="1" outlineLevel="1" x14ac:dyDescent="0.25">
      <c r="A231" s="1960"/>
      <c r="B231" s="1955" t="s">
        <v>152</v>
      </c>
      <c r="C231" s="2052" t="s">
        <v>2278</v>
      </c>
      <c r="D231" s="2053"/>
      <c r="E231" s="2053"/>
      <c r="F231" s="2054"/>
      <c r="G231" s="1969" t="s">
        <v>637</v>
      </c>
      <c r="H231" s="1975">
        <v>0</v>
      </c>
      <c r="I231" s="1975">
        <v>0</v>
      </c>
      <c r="J231" s="1975">
        <v>0</v>
      </c>
      <c r="K231" s="1975">
        <v>0</v>
      </c>
      <c r="L231" s="1975">
        <f>+[4]Silnice!$B$74</f>
        <v>0</v>
      </c>
      <c r="M231" s="2030">
        <f t="shared" si="10"/>
        <v>0</v>
      </c>
      <c r="N231" s="1975"/>
      <c r="O231" s="1975"/>
      <c r="P231" s="1975"/>
      <c r="Q231" s="1975"/>
      <c r="R231" s="1975"/>
      <c r="S231" s="1882"/>
      <c r="T231" s="1924"/>
    </row>
    <row r="232" spans="1:21" ht="12" hidden="1" customHeight="1" outlineLevel="1" x14ac:dyDescent="0.25">
      <c r="A232" s="1960"/>
      <c r="B232" s="1955" t="s">
        <v>152</v>
      </c>
      <c r="C232" s="2052" t="s">
        <v>2279</v>
      </c>
      <c r="D232" s="2053"/>
      <c r="E232" s="2053"/>
      <c r="F232" s="2054"/>
      <c r="G232" s="1969" t="s">
        <v>637</v>
      </c>
      <c r="H232" s="1975">
        <v>0</v>
      </c>
      <c r="I232" s="1975">
        <v>0</v>
      </c>
      <c r="J232" s="1975">
        <v>0</v>
      </c>
      <c r="K232" s="1975">
        <v>0</v>
      </c>
      <c r="L232" s="1975">
        <f>+[4]Silnice!$B$75</f>
        <v>0</v>
      </c>
      <c r="M232" s="2055">
        <f t="shared" si="10"/>
        <v>0</v>
      </c>
      <c r="N232" s="1975"/>
      <c r="O232" s="1975"/>
      <c r="P232" s="1975"/>
      <c r="Q232" s="1975"/>
      <c r="R232" s="1975"/>
      <c r="S232" s="1882"/>
      <c r="T232" s="1924"/>
    </row>
    <row r="233" spans="1:21" ht="12" hidden="1" customHeight="1" outlineLevel="1" x14ac:dyDescent="0.25">
      <c r="A233" s="1960"/>
      <c r="B233" s="1955" t="s">
        <v>152</v>
      </c>
      <c r="C233" s="2052" t="s">
        <v>2277</v>
      </c>
      <c r="D233" s="2053"/>
      <c r="E233" s="2053"/>
      <c r="F233" s="2054"/>
      <c r="G233" s="1969" t="s">
        <v>637</v>
      </c>
      <c r="H233" s="1975">
        <v>0</v>
      </c>
      <c r="I233" s="1975">
        <v>0</v>
      </c>
      <c r="J233" s="1975">
        <v>0</v>
      </c>
      <c r="K233" s="1975">
        <v>0</v>
      </c>
      <c r="L233" s="1975">
        <f>+[4]Silnice!$B$68</f>
        <v>0</v>
      </c>
      <c r="M233" s="2055">
        <f t="shared" si="10"/>
        <v>0</v>
      </c>
      <c r="N233" s="1975"/>
      <c r="O233" s="1975"/>
      <c r="P233" s="1975"/>
      <c r="Q233" s="1975"/>
      <c r="R233" s="1975"/>
      <c r="S233" s="1882"/>
      <c r="T233" s="1924"/>
    </row>
    <row r="234" spans="1:21" ht="12" hidden="1" customHeight="1" outlineLevel="1" x14ac:dyDescent="0.25">
      <c r="A234" s="1960"/>
      <c r="B234" s="1955" t="s">
        <v>152</v>
      </c>
      <c r="C234" s="2052" t="s">
        <v>2362</v>
      </c>
      <c r="D234" s="2053"/>
      <c r="E234" s="2053"/>
      <c r="F234" s="2054"/>
      <c r="G234" s="1969" t="s">
        <v>637</v>
      </c>
      <c r="H234" s="1975">
        <v>0</v>
      </c>
      <c r="I234" s="1975">
        <v>0</v>
      </c>
      <c r="J234" s="1975">
        <v>0</v>
      </c>
      <c r="K234" s="1975">
        <v>0</v>
      </c>
      <c r="L234" s="1975">
        <f>+[4]Silnice!$B$69</f>
        <v>0</v>
      </c>
      <c r="M234" s="2055">
        <f t="shared" si="10"/>
        <v>0</v>
      </c>
      <c r="N234" s="1975"/>
      <c r="O234" s="1975"/>
      <c r="P234" s="1975"/>
      <c r="Q234" s="1975"/>
      <c r="R234" s="1975"/>
      <c r="S234" s="1882"/>
      <c r="T234" s="1924"/>
    </row>
    <row r="235" spans="1:21" ht="12" hidden="1" customHeight="1" outlineLevel="1" x14ac:dyDescent="0.25">
      <c r="A235" s="1960"/>
      <c r="B235" s="1955" t="s">
        <v>152</v>
      </c>
      <c r="C235" s="2052" t="s">
        <v>2279</v>
      </c>
      <c r="D235" s="2053"/>
      <c r="E235" s="2053"/>
      <c r="F235" s="2054"/>
      <c r="G235" s="1969" t="s">
        <v>637</v>
      </c>
      <c r="H235" s="1975">
        <v>0</v>
      </c>
      <c r="I235" s="1975">
        <v>0</v>
      </c>
      <c r="J235" s="1975">
        <v>0</v>
      </c>
      <c r="K235" s="1975">
        <v>0</v>
      </c>
      <c r="L235" s="1975">
        <f>+[4]Silnice!$B$70</f>
        <v>0</v>
      </c>
      <c r="M235" s="2055">
        <f t="shared" si="10"/>
        <v>0</v>
      </c>
      <c r="N235" s="1975"/>
      <c r="O235" s="1975"/>
      <c r="P235" s="1975"/>
      <c r="Q235" s="1975"/>
      <c r="R235" s="1975"/>
      <c r="S235" s="1882"/>
      <c r="T235" s="1924"/>
    </row>
    <row r="236" spans="1:21" ht="12" customHeight="1" outlineLevel="1" thickBot="1" x14ac:dyDescent="0.3">
      <c r="A236" s="2021">
        <v>2212</v>
      </c>
      <c r="B236" s="2029" t="s">
        <v>152</v>
      </c>
      <c r="C236" s="2056"/>
      <c r="D236" s="2057"/>
      <c r="E236" s="2057"/>
      <c r="F236" s="2058"/>
      <c r="G236" s="2057" t="s">
        <v>637</v>
      </c>
      <c r="H236" s="1931"/>
      <c r="I236" s="1931"/>
      <c r="J236" s="1931"/>
      <c r="K236" s="1931"/>
      <c r="L236" s="1931"/>
      <c r="M236" s="1932">
        <f t="shared" si="10"/>
        <v>0</v>
      </c>
      <c r="N236" s="1931"/>
      <c r="O236" s="1931"/>
      <c r="P236" s="1931"/>
      <c r="Q236" s="1931"/>
      <c r="R236" s="1931"/>
      <c r="S236" s="1882"/>
      <c r="T236" s="1924"/>
    </row>
    <row r="237" spans="1:21" ht="13.5" thickBot="1" x14ac:dyDescent="0.3">
      <c r="A237" s="3164" t="s">
        <v>630</v>
      </c>
      <c r="B237" s="3165"/>
      <c r="C237" s="1918"/>
      <c r="D237" s="1919"/>
      <c r="E237" s="1919"/>
      <c r="F237" s="1920"/>
      <c r="G237" s="1919"/>
      <c r="H237" s="1921">
        <v>8850000</v>
      </c>
      <c r="I237" s="1921">
        <v>8850000</v>
      </c>
      <c r="J237" s="1921">
        <v>13650000</v>
      </c>
      <c r="K237" s="1921">
        <v>8013000</v>
      </c>
      <c r="L237" s="1921">
        <f>SUM(L178:L236)</f>
        <v>3513000</v>
      </c>
      <c r="M237" s="1922">
        <f t="shared" si="10"/>
        <v>-4500000</v>
      </c>
      <c r="N237" s="1921"/>
      <c r="O237" s="1921">
        <f>SUM(O178:O236)</f>
        <v>0</v>
      </c>
      <c r="P237" s="1921"/>
      <c r="Q237" s="1921"/>
      <c r="R237" s="1921"/>
      <c r="S237" s="1923">
        <f>'Výdaje kapitol celkem'!CF69</f>
        <v>3513000</v>
      </c>
      <c r="T237" s="1924">
        <f>+S237-L237</f>
        <v>0</v>
      </c>
    </row>
    <row r="238" spans="1:21" s="1967" customFormat="1" ht="12" customHeight="1" outlineLevel="1" x14ac:dyDescent="0.25">
      <c r="A238" s="1960"/>
      <c r="B238" s="1901" t="s">
        <v>155</v>
      </c>
      <c r="C238" s="2059" t="s">
        <v>1652</v>
      </c>
      <c r="D238" s="2000"/>
      <c r="E238" s="2000"/>
      <c r="F238" s="2060"/>
      <c r="G238" s="1969" t="s">
        <v>637</v>
      </c>
      <c r="H238" s="1905">
        <v>0</v>
      </c>
      <c r="I238" s="1905">
        <v>0</v>
      </c>
      <c r="J238" s="1905">
        <v>0</v>
      </c>
      <c r="K238" s="1905">
        <v>0</v>
      </c>
      <c r="L238" s="1905">
        <f>+'[5]Inženýrské sítě'!$B$9+'[6]Inženýrské sítě 3633'!$B$12+'[6]Inženýrské sítě 3633'!$B$13</f>
        <v>31793</v>
      </c>
      <c r="M238" s="1906">
        <f t="shared" si="10"/>
        <v>31793</v>
      </c>
      <c r="N238" s="1905"/>
      <c r="O238" s="1905"/>
      <c r="P238" s="1905"/>
      <c r="Q238" s="1905"/>
      <c r="R238" s="1905"/>
      <c r="S238" s="1882"/>
      <c r="T238" s="1924"/>
      <c r="U238" s="1966"/>
    </row>
    <row r="239" spans="1:21" s="1967" customFormat="1" ht="12" customHeight="1" outlineLevel="1" thickBot="1" x14ac:dyDescent="0.3">
      <c r="A239" s="2021">
        <v>3633</v>
      </c>
      <c r="B239" s="1955" t="s">
        <v>155</v>
      </c>
      <c r="C239" s="1968" t="s">
        <v>1650</v>
      </c>
      <c r="D239" s="1969"/>
      <c r="E239" s="1969"/>
      <c r="F239" s="1970"/>
      <c r="G239" s="1969" t="s">
        <v>637</v>
      </c>
      <c r="H239" s="1959">
        <v>250000</v>
      </c>
      <c r="I239" s="1959">
        <v>250000</v>
      </c>
      <c r="J239" s="1959">
        <v>250000</v>
      </c>
      <c r="K239" s="1959">
        <v>250000</v>
      </c>
      <c r="L239" s="1959">
        <f>+'[5]Inženýrské sítě'!$B$8</f>
        <v>50000</v>
      </c>
      <c r="M239" s="2030">
        <f t="shared" si="10"/>
        <v>-200000</v>
      </c>
      <c r="N239" s="1959"/>
      <c r="O239" s="1959"/>
      <c r="P239" s="1959"/>
      <c r="Q239" s="1959"/>
      <c r="R239" s="1959"/>
      <c r="S239" s="1882"/>
      <c r="T239" s="1924"/>
      <c r="U239" s="1966"/>
    </row>
    <row r="240" spans="1:21" s="1967" customFormat="1" ht="12.75" customHeight="1" thickBot="1" x14ac:dyDescent="0.3">
      <c r="A240" s="3164" t="s">
        <v>1188</v>
      </c>
      <c r="B240" s="3165"/>
      <c r="C240" s="1918"/>
      <c r="D240" s="1919"/>
      <c r="E240" s="1919"/>
      <c r="F240" s="1920"/>
      <c r="G240" s="1918"/>
      <c r="H240" s="1921">
        <v>250000</v>
      </c>
      <c r="I240" s="1921">
        <v>250000</v>
      </c>
      <c r="J240" s="1921">
        <v>250000</v>
      </c>
      <c r="K240" s="1921">
        <v>250000</v>
      </c>
      <c r="L240" s="1921">
        <f>SUM(L238:L239)</f>
        <v>81793</v>
      </c>
      <c r="M240" s="1922">
        <f t="shared" si="10"/>
        <v>-168207</v>
      </c>
      <c r="N240" s="1921"/>
      <c r="O240" s="1921"/>
      <c r="P240" s="1921"/>
      <c r="Q240" s="1921"/>
      <c r="R240" s="1921"/>
      <c r="S240" s="1923">
        <f>'Výdaje kapitol celkem'!CV69</f>
        <v>81793</v>
      </c>
      <c r="T240" s="1924">
        <f>+S240-L240</f>
        <v>0</v>
      </c>
      <c r="U240" s="1966"/>
    </row>
    <row r="241" spans="1:21" s="1967" customFormat="1" ht="24.75" outlineLevel="1" x14ac:dyDescent="0.25">
      <c r="A241" s="1960"/>
      <c r="B241" s="1901" t="s">
        <v>154</v>
      </c>
      <c r="C241" s="2059" t="s">
        <v>1676</v>
      </c>
      <c r="D241" s="2000"/>
      <c r="E241" s="2000"/>
      <c r="F241" s="2060"/>
      <c r="G241" s="1969" t="s">
        <v>637</v>
      </c>
      <c r="H241" s="1905">
        <v>50000</v>
      </c>
      <c r="I241" s="1905">
        <v>50000</v>
      </c>
      <c r="J241" s="1905">
        <v>50000</v>
      </c>
      <c r="K241" s="1905">
        <v>50000</v>
      </c>
      <c r="L241" s="1905">
        <f>+[5]Kanalizace!$B$8</f>
        <v>50000</v>
      </c>
      <c r="M241" s="1906">
        <f t="shared" si="10"/>
        <v>0</v>
      </c>
      <c r="N241" s="1907"/>
      <c r="O241" s="1908"/>
      <c r="P241" s="1909"/>
      <c r="Q241" s="1909"/>
      <c r="R241" s="1905"/>
      <c r="S241" s="1882"/>
      <c r="T241" s="1924"/>
      <c r="U241" s="1966"/>
    </row>
    <row r="242" spans="1:21" s="1967" customFormat="1" ht="24.75" hidden="1" outlineLevel="1" x14ac:dyDescent="0.25">
      <c r="A242" s="1960"/>
      <c r="B242" s="1955" t="s">
        <v>154</v>
      </c>
      <c r="C242" s="1968" t="s">
        <v>1677</v>
      </c>
      <c r="D242" s="1969"/>
      <c r="E242" s="1969"/>
      <c r="F242" s="1970"/>
      <c r="G242" s="1969" t="s">
        <v>637</v>
      </c>
      <c r="H242" s="1959">
        <v>0</v>
      </c>
      <c r="I242" s="1959">
        <v>0</v>
      </c>
      <c r="J242" s="1959">
        <v>0</v>
      </c>
      <c r="K242" s="1959">
        <v>0</v>
      </c>
      <c r="L242" s="1959">
        <f>+[5]Kanalizace!$B$9</f>
        <v>0</v>
      </c>
      <c r="M242" s="2030">
        <f t="shared" si="10"/>
        <v>0</v>
      </c>
      <c r="N242" s="2061"/>
      <c r="O242" s="2023"/>
      <c r="P242" s="2062"/>
      <c r="Q242" s="2062"/>
      <c r="R242" s="1959"/>
      <c r="S242" s="1882"/>
      <c r="T242" s="1924"/>
      <c r="U242" s="1966"/>
    </row>
    <row r="243" spans="1:21" s="1967" customFormat="1" ht="12" hidden="1" customHeight="1" outlineLevel="1" x14ac:dyDescent="0.25">
      <c r="A243" s="1960"/>
      <c r="B243" s="1955" t="s">
        <v>154</v>
      </c>
      <c r="C243" s="1968" t="s">
        <v>1678</v>
      </c>
      <c r="D243" s="1969"/>
      <c r="E243" s="1969"/>
      <c r="F243" s="1970"/>
      <c r="G243" s="1969" t="s">
        <v>637</v>
      </c>
      <c r="H243" s="1959">
        <v>0</v>
      </c>
      <c r="I243" s="1959">
        <v>0</v>
      </c>
      <c r="J243" s="1959">
        <v>0</v>
      </c>
      <c r="K243" s="1959">
        <v>0</v>
      </c>
      <c r="L243" s="1959">
        <f>+[5]Kanalizace!$B$23</f>
        <v>0</v>
      </c>
      <c r="M243" s="2030">
        <f t="shared" si="10"/>
        <v>0</v>
      </c>
      <c r="N243" s="2061"/>
      <c r="O243" s="2023"/>
      <c r="P243" s="2062"/>
      <c r="Q243" s="2062"/>
      <c r="R243" s="1959"/>
      <c r="S243" s="1882"/>
      <c r="T243" s="1924"/>
      <c r="U243" s="1966"/>
    </row>
    <row r="244" spans="1:21" s="1967" customFormat="1" ht="12" hidden="1" customHeight="1" outlineLevel="1" x14ac:dyDescent="0.25">
      <c r="A244" s="1960"/>
      <c r="B244" s="1955" t="s">
        <v>154</v>
      </c>
      <c r="C244" s="1968" t="s">
        <v>1679</v>
      </c>
      <c r="D244" s="1969"/>
      <c r="E244" s="1969"/>
      <c r="F244" s="1970"/>
      <c r="G244" s="1969" t="s">
        <v>637</v>
      </c>
      <c r="H244" s="1959">
        <v>0</v>
      </c>
      <c r="I244" s="1959">
        <v>0</v>
      </c>
      <c r="J244" s="1959">
        <v>0</v>
      </c>
      <c r="K244" s="1959">
        <v>0</v>
      </c>
      <c r="L244" s="1959">
        <f>+[5]Kanalizace!$B$24</f>
        <v>0</v>
      </c>
      <c r="M244" s="2030">
        <f t="shared" si="10"/>
        <v>0</v>
      </c>
      <c r="N244" s="2061"/>
      <c r="O244" s="2023"/>
      <c r="P244" s="2062"/>
      <c r="Q244" s="2062"/>
      <c r="R244" s="1959"/>
      <c r="S244" s="1882"/>
      <c r="T244" s="1924"/>
      <c r="U244" s="1966"/>
    </row>
    <row r="245" spans="1:21" s="1967" customFormat="1" ht="12" hidden="1" customHeight="1" outlineLevel="1" x14ac:dyDescent="0.25">
      <c r="A245" s="1960"/>
      <c r="B245" s="1955" t="s">
        <v>154</v>
      </c>
      <c r="C245" s="1968" t="s">
        <v>1680</v>
      </c>
      <c r="D245" s="1969"/>
      <c r="E245" s="1969"/>
      <c r="F245" s="1970"/>
      <c r="G245" s="1969" t="s">
        <v>637</v>
      </c>
      <c r="H245" s="1959">
        <v>0</v>
      </c>
      <c r="I245" s="1959">
        <v>0</v>
      </c>
      <c r="J245" s="1959">
        <v>0</v>
      </c>
      <c r="K245" s="1959">
        <v>0</v>
      </c>
      <c r="L245" s="1959">
        <f>+[5]Kanalizace!$B$25</f>
        <v>0</v>
      </c>
      <c r="M245" s="2030">
        <f t="shared" si="10"/>
        <v>0</v>
      </c>
      <c r="N245" s="2061"/>
      <c r="O245" s="2023"/>
      <c r="P245" s="2062"/>
      <c r="Q245" s="2062"/>
      <c r="R245" s="1959"/>
      <c r="S245" s="1882"/>
      <c r="T245" s="1924"/>
      <c r="U245" s="1966"/>
    </row>
    <row r="246" spans="1:21" s="1967" customFormat="1" ht="12" hidden="1" customHeight="1" outlineLevel="1" x14ac:dyDescent="0.25">
      <c r="A246" s="1960"/>
      <c r="B246" s="1955" t="s">
        <v>154</v>
      </c>
      <c r="C246" s="1968" t="s">
        <v>1681</v>
      </c>
      <c r="D246" s="1969"/>
      <c r="E246" s="1969"/>
      <c r="F246" s="1970"/>
      <c r="G246" s="1969" t="s">
        <v>637</v>
      </c>
      <c r="H246" s="1959">
        <v>0</v>
      </c>
      <c r="I246" s="1959">
        <v>0</v>
      </c>
      <c r="J246" s="1959">
        <v>0</v>
      </c>
      <c r="K246" s="1959">
        <v>0</v>
      </c>
      <c r="L246" s="1959">
        <f>+[5]Kanalizace!$B$29</f>
        <v>0</v>
      </c>
      <c r="M246" s="2030">
        <f t="shared" si="10"/>
        <v>0</v>
      </c>
      <c r="N246" s="2061"/>
      <c r="O246" s="2023"/>
      <c r="P246" s="2062"/>
      <c r="Q246" s="2062"/>
      <c r="R246" s="1959"/>
      <c r="S246" s="1882"/>
      <c r="T246" s="1924"/>
      <c r="U246" s="1966"/>
    </row>
    <row r="247" spans="1:21" s="1967" customFormat="1" ht="12" hidden="1" customHeight="1" outlineLevel="1" x14ac:dyDescent="0.25">
      <c r="A247" s="1960"/>
      <c r="B247" s="1955" t="s">
        <v>154</v>
      </c>
      <c r="C247" s="2063" t="s">
        <v>1682</v>
      </c>
      <c r="D247" s="2064"/>
      <c r="E247" s="2064"/>
      <c r="F247" s="2065"/>
      <c r="G247" s="2064" t="s">
        <v>637</v>
      </c>
      <c r="H247" s="1975">
        <v>0</v>
      </c>
      <c r="I247" s="1975">
        <v>0</v>
      </c>
      <c r="J247" s="1975">
        <v>0</v>
      </c>
      <c r="K247" s="1975">
        <v>0</v>
      </c>
      <c r="L247" s="1975">
        <f>+[5]Kanalizace!$B$30</f>
        <v>0</v>
      </c>
      <c r="M247" s="2055">
        <f t="shared" si="10"/>
        <v>0</v>
      </c>
      <c r="N247" s="2066"/>
      <c r="O247" s="2067"/>
      <c r="P247" s="2068"/>
      <c r="Q247" s="2068"/>
      <c r="R247" s="1975"/>
      <c r="S247" s="1882"/>
      <c r="T247" s="1924"/>
      <c r="U247" s="1966"/>
    </row>
    <row r="248" spans="1:21" s="1967" customFormat="1" ht="12" hidden="1" customHeight="1" outlineLevel="1" x14ac:dyDescent="0.25">
      <c r="A248" s="1960"/>
      <c r="B248" s="1955" t="s">
        <v>154</v>
      </c>
      <c r="C248" s="2063" t="s">
        <v>1683</v>
      </c>
      <c r="D248" s="2064"/>
      <c r="E248" s="2064"/>
      <c r="F248" s="2065"/>
      <c r="G248" s="2064" t="s">
        <v>637</v>
      </c>
      <c r="H248" s="1975">
        <v>0</v>
      </c>
      <c r="I248" s="1975">
        <v>0</v>
      </c>
      <c r="J248" s="1975">
        <v>0</v>
      </c>
      <c r="K248" s="1975">
        <v>0</v>
      </c>
      <c r="L248" s="1975">
        <f>+[5]Kanalizace!$B$41</f>
        <v>0</v>
      </c>
      <c r="M248" s="2055">
        <f t="shared" si="10"/>
        <v>0</v>
      </c>
      <c r="N248" s="2066"/>
      <c r="O248" s="2067"/>
      <c r="P248" s="2068"/>
      <c r="Q248" s="2068"/>
      <c r="R248" s="1975"/>
      <c r="S248" s="1882"/>
      <c r="T248" s="1924"/>
      <c r="U248" s="1966"/>
    </row>
    <row r="249" spans="1:21" s="1967" customFormat="1" ht="12" hidden="1" customHeight="1" outlineLevel="1" x14ac:dyDescent="0.25">
      <c r="A249" s="1960"/>
      <c r="B249" s="1955" t="s">
        <v>154</v>
      </c>
      <c r="C249" s="2063" t="s">
        <v>1684</v>
      </c>
      <c r="D249" s="2064"/>
      <c r="E249" s="2064"/>
      <c r="F249" s="2065"/>
      <c r="G249" s="2064" t="s">
        <v>637</v>
      </c>
      <c r="H249" s="1975">
        <v>0</v>
      </c>
      <c r="I249" s="1975">
        <v>0</v>
      </c>
      <c r="J249" s="1975">
        <v>0</v>
      </c>
      <c r="K249" s="1975">
        <v>0</v>
      </c>
      <c r="L249" s="1975">
        <f>+[5]Kanalizace!$B$42</f>
        <v>0</v>
      </c>
      <c r="M249" s="2055">
        <f t="shared" si="10"/>
        <v>0</v>
      </c>
      <c r="N249" s="2066"/>
      <c r="O249" s="2067"/>
      <c r="P249" s="2068"/>
      <c r="Q249" s="2068"/>
      <c r="R249" s="1975"/>
      <c r="S249" s="1882"/>
      <c r="T249" s="1924"/>
      <c r="U249" s="1966"/>
    </row>
    <row r="250" spans="1:21" s="1967" customFormat="1" ht="12" customHeight="1" outlineLevel="1" x14ac:dyDescent="0.25">
      <c r="A250" s="1960"/>
      <c r="B250" s="2015" t="s">
        <v>154</v>
      </c>
      <c r="C250" s="2069" t="s">
        <v>1685</v>
      </c>
      <c r="D250" s="2070"/>
      <c r="E250" s="2070"/>
      <c r="F250" s="2071"/>
      <c r="G250" s="2070" t="s">
        <v>4</v>
      </c>
      <c r="H250" s="2072">
        <v>0</v>
      </c>
      <c r="I250" s="2072">
        <v>0</v>
      </c>
      <c r="J250" s="2072">
        <v>0</v>
      </c>
      <c r="K250" s="2072">
        <v>0</v>
      </c>
      <c r="L250" s="2072">
        <f>+[5]Kanalizace!$C$64</f>
        <v>0</v>
      </c>
      <c r="M250" s="2073">
        <f t="shared" si="10"/>
        <v>0</v>
      </c>
      <c r="N250" s="2074"/>
      <c r="O250" s="2075"/>
      <c r="P250" s="2076"/>
      <c r="Q250" s="2076"/>
      <c r="R250" s="2072"/>
      <c r="S250" s="1882"/>
      <c r="T250" s="1924"/>
      <c r="U250" s="1966"/>
    </row>
    <row r="251" spans="1:21" s="1967" customFormat="1" ht="12" customHeight="1" outlineLevel="1" x14ac:dyDescent="0.25">
      <c r="A251" s="1960"/>
      <c r="B251" s="1955" t="s">
        <v>154</v>
      </c>
      <c r="C251" s="2063" t="s">
        <v>1685</v>
      </c>
      <c r="D251" s="2064"/>
      <c r="E251" s="2064"/>
      <c r="F251" s="2065"/>
      <c r="G251" s="2064" t="s">
        <v>637</v>
      </c>
      <c r="H251" s="1975"/>
      <c r="I251" s="1975"/>
      <c r="J251" s="1975"/>
      <c r="K251" s="1975">
        <v>0</v>
      </c>
      <c r="L251" s="1975">
        <f>+[5]Kanalizace!$D$64</f>
        <v>8513940</v>
      </c>
      <c r="M251" s="2055">
        <f t="shared" si="10"/>
        <v>8513940</v>
      </c>
      <c r="N251" s="2066"/>
      <c r="O251" s="2067"/>
      <c r="P251" s="2068"/>
      <c r="Q251" s="2068"/>
      <c r="R251" s="1975"/>
      <c r="S251" s="1882"/>
      <c r="T251" s="1924"/>
      <c r="U251" s="1966"/>
    </row>
    <row r="252" spans="1:21" s="1967" customFormat="1" ht="12" customHeight="1" outlineLevel="1" x14ac:dyDescent="0.25">
      <c r="A252" s="1960"/>
      <c r="B252" s="1955" t="s">
        <v>154</v>
      </c>
      <c r="C252" s="2063" t="s">
        <v>1686</v>
      </c>
      <c r="D252" s="2064"/>
      <c r="E252" s="2064"/>
      <c r="F252" s="2065"/>
      <c r="G252" s="2064" t="s">
        <v>637</v>
      </c>
      <c r="H252" s="1975">
        <v>2000000</v>
      </c>
      <c r="I252" s="1975">
        <v>2000000</v>
      </c>
      <c r="J252" s="1975">
        <v>2000000</v>
      </c>
      <c r="K252" s="1975">
        <v>2000000</v>
      </c>
      <c r="L252" s="1975">
        <f>+[5]Kanalizace!$B$54</f>
        <v>2000000</v>
      </c>
      <c r="M252" s="2055">
        <f t="shared" si="10"/>
        <v>0</v>
      </c>
      <c r="N252" s="2066"/>
      <c r="O252" s="2067"/>
      <c r="P252" s="2068"/>
      <c r="Q252" s="2068"/>
      <c r="R252" s="1975"/>
      <c r="S252" s="1882"/>
      <c r="T252" s="1924"/>
      <c r="U252" s="1966"/>
    </row>
    <row r="253" spans="1:21" s="1967" customFormat="1" ht="12" hidden="1" customHeight="1" outlineLevel="1" x14ac:dyDescent="0.25">
      <c r="A253" s="1960"/>
      <c r="B253" s="1955" t="s">
        <v>154</v>
      </c>
      <c r="C253" s="2063" t="s">
        <v>1687</v>
      </c>
      <c r="D253" s="2064"/>
      <c r="E253" s="2064"/>
      <c r="F253" s="2065"/>
      <c r="G253" s="2064" t="s">
        <v>637</v>
      </c>
      <c r="H253" s="1975">
        <v>0</v>
      </c>
      <c r="I253" s="1975">
        <v>0</v>
      </c>
      <c r="J253" s="1975">
        <v>0</v>
      </c>
      <c r="K253" s="1975">
        <v>0</v>
      </c>
      <c r="L253" s="1975">
        <f>+[5]Kanalizace!$B$67</f>
        <v>0</v>
      </c>
      <c r="M253" s="2055">
        <f t="shared" si="10"/>
        <v>0</v>
      </c>
      <c r="N253" s="2066"/>
      <c r="O253" s="2067"/>
      <c r="P253" s="2068"/>
      <c r="Q253" s="2068"/>
      <c r="R253" s="1975"/>
      <c r="S253" s="1882"/>
      <c r="T253" s="1924"/>
      <c r="U253" s="1966"/>
    </row>
    <row r="254" spans="1:21" s="1967" customFormat="1" ht="12" hidden="1" customHeight="1" outlineLevel="1" x14ac:dyDescent="0.25">
      <c r="A254" s="1960"/>
      <c r="B254" s="1955" t="s">
        <v>154</v>
      </c>
      <c r="C254" s="2063" t="s">
        <v>1688</v>
      </c>
      <c r="D254" s="2064"/>
      <c r="E254" s="2064"/>
      <c r="F254" s="2065"/>
      <c r="G254" s="2064" t="s">
        <v>637</v>
      </c>
      <c r="H254" s="1975">
        <v>0</v>
      </c>
      <c r="I254" s="1975">
        <v>0</v>
      </c>
      <c r="J254" s="1975">
        <v>0</v>
      </c>
      <c r="K254" s="1975">
        <v>0</v>
      </c>
      <c r="L254" s="1975">
        <f>+[5]Kanalizace!$B$68</f>
        <v>0</v>
      </c>
      <c r="M254" s="2055">
        <f t="shared" si="10"/>
        <v>0</v>
      </c>
      <c r="N254" s="2066"/>
      <c r="O254" s="2067"/>
      <c r="P254" s="2068"/>
      <c r="Q254" s="2068"/>
      <c r="R254" s="1975"/>
      <c r="S254" s="1882"/>
      <c r="T254" s="1924"/>
      <c r="U254" s="1966"/>
    </row>
    <row r="255" spans="1:21" s="1967" customFormat="1" ht="12" hidden="1" customHeight="1" outlineLevel="1" x14ac:dyDescent="0.25">
      <c r="A255" s="1960"/>
      <c r="B255" s="1955" t="s">
        <v>154</v>
      </c>
      <c r="C255" s="2063" t="s">
        <v>2238</v>
      </c>
      <c r="D255" s="2064"/>
      <c r="E255" s="2064"/>
      <c r="F255" s="2065"/>
      <c r="G255" s="2064" t="s">
        <v>637</v>
      </c>
      <c r="H255" s="1975">
        <v>0</v>
      </c>
      <c r="I255" s="1975">
        <v>0</v>
      </c>
      <c r="J255" s="1975">
        <v>0</v>
      </c>
      <c r="K255" s="1975">
        <v>0</v>
      </c>
      <c r="L255" s="1975">
        <f>+[5]Kanalizace!$B$79</f>
        <v>0</v>
      </c>
      <c r="M255" s="2055">
        <f t="shared" si="10"/>
        <v>0</v>
      </c>
      <c r="N255" s="2066"/>
      <c r="O255" s="2067"/>
      <c r="P255" s="2068"/>
      <c r="Q255" s="2068"/>
      <c r="R255" s="1975"/>
      <c r="S255" s="1882"/>
      <c r="T255" s="1924"/>
      <c r="U255" s="1966"/>
    </row>
    <row r="256" spans="1:21" s="1967" customFormat="1" ht="12" customHeight="1" outlineLevel="1" x14ac:dyDescent="0.25">
      <c r="A256" s="1960"/>
      <c r="B256" s="1955" t="s">
        <v>154</v>
      </c>
      <c r="C256" s="2063" t="s">
        <v>2239</v>
      </c>
      <c r="D256" s="2064"/>
      <c r="E256" s="2064"/>
      <c r="F256" s="2065"/>
      <c r="G256" s="2064" t="s">
        <v>637</v>
      </c>
      <c r="H256" s="1975">
        <v>1500000</v>
      </c>
      <c r="I256" s="1975">
        <v>1500000</v>
      </c>
      <c r="J256" s="1975">
        <v>1500000</v>
      </c>
      <c r="K256" s="1975">
        <v>1500000</v>
      </c>
      <c r="L256" s="1975">
        <f>+[5]Kanalizace!$B$80</f>
        <v>1500000</v>
      </c>
      <c r="M256" s="2055">
        <f t="shared" si="10"/>
        <v>0</v>
      </c>
      <c r="N256" s="2066"/>
      <c r="O256" s="2067"/>
      <c r="P256" s="2068"/>
      <c r="Q256" s="2068"/>
      <c r="R256" s="1975"/>
      <c r="S256" s="1882"/>
      <c r="T256" s="1924"/>
      <c r="U256" s="1966"/>
    </row>
    <row r="257" spans="1:21" s="1967" customFormat="1" ht="12" customHeight="1" outlineLevel="1" thickBot="1" x14ac:dyDescent="0.3">
      <c r="A257" s="2021" t="s">
        <v>178</v>
      </c>
      <c r="B257" s="1981" t="s">
        <v>154</v>
      </c>
      <c r="C257" s="1990"/>
      <c r="D257" s="1982"/>
      <c r="E257" s="1982"/>
      <c r="F257" s="1991"/>
      <c r="G257" s="1982" t="s">
        <v>637</v>
      </c>
      <c r="H257" s="1931"/>
      <c r="I257" s="1931"/>
      <c r="J257" s="1931"/>
      <c r="K257" s="1931"/>
      <c r="L257" s="1931"/>
      <c r="M257" s="1932">
        <f t="shared" si="10"/>
        <v>0</v>
      </c>
      <c r="N257" s="2077"/>
      <c r="O257" s="2078"/>
      <c r="P257" s="2079"/>
      <c r="Q257" s="2079"/>
      <c r="R257" s="1931"/>
      <c r="S257" s="1882"/>
      <c r="T257" s="1924"/>
      <c r="U257" s="1966"/>
    </row>
    <row r="258" spans="1:21" s="1967" customFormat="1" ht="13.5" thickBot="1" x14ac:dyDescent="0.3">
      <c r="A258" s="3164" t="s">
        <v>631</v>
      </c>
      <c r="B258" s="3165"/>
      <c r="C258" s="1918"/>
      <c r="D258" s="1919"/>
      <c r="E258" s="1919"/>
      <c r="F258" s="1920"/>
      <c r="G258" s="1919"/>
      <c r="H258" s="1921">
        <v>3550000</v>
      </c>
      <c r="I258" s="1921">
        <v>3550000</v>
      </c>
      <c r="J258" s="1921">
        <v>3550000</v>
      </c>
      <c r="K258" s="1921">
        <v>3550000</v>
      </c>
      <c r="L258" s="1921">
        <f>SUM(L241:L257)</f>
        <v>12063940</v>
      </c>
      <c r="M258" s="1922">
        <f t="shared" si="10"/>
        <v>8513940</v>
      </c>
      <c r="N258" s="1921"/>
      <c r="O258" s="1921">
        <f>SUM(O241:O246)</f>
        <v>0</v>
      </c>
      <c r="P258" s="1921"/>
      <c r="Q258" s="1921"/>
      <c r="R258" s="1921"/>
      <c r="S258" s="1923">
        <f>'Výdaje kapitol celkem'!CP69</f>
        <v>12063940</v>
      </c>
      <c r="T258" s="1924">
        <f>+S258-L258</f>
        <v>0</v>
      </c>
      <c r="U258" s="1966"/>
    </row>
    <row r="259" spans="1:21" s="1967" customFormat="1" ht="12" customHeight="1" outlineLevel="1" x14ac:dyDescent="0.25">
      <c r="A259" s="1926"/>
      <c r="B259" s="2059" t="s">
        <v>153</v>
      </c>
      <c r="C259" s="2059" t="s">
        <v>1675</v>
      </c>
      <c r="D259" s="2000"/>
      <c r="E259" s="2000"/>
      <c r="F259" s="2060"/>
      <c r="G259" s="2000" t="s">
        <v>637</v>
      </c>
      <c r="H259" s="1905">
        <v>0</v>
      </c>
      <c r="I259" s="1905">
        <v>350000</v>
      </c>
      <c r="J259" s="1905">
        <v>350000</v>
      </c>
      <c r="K259" s="1905">
        <v>350000</v>
      </c>
      <c r="L259" s="1905">
        <f>+[5]Vodovod!$B$4</f>
        <v>350000</v>
      </c>
      <c r="M259" s="1906">
        <f t="shared" si="10"/>
        <v>0</v>
      </c>
      <c r="N259" s="1907"/>
      <c r="O259" s="1908"/>
      <c r="P259" s="1909"/>
      <c r="Q259" s="1909"/>
      <c r="R259" s="1905"/>
      <c r="S259" s="1882"/>
      <c r="T259" s="1924"/>
      <c r="U259" s="1966"/>
    </row>
    <row r="260" spans="1:21" s="1967" customFormat="1" ht="12" customHeight="1" outlineLevel="1" x14ac:dyDescent="0.25">
      <c r="A260" s="1926"/>
      <c r="B260" s="1968" t="s">
        <v>153</v>
      </c>
      <c r="C260" s="1968" t="s">
        <v>1652</v>
      </c>
      <c r="D260" s="1969"/>
      <c r="E260" s="1969"/>
      <c r="F260" s="1970"/>
      <c r="G260" s="1969" t="s">
        <v>637</v>
      </c>
      <c r="H260" s="1959">
        <v>0</v>
      </c>
      <c r="I260" s="1959">
        <v>0</v>
      </c>
      <c r="J260" s="1959">
        <v>0</v>
      </c>
      <c r="K260" s="1959">
        <v>0</v>
      </c>
      <c r="L260" s="1959">
        <f>+[5]Vodovod!$B$5</f>
        <v>0</v>
      </c>
      <c r="M260" s="2030">
        <f t="shared" si="10"/>
        <v>0</v>
      </c>
      <c r="N260" s="2061"/>
      <c r="O260" s="2023"/>
      <c r="P260" s="2062"/>
      <c r="Q260" s="2062"/>
      <c r="R260" s="1959"/>
      <c r="S260" s="1882"/>
      <c r="T260" s="1924"/>
      <c r="U260" s="1966"/>
    </row>
    <row r="261" spans="1:21" s="1967" customFormat="1" ht="16.149999999999999" customHeight="1" outlineLevel="1" thickBot="1" x14ac:dyDescent="0.3">
      <c r="A261" s="1927">
        <v>2310</v>
      </c>
      <c r="B261" s="1981" t="s">
        <v>153</v>
      </c>
      <c r="C261" s="1981"/>
      <c r="D261" s="1977"/>
      <c r="E261" s="1977"/>
      <c r="F261" s="1978"/>
      <c r="G261" s="1977" t="s">
        <v>637</v>
      </c>
      <c r="H261" s="1953"/>
      <c r="I261" s="1953"/>
      <c r="J261" s="1953"/>
      <c r="K261" s="1953"/>
      <c r="L261" s="1953"/>
      <c r="M261" s="1954">
        <f t="shared" si="10"/>
        <v>0</v>
      </c>
      <c r="N261" s="2080"/>
      <c r="O261" s="2027"/>
      <c r="P261" s="2081"/>
      <c r="Q261" s="2081"/>
      <c r="R261" s="1953"/>
      <c r="S261" s="1882"/>
      <c r="T261" s="1924"/>
      <c r="U261" s="1966"/>
    </row>
    <row r="262" spans="1:21" s="1967" customFormat="1" ht="13.5" thickBot="1" x14ac:dyDescent="0.3">
      <c r="A262" s="3164" t="s">
        <v>643</v>
      </c>
      <c r="B262" s="3165"/>
      <c r="C262" s="1918"/>
      <c r="D262" s="1919"/>
      <c r="E262" s="1919"/>
      <c r="F262" s="1920"/>
      <c r="G262" s="1919"/>
      <c r="H262" s="1921">
        <v>0</v>
      </c>
      <c r="I262" s="1921">
        <v>350000</v>
      </c>
      <c r="J262" s="1921">
        <v>350000</v>
      </c>
      <c r="K262" s="1921">
        <v>350000</v>
      </c>
      <c r="L262" s="1921">
        <f>SUM(L259:L261)</f>
        <v>350000</v>
      </c>
      <c r="M262" s="1922">
        <f t="shared" si="10"/>
        <v>0</v>
      </c>
      <c r="N262" s="1921"/>
      <c r="O262" s="1921">
        <f>+O259+O261</f>
        <v>0</v>
      </c>
      <c r="P262" s="1921"/>
      <c r="Q262" s="1921"/>
      <c r="R262" s="1921"/>
      <c r="S262" s="1923">
        <f>'Výdaje kapitol celkem'!CJ69</f>
        <v>350000</v>
      </c>
      <c r="T262" s="1924">
        <f>+S262-L262</f>
        <v>0</v>
      </c>
      <c r="U262" s="1966"/>
    </row>
    <row r="263" spans="1:21" s="1967" customFormat="1" ht="12" customHeight="1" outlineLevel="1" x14ac:dyDescent="0.25">
      <c r="A263" s="1960"/>
      <c r="B263" s="1901" t="s">
        <v>150</v>
      </c>
      <c r="C263" s="2059"/>
      <c r="D263" s="2000"/>
      <c r="E263" s="2000"/>
      <c r="F263" s="2060"/>
      <c r="G263" s="1969" t="s">
        <v>637</v>
      </c>
      <c r="H263" s="1905">
        <v>250000</v>
      </c>
      <c r="I263" s="1905">
        <v>250000</v>
      </c>
      <c r="J263" s="1905">
        <v>250000</v>
      </c>
      <c r="K263" s="1905">
        <v>250000</v>
      </c>
      <c r="L263" s="1905">
        <f>+'[6]Územní plán 3635'!$B$31</f>
        <v>250000</v>
      </c>
      <c r="M263" s="1906">
        <f t="shared" si="10"/>
        <v>0</v>
      </c>
      <c r="N263" s="1907"/>
      <c r="O263" s="1908"/>
      <c r="P263" s="1909"/>
      <c r="Q263" s="1909"/>
      <c r="R263" s="1905"/>
      <c r="S263" s="1882"/>
      <c r="T263" s="1924"/>
      <c r="U263" s="1966"/>
    </row>
    <row r="264" spans="1:21" s="1967" customFormat="1" ht="12" customHeight="1" outlineLevel="1" thickBot="1" x14ac:dyDescent="0.3">
      <c r="A264" s="1927">
        <v>3635</v>
      </c>
      <c r="B264" s="1955" t="s">
        <v>150</v>
      </c>
      <c r="C264" s="1968"/>
      <c r="D264" s="1969"/>
      <c r="E264" s="1969"/>
      <c r="F264" s="1970"/>
      <c r="G264" s="1969" t="s">
        <v>637</v>
      </c>
      <c r="H264" s="1959">
        <v>663550</v>
      </c>
      <c r="I264" s="1959">
        <v>663550</v>
      </c>
      <c r="J264" s="1959">
        <v>663550</v>
      </c>
      <c r="K264" s="1959">
        <v>663550</v>
      </c>
      <c r="L264" s="1959">
        <f>+'[6]Územní plán 3635'!$B$32</f>
        <v>663550</v>
      </c>
      <c r="M264" s="2030">
        <f t="shared" si="10"/>
        <v>0</v>
      </c>
      <c r="N264" s="2061"/>
      <c r="O264" s="2023"/>
      <c r="P264" s="2062"/>
      <c r="Q264" s="2062"/>
      <c r="R264" s="1959" t="s">
        <v>2403</v>
      </c>
      <c r="S264" s="1882"/>
      <c r="T264" s="1924"/>
      <c r="U264" s="1966"/>
    </row>
    <row r="265" spans="1:21" s="1967" customFormat="1" ht="13.5" thickBot="1" x14ac:dyDescent="0.3">
      <c r="A265" s="3164" t="s">
        <v>1189</v>
      </c>
      <c r="B265" s="3165"/>
      <c r="C265" s="1918" t="s">
        <v>106</v>
      </c>
      <c r="D265" s="1919"/>
      <c r="E265" s="1919"/>
      <c r="F265" s="1920"/>
      <c r="G265" s="1919" t="s">
        <v>637</v>
      </c>
      <c r="H265" s="1921">
        <v>913550</v>
      </c>
      <c r="I265" s="1921">
        <v>913550</v>
      </c>
      <c r="J265" s="1921">
        <v>913550</v>
      </c>
      <c r="K265" s="1921">
        <v>913550</v>
      </c>
      <c r="L265" s="1921">
        <f>SUM(L263:L264)</f>
        <v>913550</v>
      </c>
      <c r="M265" s="2082">
        <f t="shared" si="10"/>
        <v>0</v>
      </c>
      <c r="N265" s="1918"/>
      <c r="O265" s="1918">
        <v>0</v>
      </c>
      <c r="P265" s="1918"/>
      <c r="Q265" s="1918"/>
      <c r="R265" s="1918"/>
      <c r="S265" s="1923">
        <f>'Výdaje kapitol celkem'!CB69</f>
        <v>913550</v>
      </c>
      <c r="T265" s="1924">
        <f>+S265-L265</f>
        <v>0</v>
      </c>
      <c r="U265" s="1966"/>
    </row>
    <row r="266" spans="1:21" s="1967" customFormat="1" ht="12" hidden="1" customHeight="1" outlineLevel="1" x14ac:dyDescent="0.25">
      <c r="A266" s="1960"/>
      <c r="B266" s="2059" t="s">
        <v>160</v>
      </c>
      <c r="C266" s="2059"/>
      <c r="D266" s="2000"/>
      <c r="E266" s="2000"/>
      <c r="F266" s="2060"/>
      <c r="G266" s="2000" t="s">
        <v>637</v>
      </c>
      <c r="H266" s="1905">
        <v>0</v>
      </c>
      <c r="I266" s="1905">
        <v>0</v>
      </c>
      <c r="J266" s="1905">
        <v>0</v>
      </c>
      <c r="K266" s="1905">
        <v>0</v>
      </c>
      <c r="L266" s="1905">
        <f>+[5]Pošembeří!$B$4</f>
        <v>0</v>
      </c>
      <c r="M266" s="1906">
        <f t="shared" si="10"/>
        <v>0</v>
      </c>
      <c r="N266" s="1907"/>
      <c r="O266" s="1908"/>
      <c r="P266" s="1909"/>
      <c r="Q266" s="1909"/>
      <c r="R266" s="1905"/>
      <c r="S266" s="1882"/>
      <c r="T266" s="1924"/>
      <c r="U266" s="1966"/>
    </row>
    <row r="267" spans="1:21" s="1967" customFormat="1" ht="13.5" hidden="1" outlineLevel="1" thickBot="1" x14ac:dyDescent="0.3">
      <c r="A267" s="1927">
        <v>3330</v>
      </c>
      <c r="B267" s="1981" t="s">
        <v>160</v>
      </c>
      <c r="C267" s="1981"/>
      <c r="D267" s="1977"/>
      <c r="E267" s="1977"/>
      <c r="F267" s="1978"/>
      <c r="G267" s="1977" t="s">
        <v>637</v>
      </c>
      <c r="H267" s="1953">
        <v>0</v>
      </c>
      <c r="I267" s="1953">
        <v>0</v>
      </c>
      <c r="J267" s="1953">
        <v>0</v>
      </c>
      <c r="K267" s="1953">
        <v>0</v>
      </c>
      <c r="L267" s="1953">
        <f>+[5]Pošembeří!$B$5</f>
        <v>0</v>
      </c>
      <c r="M267" s="1954">
        <f t="shared" si="10"/>
        <v>0</v>
      </c>
      <c r="N267" s="2080"/>
      <c r="O267" s="2027"/>
      <c r="P267" s="2081"/>
      <c r="Q267" s="2081"/>
      <c r="R267" s="2083"/>
      <c r="S267" s="1882"/>
      <c r="T267" s="1924"/>
      <c r="U267" s="1966"/>
    </row>
    <row r="268" spans="1:21" s="1967" customFormat="1" ht="13.5" collapsed="1" thickBot="1" x14ac:dyDescent="0.3">
      <c r="A268" s="3164" t="s">
        <v>632</v>
      </c>
      <c r="B268" s="3165"/>
      <c r="C268" s="1918"/>
      <c r="D268" s="1919"/>
      <c r="E268" s="1919"/>
      <c r="F268" s="1920"/>
      <c r="G268" s="1919"/>
      <c r="H268" s="1921">
        <v>0</v>
      </c>
      <c r="I268" s="1921">
        <v>0</v>
      </c>
      <c r="J268" s="1921">
        <v>0</v>
      </c>
      <c r="K268" s="1921">
        <v>0</v>
      </c>
      <c r="L268" s="1921">
        <f t="shared" ref="L268" si="11">SUM(L266:L267)</f>
        <v>0</v>
      </c>
      <c r="M268" s="2082">
        <f t="shared" si="10"/>
        <v>0</v>
      </c>
      <c r="N268" s="1918"/>
      <c r="O268" s="1918">
        <f t="shared" ref="O268" si="12">SUM(O266:O267)</f>
        <v>0</v>
      </c>
      <c r="P268" s="1918"/>
      <c r="Q268" s="1918"/>
      <c r="R268" s="1918"/>
      <c r="S268" s="1923">
        <f>'Výdaje kapitol celkem'!DX69</f>
        <v>0</v>
      </c>
      <c r="T268" s="1924">
        <f>+S268-L268</f>
        <v>0</v>
      </c>
      <c r="U268" s="1966"/>
    </row>
    <row r="269" spans="1:21" ht="15" hidden="1" customHeight="1" outlineLevel="1" x14ac:dyDescent="0.25">
      <c r="A269" s="1960"/>
      <c r="B269" s="1955" t="s">
        <v>491</v>
      </c>
      <c r="C269" s="2046"/>
      <c r="D269" s="2047"/>
      <c r="E269" s="2047"/>
      <c r="F269" s="2048"/>
      <c r="G269" s="2000" t="s">
        <v>637</v>
      </c>
      <c r="H269" s="1959"/>
      <c r="I269" s="1959"/>
      <c r="J269" s="1959"/>
      <c r="K269" s="1959"/>
      <c r="L269" s="1959"/>
      <c r="M269" s="2030">
        <f t="shared" si="10"/>
        <v>0</v>
      </c>
      <c r="N269" s="2061"/>
      <c r="O269" s="2023"/>
      <c r="P269" s="2062"/>
      <c r="Q269" s="2062"/>
      <c r="R269" s="1959"/>
      <c r="S269" s="1882"/>
      <c r="T269" s="1924"/>
    </row>
    <row r="270" spans="1:21" s="2084" customFormat="1" ht="12" hidden="1" customHeight="1" outlineLevel="1" thickBot="1" x14ac:dyDescent="0.3">
      <c r="A270" s="1927" t="s">
        <v>262</v>
      </c>
      <c r="B270" s="1981" t="s">
        <v>491</v>
      </c>
      <c r="C270" s="1981"/>
      <c r="D270" s="1977"/>
      <c r="E270" s="1977"/>
      <c r="F270" s="1978"/>
      <c r="G270" s="1977" t="s">
        <v>637</v>
      </c>
      <c r="H270" s="1953"/>
      <c r="I270" s="1953"/>
      <c r="J270" s="1953"/>
      <c r="K270" s="1953"/>
      <c r="L270" s="1953"/>
      <c r="M270" s="1954">
        <f t="shared" si="10"/>
        <v>0</v>
      </c>
      <c r="N270" s="2080"/>
      <c r="O270" s="2027"/>
      <c r="P270" s="2081"/>
      <c r="Q270" s="2081"/>
      <c r="R270" s="1953"/>
      <c r="S270" s="1882"/>
      <c r="T270" s="1924"/>
      <c r="U270" s="1886"/>
    </row>
    <row r="271" spans="1:21" s="1967" customFormat="1" ht="13.5" collapsed="1" thickBot="1" x14ac:dyDescent="0.3">
      <c r="A271" s="3164" t="s">
        <v>1193</v>
      </c>
      <c r="B271" s="3165"/>
      <c r="C271" s="1918"/>
      <c r="D271" s="1919"/>
      <c r="E271" s="1919"/>
      <c r="F271" s="1920"/>
      <c r="G271" s="1919"/>
      <c r="H271" s="1921">
        <v>0</v>
      </c>
      <c r="I271" s="1921">
        <v>0</v>
      </c>
      <c r="J271" s="1921">
        <v>0</v>
      </c>
      <c r="K271" s="1921">
        <v>0</v>
      </c>
      <c r="L271" s="1921">
        <f>SUM(L269:L270)</f>
        <v>0</v>
      </c>
      <c r="M271" s="2082">
        <f t="shared" si="10"/>
        <v>0</v>
      </c>
      <c r="N271" s="1918"/>
      <c r="O271" s="1918">
        <f t="shared" ref="O271" si="13">SUM(O269:O270)</f>
        <v>0</v>
      </c>
      <c r="P271" s="1918"/>
      <c r="Q271" s="1918"/>
      <c r="R271" s="1918"/>
      <c r="S271" s="1923">
        <f>'Výdaje kapitol celkem'!DR69</f>
        <v>0</v>
      </c>
      <c r="T271" s="1924">
        <f>+S271-L271</f>
        <v>0</v>
      </c>
      <c r="U271" s="1966"/>
    </row>
    <row r="272" spans="1:21" s="1967" customFormat="1" ht="13.5" hidden="1" outlineLevel="1" thickBot="1" x14ac:dyDescent="0.3">
      <c r="A272" s="1926"/>
      <c r="B272" s="2059" t="s">
        <v>157</v>
      </c>
      <c r="C272" s="2059"/>
      <c r="D272" s="2000"/>
      <c r="E272" s="2000"/>
      <c r="F272" s="2060"/>
      <c r="G272" s="2000" t="s">
        <v>637</v>
      </c>
      <c r="H272" s="1905">
        <v>0</v>
      </c>
      <c r="I272" s="1905">
        <v>0</v>
      </c>
      <c r="J272" s="1905">
        <v>0</v>
      </c>
      <c r="K272" s="1905">
        <v>0</v>
      </c>
      <c r="L272" s="1905">
        <f>+'[6]Povodeň 3744'!$B$31</f>
        <v>0</v>
      </c>
      <c r="M272" s="1906">
        <f t="shared" si="10"/>
        <v>0</v>
      </c>
      <c r="N272" s="1907"/>
      <c r="O272" s="1908"/>
      <c r="P272" s="1909"/>
      <c r="Q272" s="1909"/>
      <c r="R272" s="1905"/>
      <c r="S272" s="1882"/>
      <c r="T272" s="1924"/>
      <c r="U272" s="1966"/>
    </row>
    <row r="273" spans="1:21" s="1967" customFormat="1" ht="13.5" hidden="1" outlineLevel="1" thickBot="1" x14ac:dyDescent="0.3">
      <c r="A273" s="1927">
        <v>3744</v>
      </c>
      <c r="B273" s="1981" t="s">
        <v>157</v>
      </c>
      <c r="C273" s="1981"/>
      <c r="D273" s="1977"/>
      <c r="E273" s="1977"/>
      <c r="F273" s="1978"/>
      <c r="G273" s="1977" t="s">
        <v>637</v>
      </c>
      <c r="H273" s="1953">
        <v>0</v>
      </c>
      <c r="I273" s="1953">
        <v>0</v>
      </c>
      <c r="J273" s="1953">
        <v>0</v>
      </c>
      <c r="K273" s="1953">
        <v>0</v>
      </c>
      <c r="L273" s="1953">
        <f>+'[6]Povodeň 3744'!$B$32</f>
        <v>0</v>
      </c>
      <c r="M273" s="1954">
        <f t="shared" si="10"/>
        <v>0</v>
      </c>
      <c r="N273" s="2080"/>
      <c r="O273" s="2027"/>
      <c r="P273" s="2081"/>
      <c r="Q273" s="2081"/>
      <c r="R273" s="1953"/>
      <c r="S273" s="1882"/>
      <c r="T273" s="1924"/>
      <c r="U273" s="1966"/>
    </row>
    <row r="274" spans="1:21" s="1967" customFormat="1" ht="13.5" collapsed="1" thickBot="1" x14ac:dyDescent="0.3">
      <c r="A274" s="3164" t="s">
        <v>1194</v>
      </c>
      <c r="B274" s="3165"/>
      <c r="C274" s="1918"/>
      <c r="D274" s="1919"/>
      <c r="E274" s="1919"/>
      <c r="F274" s="1920"/>
      <c r="G274" s="1919"/>
      <c r="H274" s="1921">
        <v>0</v>
      </c>
      <c r="I274" s="1921">
        <v>0</v>
      </c>
      <c r="J274" s="1921">
        <v>0</v>
      </c>
      <c r="K274" s="1921">
        <v>0</v>
      </c>
      <c r="L274" s="1921">
        <f>SUM(L272:L273)</f>
        <v>0</v>
      </c>
      <c r="M274" s="2082">
        <f t="shared" si="10"/>
        <v>0</v>
      </c>
      <c r="N274" s="1918"/>
      <c r="O274" s="1918">
        <f t="shared" ref="O274" si="14">SUM(O272:O273)</f>
        <v>0</v>
      </c>
      <c r="P274" s="1918"/>
      <c r="Q274" s="1918"/>
      <c r="R274" s="1918"/>
      <c r="S274" s="1923">
        <f>'Výdaje kapitol celkem'!DI69</f>
        <v>0</v>
      </c>
      <c r="T274" s="1924">
        <f>+S274-L274</f>
        <v>0</v>
      </c>
      <c r="U274" s="1966"/>
    </row>
    <row r="275" spans="1:21" ht="15" hidden="1" customHeight="1" outlineLevel="1" x14ac:dyDescent="0.25">
      <c r="A275" s="1960"/>
      <c r="B275" s="1955" t="s">
        <v>296</v>
      </c>
      <c r="C275" s="2046"/>
      <c r="D275" s="2047"/>
      <c r="E275" s="2047"/>
      <c r="F275" s="2048"/>
      <c r="G275" s="2000" t="s">
        <v>637</v>
      </c>
      <c r="H275" s="1959">
        <v>0</v>
      </c>
      <c r="I275" s="1959">
        <v>0</v>
      </c>
      <c r="J275" s="1959">
        <v>0</v>
      </c>
      <c r="K275" s="1959">
        <v>0</v>
      </c>
      <c r="L275" s="1959">
        <f>+'[6]Rybníky 3749-2'!$B$23</f>
        <v>0</v>
      </c>
      <c r="M275" s="2030">
        <f t="shared" si="10"/>
        <v>0</v>
      </c>
      <c r="N275" s="2061"/>
      <c r="O275" s="2023"/>
      <c r="P275" s="2062"/>
      <c r="Q275" s="2062"/>
      <c r="R275" s="1959"/>
      <c r="S275" s="1882"/>
      <c r="T275" s="1924"/>
    </row>
    <row r="276" spans="1:21" ht="15" hidden="1" customHeight="1" outlineLevel="1" x14ac:dyDescent="0.25">
      <c r="A276" s="1960"/>
      <c r="B276" s="1955" t="s">
        <v>296</v>
      </c>
      <c r="C276" s="2046"/>
      <c r="D276" s="2047"/>
      <c r="E276" s="2047"/>
      <c r="F276" s="2048"/>
      <c r="G276" s="1962" t="s">
        <v>637</v>
      </c>
      <c r="H276" s="1959">
        <v>0</v>
      </c>
      <c r="I276" s="1959">
        <v>0</v>
      </c>
      <c r="J276" s="1959">
        <v>0</v>
      </c>
      <c r="K276" s="1959">
        <v>0</v>
      </c>
      <c r="L276" s="1959">
        <f>+'[6]Rybníky 3749-2'!$B$24</f>
        <v>0</v>
      </c>
      <c r="M276" s="2030">
        <f t="shared" si="10"/>
        <v>0</v>
      </c>
      <c r="N276" s="2061"/>
      <c r="O276" s="2023"/>
      <c r="P276" s="2062"/>
      <c r="Q276" s="2062"/>
      <c r="R276" s="1959"/>
      <c r="S276" s="1882"/>
      <c r="T276" s="1924"/>
    </row>
    <row r="277" spans="1:21" ht="15" hidden="1" customHeight="1" outlineLevel="1" x14ac:dyDescent="0.25">
      <c r="A277" s="1960"/>
      <c r="B277" s="1955" t="s">
        <v>296</v>
      </c>
      <c r="C277" s="2046"/>
      <c r="D277" s="2047"/>
      <c r="E277" s="2047"/>
      <c r="F277" s="2048"/>
      <c r="G277" s="1962" t="s">
        <v>637</v>
      </c>
      <c r="H277" s="1959"/>
      <c r="I277" s="1959"/>
      <c r="J277" s="1959"/>
      <c r="K277" s="1959"/>
      <c r="L277" s="1959"/>
      <c r="M277" s="2030">
        <f t="shared" si="10"/>
        <v>0</v>
      </c>
      <c r="N277" s="2061"/>
      <c r="O277" s="2023"/>
      <c r="P277" s="2062"/>
      <c r="Q277" s="2062"/>
      <c r="R277" s="1959"/>
      <c r="S277" s="1882"/>
      <c r="T277" s="1924"/>
    </row>
    <row r="278" spans="1:21" s="1967" customFormat="1" ht="13.5" hidden="1" outlineLevel="1" thickBot="1" x14ac:dyDescent="0.3">
      <c r="A278" s="1927" t="s">
        <v>295</v>
      </c>
      <c r="B278" s="1981" t="s">
        <v>296</v>
      </c>
      <c r="C278" s="1981"/>
      <c r="D278" s="1977"/>
      <c r="E278" s="1977"/>
      <c r="F278" s="1978"/>
      <c r="G278" s="1962" t="s">
        <v>637</v>
      </c>
      <c r="H278" s="1953"/>
      <c r="I278" s="1953"/>
      <c r="J278" s="1953"/>
      <c r="K278" s="1953"/>
      <c r="L278" s="1953"/>
      <c r="M278" s="1954">
        <f t="shared" ref="M278:M306" si="15">+L278-K278</f>
        <v>0</v>
      </c>
      <c r="N278" s="2080"/>
      <c r="O278" s="2027"/>
      <c r="P278" s="2081"/>
      <c r="Q278" s="2081"/>
      <c r="R278" s="1959"/>
      <c r="S278" s="1882"/>
      <c r="T278" s="1924"/>
      <c r="U278" s="1966"/>
    </row>
    <row r="279" spans="1:21" s="1967" customFormat="1" ht="13.5" collapsed="1" thickBot="1" x14ac:dyDescent="0.3">
      <c r="A279" s="3164" t="s">
        <v>1195</v>
      </c>
      <c r="B279" s="3165"/>
      <c r="C279" s="1918"/>
      <c r="D279" s="1919"/>
      <c r="E279" s="1919"/>
      <c r="F279" s="1920"/>
      <c r="G279" s="1919"/>
      <c r="H279" s="1921">
        <v>0</v>
      </c>
      <c r="I279" s="1921">
        <v>0</v>
      </c>
      <c r="J279" s="1921">
        <v>0</v>
      </c>
      <c r="K279" s="1921">
        <v>0</v>
      </c>
      <c r="L279" s="1921">
        <f t="shared" ref="L279" si="16">SUM(L275:L278)</f>
        <v>0</v>
      </c>
      <c r="M279" s="2082">
        <f t="shared" si="15"/>
        <v>0</v>
      </c>
      <c r="N279" s="1918"/>
      <c r="O279" s="1918">
        <f t="shared" ref="O279" si="17">SUM(O275:O278)</f>
        <v>0</v>
      </c>
      <c r="P279" s="1918"/>
      <c r="Q279" s="1918"/>
      <c r="R279" s="1918"/>
      <c r="S279" s="1923">
        <f>'Výdaje kapitol celkem'!DN69</f>
        <v>0</v>
      </c>
      <c r="T279" s="1924">
        <f>+S279-L279</f>
        <v>0</v>
      </c>
      <c r="U279" s="1966"/>
    </row>
    <row r="280" spans="1:21" ht="15" hidden="1" customHeight="1" outlineLevel="1" x14ac:dyDescent="0.25">
      <c r="A280" s="1960"/>
      <c r="B280" s="1955" t="s">
        <v>1201</v>
      </c>
      <c r="C280" s="2046"/>
      <c r="D280" s="2047"/>
      <c r="E280" s="2047"/>
      <c r="F280" s="2048"/>
      <c r="G280" s="2000" t="s">
        <v>637</v>
      </c>
      <c r="H280" s="1959"/>
      <c r="I280" s="1959"/>
      <c r="J280" s="1959"/>
      <c r="K280" s="1959"/>
      <c r="L280" s="1959"/>
      <c r="M280" s="2030">
        <f t="shared" si="15"/>
        <v>0</v>
      </c>
      <c r="N280" s="2061"/>
      <c r="O280" s="2023"/>
      <c r="P280" s="2062"/>
      <c r="Q280" s="2062"/>
      <c r="R280" s="1959"/>
      <c r="S280" s="1882"/>
      <c r="T280" s="1924"/>
    </row>
    <row r="281" spans="1:21" ht="15" hidden="1" customHeight="1" outlineLevel="1" x14ac:dyDescent="0.25">
      <c r="A281" s="1960"/>
      <c r="B281" s="1955" t="s">
        <v>1201</v>
      </c>
      <c r="C281" s="2046"/>
      <c r="D281" s="2047"/>
      <c r="E281" s="2047"/>
      <c r="F281" s="2048"/>
      <c r="G281" s="1962" t="s">
        <v>637</v>
      </c>
      <c r="H281" s="1959"/>
      <c r="I281" s="1959"/>
      <c r="J281" s="1959"/>
      <c r="K281" s="1959"/>
      <c r="L281" s="1959"/>
      <c r="M281" s="2030">
        <f t="shared" si="15"/>
        <v>0</v>
      </c>
      <c r="N281" s="2061"/>
      <c r="O281" s="2023"/>
      <c r="P281" s="2062"/>
      <c r="Q281" s="2062"/>
      <c r="R281" s="1959"/>
      <c r="S281" s="1882"/>
      <c r="T281" s="1924"/>
    </row>
    <row r="282" spans="1:21" s="1967" customFormat="1" ht="13.5" hidden="1" outlineLevel="1" thickBot="1" x14ac:dyDescent="0.3">
      <c r="A282" s="1927" t="s">
        <v>716</v>
      </c>
      <c r="B282" s="1981" t="s">
        <v>1201</v>
      </c>
      <c r="C282" s="1981"/>
      <c r="D282" s="1977"/>
      <c r="E282" s="1977"/>
      <c r="F282" s="1978"/>
      <c r="G282" s="1977" t="s">
        <v>637</v>
      </c>
      <c r="H282" s="1953"/>
      <c r="I282" s="1953"/>
      <c r="J282" s="1953"/>
      <c r="K282" s="1953"/>
      <c r="L282" s="1953"/>
      <c r="M282" s="1954">
        <f t="shared" si="15"/>
        <v>0</v>
      </c>
      <c r="N282" s="2080"/>
      <c r="O282" s="2027"/>
      <c r="P282" s="2081"/>
      <c r="Q282" s="2081"/>
      <c r="R282" s="1959"/>
      <c r="S282" s="1882"/>
      <c r="T282" s="1924"/>
      <c r="U282" s="1966"/>
    </row>
    <row r="283" spans="1:21" s="1967" customFormat="1" ht="13.5" collapsed="1" thickBot="1" x14ac:dyDescent="0.3">
      <c r="A283" s="3164" t="s">
        <v>1196</v>
      </c>
      <c r="B283" s="3165"/>
      <c r="C283" s="1918"/>
      <c r="D283" s="1919"/>
      <c r="E283" s="1919"/>
      <c r="F283" s="1920"/>
      <c r="G283" s="1919"/>
      <c r="H283" s="1921">
        <v>0</v>
      </c>
      <c r="I283" s="1921">
        <v>0</v>
      </c>
      <c r="J283" s="1921">
        <v>0</v>
      </c>
      <c r="K283" s="1921">
        <v>0</v>
      </c>
      <c r="L283" s="1921">
        <f>SUM(L280:L282)</f>
        <v>0</v>
      </c>
      <c r="M283" s="2082">
        <f t="shared" si="15"/>
        <v>0</v>
      </c>
      <c r="N283" s="1918"/>
      <c r="O283" s="1918">
        <f>SUM(O280:O282)</f>
        <v>0</v>
      </c>
      <c r="P283" s="1918"/>
      <c r="Q283" s="1918"/>
      <c r="R283" s="1918"/>
      <c r="S283" s="1923">
        <f>'Výdaje kapitol celkem'!DO69</f>
        <v>0</v>
      </c>
      <c r="T283" s="1924">
        <f>+S283-L283</f>
        <v>0</v>
      </c>
      <c r="U283" s="1966"/>
    </row>
    <row r="284" spans="1:21" ht="12" hidden="1" customHeight="1" outlineLevel="1" x14ac:dyDescent="0.25">
      <c r="A284" s="1960"/>
      <c r="B284" s="1955" t="s">
        <v>719</v>
      </c>
      <c r="C284" s="2046"/>
      <c r="D284" s="2047"/>
      <c r="E284" s="2047"/>
      <c r="F284" s="2048"/>
      <c r="G284" s="2000" t="s">
        <v>637</v>
      </c>
      <c r="H284" s="1959"/>
      <c r="I284" s="1959"/>
      <c r="J284" s="1959"/>
      <c r="K284" s="1959"/>
      <c r="L284" s="1959"/>
      <c r="M284" s="2030">
        <f t="shared" si="15"/>
        <v>0</v>
      </c>
      <c r="N284" s="2061"/>
      <c r="O284" s="2023"/>
      <c r="P284" s="2062"/>
      <c r="Q284" s="2062"/>
      <c r="R284" s="1959"/>
      <c r="S284" s="1882"/>
      <c r="T284" s="1924"/>
    </row>
    <row r="285" spans="1:21" ht="15" hidden="1" customHeight="1" outlineLevel="1" x14ac:dyDescent="0.25">
      <c r="A285" s="1926"/>
      <c r="B285" s="1955" t="s">
        <v>719</v>
      </c>
      <c r="C285" s="2046"/>
      <c r="D285" s="2047"/>
      <c r="E285" s="2047"/>
      <c r="F285" s="2048"/>
      <c r="G285" s="1962" t="s">
        <v>637</v>
      </c>
      <c r="H285" s="1959"/>
      <c r="I285" s="1959"/>
      <c r="J285" s="1959"/>
      <c r="K285" s="1959"/>
      <c r="L285" s="1959"/>
      <c r="M285" s="2030">
        <f t="shared" si="15"/>
        <v>0</v>
      </c>
      <c r="N285" s="2061"/>
      <c r="O285" s="2023"/>
      <c r="P285" s="2062"/>
      <c r="Q285" s="2062"/>
      <c r="R285" s="1959"/>
      <c r="S285" s="1882"/>
      <c r="T285" s="1924"/>
    </row>
    <row r="286" spans="1:21" s="1967" customFormat="1" ht="12" hidden="1" customHeight="1" outlineLevel="1" thickBot="1" x14ac:dyDescent="0.3">
      <c r="A286" s="1927" t="s">
        <v>717</v>
      </c>
      <c r="B286" s="1981" t="s">
        <v>719</v>
      </c>
      <c r="C286" s="1981"/>
      <c r="D286" s="1977"/>
      <c r="E286" s="1977"/>
      <c r="F286" s="1978"/>
      <c r="G286" s="1977" t="s">
        <v>637</v>
      </c>
      <c r="H286" s="1953"/>
      <c r="I286" s="1953"/>
      <c r="J286" s="1953"/>
      <c r="K286" s="1953"/>
      <c r="L286" s="1953"/>
      <c r="M286" s="1954">
        <f t="shared" si="15"/>
        <v>0</v>
      </c>
      <c r="N286" s="2080"/>
      <c r="O286" s="2027"/>
      <c r="P286" s="2081"/>
      <c r="Q286" s="2081"/>
      <c r="R286" s="1959"/>
      <c r="S286" s="1882"/>
      <c r="T286" s="1924"/>
      <c r="U286" s="1966"/>
    </row>
    <row r="287" spans="1:21" s="1967" customFormat="1" ht="13.5" collapsed="1" thickBot="1" x14ac:dyDescent="0.3">
      <c r="A287" s="3164" t="s">
        <v>1197</v>
      </c>
      <c r="B287" s="3165"/>
      <c r="C287" s="1918"/>
      <c r="D287" s="1919"/>
      <c r="E287" s="1919"/>
      <c r="F287" s="1920"/>
      <c r="G287" s="1919"/>
      <c r="H287" s="1921">
        <v>0</v>
      </c>
      <c r="I287" s="1921">
        <v>0</v>
      </c>
      <c r="J287" s="1921">
        <v>0</v>
      </c>
      <c r="K287" s="1921">
        <v>0</v>
      </c>
      <c r="L287" s="1921">
        <f>SUM(L284:L286)</f>
        <v>0</v>
      </c>
      <c r="M287" s="2082">
        <f t="shared" si="15"/>
        <v>0</v>
      </c>
      <c r="N287" s="1918"/>
      <c r="O287" s="1918">
        <f>SUM(O284:O286)</f>
        <v>0</v>
      </c>
      <c r="P287" s="1918"/>
      <c r="Q287" s="1918"/>
      <c r="R287" s="1918"/>
      <c r="S287" s="1923">
        <f>'Výdaje kapitol celkem'!DP69</f>
        <v>0</v>
      </c>
      <c r="T287" s="1924">
        <f>+S287-L287</f>
        <v>0</v>
      </c>
      <c r="U287" s="1966"/>
    </row>
    <row r="288" spans="1:21" ht="12" hidden="1" customHeight="1" outlineLevel="1" x14ac:dyDescent="0.25">
      <c r="A288" s="1960"/>
      <c r="B288" s="1955" t="s">
        <v>491</v>
      </c>
      <c r="C288" s="2046"/>
      <c r="D288" s="2047"/>
      <c r="E288" s="2047"/>
      <c r="F288" s="2048"/>
      <c r="G288" s="2000" t="s">
        <v>637</v>
      </c>
      <c r="H288" s="1959"/>
      <c r="I288" s="1959"/>
      <c r="J288" s="1959"/>
      <c r="K288" s="1959"/>
      <c r="L288" s="1959"/>
      <c r="M288" s="2030">
        <f t="shared" si="15"/>
        <v>0</v>
      </c>
      <c r="N288" s="2061"/>
      <c r="O288" s="2023"/>
      <c r="P288" s="2062"/>
      <c r="Q288" s="2062"/>
      <c r="R288" s="1959"/>
      <c r="S288" s="1882"/>
      <c r="T288" s="1924"/>
    </row>
    <row r="289" spans="1:21" ht="15" hidden="1" customHeight="1" outlineLevel="1" x14ac:dyDescent="0.25">
      <c r="A289" s="1960"/>
      <c r="B289" s="1955" t="s">
        <v>491</v>
      </c>
      <c r="C289" s="2046"/>
      <c r="D289" s="2047"/>
      <c r="E289" s="2047"/>
      <c r="F289" s="2048"/>
      <c r="G289" s="1962" t="s">
        <v>637</v>
      </c>
      <c r="H289" s="1959"/>
      <c r="I289" s="1959"/>
      <c r="J289" s="1959"/>
      <c r="K289" s="1959"/>
      <c r="L289" s="1959"/>
      <c r="M289" s="2030">
        <f t="shared" si="15"/>
        <v>0</v>
      </c>
      <c r="N289" s="2061"/>
      <c r="O289" s="2023"/>
      <c r="P289" s="2062"/>
      <c r="Q289" s="2062"/>
      <c r="R289" s="1959"/>
      <c r="S289" s="1882"/>
      <c r="T289" s="1924"/>
    </row>
    <row r="290" spans="1:21" s="1967" customFormat="1" ht="12" hidden="1" customHeight="1" outlineLevel="1" thickBot="1" x14ac:dyDescent="0.3">
      <c r="A290" s="1927" t="s">
        <v>1108</v>
      </c>
      <c r="B290" s="1981" t="s">
        <v>491</v>
      </c>
      <c r="C290" s="1981"/>
      <c r="D290" s="1977"/>
      <c r="E290" s="1977"/>
      <c r="F290" s="1978"/>
      <c r="G290" s="1977" t="s">
        <v>637</v>
      </c>
      <c r="H290" s="1953"/>
      <c r="I290" s="1953"/>
      <c r="J290" s="1953"/>
      <c r="K290" s="1953"/>
      <c r="L290" s="1953"/>
      <c r="M290" s="1954">
        <f t="shared" si="15"/>
        <v>0</v>
      </c>
      <c r="N290" s="2080"/>
      <c r="O290" s="2027"/>
      <c r="P290" s="2081"/>
      <c r="Q290" s="2081"/>
      <c r="R290" s="1959"/>
      <c r="S290" s="1882"/>
      <c r="T290" s="1924"/>
      <c r="U290" s="1966"/>
    </row>
    <row r="291" spans="1:21" s="1967" customFormat="1" ht="13.5" collapsed="1" thickBot="1" x14ac:dyDescent="0.3">
      <c r="A291" s="3164" t="s">
        <v>1198</v>
      </c>
      <c r="B291" s="3165"/>
      <c r="C291" s="1918"/>
      <c r="D291" s="1919"/>
      <c r="E291" s="1919"/>
      <c r="F291" s="1920"/>
      <c r="G291" s="1919"/>
      <c r="H291" s="1921">
        <v>0</v>
      </c>
      <c r="I291" s="1921">
        <v>0</v>
      </c>
      <c r="J291" s="1921">
        <v>0</v>
      </c>
      <c r="K291" s="1921">
        <v>0</v>
      </c>
      <c r="L291" s="1921">
        <f>SUM(L288:L290)</f>
        <v>0</v>
      </c>
      <c r="M291" s="2082">
        <f t="shared" si="15"/>
        <v>0</v>
      </c>
      <c r="N291" s="1918"/>
      <c r="O291" s="1918">
        <f>SUM(O288:O290)</f>
        <v>0</v>
      </c>
      <c r="P291" s="1918"/>
      <c r="Q291" s="1918"/>
      <c r="R291" s="1918"/>
      <c r="S291" s="1923">
        <f>'Výdaje kapitol celkem'!DS58</f>
        <v>0</v>
      </c>
      <c r="T291" s="1924">
        <f>+S291-L291</f>
        <v>0</v>
      </c>
      <c r="U291" s="1966"/>
    </row>
    <row r="292" spans="1:21" ht="16.149999999999999" hidden="1" customHeight="1" outlineLevel="1" x14ac:dyDescent="0.25">
      <c r="A292" s="1960"/>
      <c r="B292" s="1955" t="s">
        <v>857</v>
      </c>
      <c r="C292" s="2046"/>
      <c r="D292" s="2047"/>
      <c r="E292" s="2047"/>
      <c r="F292" s="2048"/>
      <c r="G292" s="2000" t="s">
        <v>637</v>
      </c>
      <c r="H292" s="1959"/>
      <c r="I292" s="1959"/>
      <c r="J292" s="1959"/>
      <c r="K292" s="1959"/>
      <c r="L292" s="1959"/>
      <c r="M292" s="2030">
        <f t="shared" si="15"/>
        <v>0</v>
      </c>
      <c r="N292" s="2061"/>
      <c r="O292" s="2023"/>
      <c r="P292" s="2062"/>
      <c r="Q292" s="2062"/>
      <c r="R292" s="1959"/>
      <c r="S292" s="1882"/>
      <c r="T292" s="1924"/>
    </row>
    <row r="293" spans="1:21" ht="15" hidden="1" customHeight="1" outlineLevel="1" x14ac:dyDescent="0.25">
      <c r="A293" s="1960"/>
      <c r="B293" s="1955" t="s">
        <v>857</v>
      </c>
      <c r="C293" s="2046"/>
      <c r="D293" s="2047"/>
      <c r="E293" s="2047"/>
      <c r="F293" s="2048"/>
      <c r="G293" s="1962" t="s">
        <v>637</v>
      </c>
      <c r="H293" s="1959"/>
      <c r="I293" s="1959"/>
      <c r="J293" s="1959"/>
      <c r="K293" s="1959"/>
      <c r="L293" s="1959"/>
      <c r="M293" s="2030">
        <f t="shared" si="15"/>
        <v>0</v>
      </c>
      <c r="N293" s="2061"/>
      <c r="O293" s="2023"/>
      <c r="P293" s="2062"/>
      <c r="Q293" s="2062"/>
      <c r="R293" s="1959"/>
      <c r="S293" s="1882"/>
      <c r="T293" s="1924"/>
    </row>
    <row r="294" spans="1:21" s="1967" customFormat="1" ht="12" hidden="1" customHeight="1" outlineLevel="1" thickBot="1" x14ac:dyDescent="0.3">
      <c r="A294" s="1927" t="s">
        <v>717</v>
      </c>
      <c r="B294" s="1981" t="s">
        <v>857</v>
      </c>
      <c r="C294" s="1981"/>
      <c r="D294" s="1977"/>
      <c r="E294" s="1977"/>
      <c r="F294" s="1978"/>
      <c r="G294" s="1977" t="s">
        <v>637</v>
      </c>
      <c r="H294" s="1953"/>
      <c r="I294" s="1953"/>
      <c r="J294" s="1953"/>
      <c r="K294" s="1953"/>
      <c r="L294" s="1953"/>
      <c r="M294" s="1954">
        <f t="shared" si="15"/>
        <v>0</v>
      </c>
      <c r="N294" s="2080"/>
      <c r="O294" s="2027"/>
      <c r="P294" s="2081"/>
      <c r="Q294" s="2081"/>
      <c r="R294" s="1959"/>
      <c r="S294" s="1882"/>
      <c r="T294" s="1924"/>
      <c r="U294" s="1966"/>
    </row>
    <row r="295" spans="1:21" s="1967" customFormat="1" ht="13.5" collapsed="1" thickBot="1" x14ac:dyDescent="0.3">
      <c r="A295" s="3164" t="s">
        <v>1199</v>
      </c>
      <c r="B295" s="3165"/>
      <c r="C295" s="1918"/>
      <c r="D295" s="1919"/>
      <c r="E295" s="1919"/>
      <c r="F295" s="1920"/>
      <c r="G295" s="1919"/>
      <c r="H295" s="1921">
        <v>0</v>
      </c>
      <c r="I295" s="1921">
        <v>0</v>
      </c>
      <c r="J295" s="1921">
        <v>0</v>
      </c>
      <c r="K295" s="1921">
        <v>0</v>
      </c>
      <c r="L295" s="1921">
        <f>SUM(L292:L294)</f>
        <v>0</v>
      </c>
      <c r="M295" s="2082">
        <f t="shared" si="15"/>
        <v>0</v>
      </c>
      <c r="N295" s="1918"/>
      <c r="O295" s="1918">
        <f>SUM(O292:O294)</f>
        <v>0</v>
      </c>
      <c r="P295" s="1918"/>
      <c r="Q295" s="1918"/>
      <c r="R295" s="1918"/>
      <c r="S295" s="1923">
        <f>'Výdaje kapitol celkem'!DQ69</f>
        <v>0</v>
      </c>
      <c r="T295" s="1924">
        <f>+S295-L295</f>
        <v>0</v>
      </c>
      <c r="U295" s="1966"/>
    </row>
    <row r="296" spans="1:21" ht="12" hidden="1" customHeight="1" outlineLevel="1" x14ac:dyDescent="0.25">
      <c r="A296" s="1960"/>
      <c r="B296" s="1955" t="s">
        <v>484</v>
      </c>
      <c r="C296" s="2046"/>
      <c r="D296" s="2047"/>
      <c r="E296" s="2047"/>
      <c r="F296" s="2048"/>
      <c r="G296" s="2000" t="s">
        <v>637</v>
      </c>
      <c r="H296" s="1959">
        <v>0</v>
      </c>
      <c r="I296" s="1959">
        <v>0</v>
      </c>
      <c r="J296" s="1959">
        <v>0</v>
      </c>
      <c r="K296" s="1959">
        <v>0</v>
      </c>
      <c r="L296" s="1959">
        <f>+'[5]Sběrný dvůr'!$B$4</f>
        <v>0</v>
      </c>
      <c r="M296" s="2030">
        <f t="shared" si="15"/>
        <v>0</v>
      </c>
      <c r="N296" s="2061"/>
      <c r="O296" s="1959"/>
      <c r="P296" s="2062"/>
      <c r="Q296" s="2062"/>
      <c r="R296" s="1959"/>
      <c r="S296" s="1882"/>
      <c r="T296" s="1924"/>
    </row>
    <row r="297" spans="1:21" ht="15" hidden="1" customHeight="1" outlineLevel="1" x14ac:dyDescent="0.25">
      <c r="A297" s="2085"/>
      <c r="B297" s="1955" t="s">
        <v>484</v>
      </c>
      <c r="C297" s="2046"/>
      <c r="D297" s="2047"/>
      <c r="E297" s="2047"/>
      <c r="F297" s="2048"/>
      <c r="G297" s="1969" t="s">
        <v>637</v>
      </c>
      <c r="H297" s="1959">
        <v>0</v>
      </c>
      <c r="I297" s="1959">
        <v>0</v>
      </c>
      <c r="J297" s="1959">
        <v>0</v>
      </c>
      <c r="K297" s="1959">
        <v>0</v>
      </c>
      <c r="L297" s="1959">
        <f>+'[5]Sběrný dvůr'!$B$5</f>
        <v>0</v>
      </c>
      <c r="M297" s="2030">
        <f t="shared" si="15"/>
        <v>0</v>
      </c>
      <c r="N297" s="2061"/>
      <c r="O297" s="1959"/>
      <c r="P297" s="2086"/>
      <c r="Q297" s="2086"/>
      <c r="R297" s="1959"/>
      <c r="S297" s="1882"/>
      <c r="T297" s="1924"/>
    </row>
    <row r="298" spans="1:21" ht="15" hidden="1" customHeight="1" outlineLevel="1" x14ac:dyDescent="0.25">
      <c r="A298" s="2085"/>
      <c r="B298" s="1955" t="s">
        <v>484</v>
      </c>
      <c r="C298" s="2046"/>
      <c r="D298" s="2047"/>
      <c r="E298" s="2047"/>
      <c r="F298" s="2048"/>
      <c r="G298" s="1969" t="s">
        <v>637</v>
      </c>
      <c r="H298" s="1959"/>
      <c r="I298" s="1959"/>
      <c r="J298" s="1959"/>
      <c r="K298" s="1959"/>
      <c r="L298" s="1959"/>
      <c r="M298" s="2030">
        <f t="shared" si="15"/>
        <v>0</v>
      </c>
      <c r="N298" s="2061"/>
      <c r="O298" s="1959"/>
      <c r="P298" s="2086"/>
      <c r="Q298" s="2086"/>
      <c r="R298" s="1959"/>
      <c r="S298" s="1882"/>
      <c r="T298" s="1924"/>
    </row>
    <row r="299" spans="1:21" ht="15" hidden="1" customHeight="1" outlineLevel="1" thickBot="1" x14ac:dyDescent="0.3">
      <c r="A299" s="1927" t="s">
        <v>181</v>
      </c>
      <c r="B299" s="1955" t="s">
        <v>484</v>
      </c>
      <c r="C299" s="2046"/>
      <c r="D299" s="2047"/>
      <c r="E299" s="2047"/>
      <c r="F299" s="2048"/>
      <c r="G299" s="1969" t="s">
        <v>637</v>
      </c>
      <c r="H299" s="1959"/>
      <c r="I299" s="1959"/>
      <c r="J299" s="1959"/>
      <c r="K299" s="1959"/>
      <c r="L299" s="1959"/>
      <c r="M299" s="2030">
        <f t="shared" si="15"/>
        <v>0</v>
      </c>
      <c r="N299" s="2061"/>
      <c r="O299" s="1959"/>
      <c r="P299" s="2086"/>
      <c r="Q299" s="2086"/>
      <c r="R299" s="1959"/>
      <c r="S299" s="1882"/>
      <c r="T299" s="1924"/>
    </row>
    <row r="300" spans="1:21" s="1967" customFormat="1" ht="13.5" collapsed="1" thickBot="1" x14ac:dyDescent="0.3">
      <c r="A300" s="3164" t="s">
        <v>1200</v>
      </c>
      <c r="B300" s="3165"/>
      <c r="C300" s="1918"/>
      <c r="D300" s="1919"/>
      <c r="E300" s="1919"/>
      <c r="F300" s="1920"/>
      <c r="G300" s="1919"/>
      <c r="H300" s="1921">
        <v>0</v>
      </c>
      <c r="I300" s="1921">
        <v>0</v>
      </c>
      <c r="J300" s="1921">
        <v>0</v>
      </c>
      <c r="K300" s="1921">
        <v>0</v>
      </c>
      <c r="L300" s="1921">
        <f>SUM(L296:L299)</f>
        <v>0</v>
      </c>
      <c r="M300" s="2082">
        <f t="shared" si="15"/>
        <v>0</v>
      </c>
      <c r="N300" s="1918"/>
      <c r="O300" s="1918">
        <f>SUM(O296:O299)</f>
        <v>0</v>
      </c>
      <c r="P300" s="1918"/>
      <c r="Q300" s="1918"/>
      <c r="R300" s="1918"/>
      <c r="S300" s="1923">
        <f>'Výdaje kapitol celkem'!DU69</f>
        <v>0</v>
      </c>
      <c r="T300" s="1924">
        <f>+S300-L300</f>
        <v>0</v>
      </c>
      <c r="U300" s="1966"/>
    </row>
    <row r="301" spans="1:21" ht="15" hidden="1" customHeight="1" outlineLevel="1" x14ac:dyDescent="0.25">
      <c r="A301" s="2085"/>
      <c r="B301" s="1955" t="s">
        <v>161</v>
      </c>
      <c r="C301" s="2046" t="s">
        <v>1707</v>
      </c>
      <c r="D301" s="2047"/>
      <c r="E301" s="2047"/>
      <c r="F301" s="2048"/>
      <c r="G301" s="2000" t="s">
        <v>637</v>
      </c>
      <c r="H301" s="1959">
        <v>0</v>
      </c>
      <c r="I301" s="1959">
        <v>0</v>
      </c>
      <c r="J301" s="1959">
        <v>0</v>
      </c>
      <c r="K301" s="1959">
        <v>0</v>
      </c>
      <c r="L301" s="1959">
        <f>+[5]Cyklostezky!$B$5</f>
        <v>0</v>
      </c>
      <c r="M301" s="2030">
        <f t="shared" si="15"/>
        <v>0</v>
      </c>
      <c r="N301" s="2061"/>
      <c r="O301" s="1959"/>
      <c r="P301" s="2086"/>
      <c r="Q301" s="2086"/>
      <c r="R301" s="1959"/>
      <c r="S301" s="1882"/>
      <c r="T301" s="1924"/>
    </row>
    <row r="302" spans="1:21" ht="15" hidden="1" customHeight="1" outlineLevel="1" x14ac:dyDescent="0.25">
      <c r="A302" s="2085"/>
      <c r="B302" s="1955" t="s">
        <v>161</v>
      </c>
      <c r="C302" s="2046" t="s">
        <v>1708</v>
      </c>
      <c r="D302" s="2047"/>
      <c r="E302" s="2047"/>
      <c r="F302" s="2048"/>
      <c r="G302" s="1969" t="s">
        <v>637</v>
      </c>
      <c r="H302" s="1959">
        <v>0</v>
      </c>
      <c r="I302" s="1959">
        <v>0</v>
      </c>
      <c r="J302" s="1959">
        <v>0</v>
      </c>
      <c r="K302" s="1959">
        <v>0</v>
      </c>
      <c r="L302" s="1959">
        <f>+[5]Cyklostezky!$B$4</f>
        <v>0</v>
      </c>
      <c r="M302" s="2030">
        <f t="shared" si="15"/>
        <v>0</v>
      </c>
      <c r="N302" s="2061"/>
      <c r="O302" s="1959"/>
      <c r="P302" s="2086"/>
      <c r="Q302" s="2086"/>
      <c r="R302" s="1959"/>
      <c r="S302" s="1882"/>
      <c r="T302" s="1924"/>
    </row>
    <row r="303" spans="1:21" ht="15" hidden="1" customHeight="1" outlineLevel="1" x14ac:dyDescent="0.25">
      <c r="A303" s="2085"/>
      <c r="B303" s="1955" t="s">
        <v>161</v>
      </c>
      <c r="C303" s="2046" t="s">
        <v>1709</v>
      </c>
      <c r="D303" s="2047"/>
      <c r="E303" s="2047"/>
      <c r="F303" s="2048"/>
      <c r="G303" s="1969" t="s">
        <v>637</v>
      </c>
      <c r="H303" s="1959"/>
      <c r="I303" s="1959"/>
      <c r="J303" s="1959"/>
      <c r="K303" s="1959"/>
      <c r="L303" s="1959"/>
      <c r="M303" s="2030">
        <f t="shared" si="15"/>
        <v>0</v>
      </c>
      <c r="N303" s="2061"/>
      <c r="O303" s="1959"/>
      <c r="P303" s="2086"/>
      <c r="Q303" s="2086"/>
      <c r="R303" s="1959"/>
      <c r="S303" s="1882"/>
      <c r="T303" s="1924"/>
    </row>
    <row r="304" spans="1:21" ht="13.5" hidden="1" outlineLevel="1" thickBot="1" x14ac:dyDescent="0.3">
      <c r="A304" s="1927" t="s">
        <v>1226</v>
      </c>
      <c r="B304" s="1981" t="s">
        <v>161</v>
      </c>
      <c r="C304" s="1981"/>
      <c r="D304" s="1977"/>
      <c r="E304" s="1977"/>
      <c r="F304" s="1978"/>
      <c r="G304" s="1962" t="s">
        <v>637</v>
      </c>
      <c r="H304" s="1953"/>
      <c r="I304" s="1953"/>
      <c r="J304" s="1953"/>
      <c r="K304" s="1953"/>
      <c r="L304" s="1953"/>
      <c r="M304" s="1954">
        <f t="shared" si="15"/>
        <v>0</v>
      </c>
      <c r="N304" s="2080"/>
      <c r="O304" s="1953"/>
      <c r="P304" s="2087"/>
      <c r="Q304" s="2087"/>
      <c r="R304" s="1959"/>
      <c r="S304" s="1882"/>
      <c r="T304" s="1924"/>
    </row>
    <row r="305" spans="1:21" s="1967" customFormat="1" ht="13.5" collapsed="1" thickBot="1" x14ac:dyDescent="0.3">
      <c r="A305" s="3164" t="s">
        <v>633</v>
      </c>
      <c r="B305" s="3165"/>
      <c r="C305" s="1918"/>
      <c r="D305" s="1919"/>
      <c r="E305" s="1919"/>
      <c r="F305" s="1920"/>
      <c r="G305" s="1919"/>
      <c r="H305" s="1921">
        <v>0</v>
      </c>
      <c r="I305" s="1921">
        <v>0</v>
      </c>
      <c r="J305" s="1921">
        <v>0</v>
      </c>
      <c r="K305" s="1921">
        <v>0</v>
      </c>
      <c r="L305" s="1921">
        <f t="shared" ref="L305" si="18">SUM(L301:L304)</f>
        <v>0</v>
      </c>
      <c r="M305" s="2082">
        <f t="shared" si="15"/>
        <v>0</v>
      </c>
      <c r="N305" s="1918"/>
      <c r="O305" s="1918">
        <f t="shared" ref="O305" si="19">SUM(O301:O304)</f>
        <v>0</v>
      </c>
      <c r="P305" s="1918"/>
      <c r="Q305" s="1918"/>
      <c r="R305" s="1918"/>
      <c r="S305" s="1923">
        <f>'Výdaje kapitol celkem'!DY69</f>
        <v>0</v>
      </c>
      <c r="T305" s="1924">
        <f>+S305-L305</f>
        <v>0</v>
      </c>
      <c r="U305" s="1966"/>
    </row>
    <row r="306" spans="1:21" s="1967" customFormat="1" ht="13.5" thickBot="1" x14ac:dyDescent="0.3">
      <c r="A306" s="2088" t="s">
        <v>1574</v>
      </c>
      <c r="B306" s="2089"/>
      <c r="C306" s="2090"/>
      <c r="D306" s="2091"/>
      <c r="E306" s="2091"/>
      <c r="F306" s="2092"/>
      <c r="G306" s="2091"/>
      <c r="H306" s="2093">
        <v>147225954</v>
      </c>
      <c r="I306" s="2093">
        <v>121829608</v>
      </c>
      <c r="J306" s="2093">
        <v>128229608</v>
      </c>
      <c r="K306" s="2093">
        <v>126838915.56999999</v>
      </c>
      <c r="L306" s="2093">
        <f>+L305+L300+L279+L274+L271+L268+L265+L262+L258+L240+L237+L177+L172+L166+L155+L145+L136+L105+L101+L98+L94+L80+L76+L71+L68+L64+L45+L39+L29+L20+L15+L283+L287+L295+L291+L159+L112+L35+L141+L117+L32</f>
        <v>97232091</v>
      </c>
      <c r="M306" s="2094">
        <f t="shared" si="15"/>
        <v>-29606824.569999993</v>
      </c>
      <c r="N306" s="2095"/>
      <c r="O306" s="2093">
        <f>+O305+O300+O279+O274+O271+O268+O265+O262+O258+O240+O237+O177+O172+O166+O155+O145+O136+O105+O101+O98+O94+O80+O76+O71+O68+O64+O45+O39+O29+O20+O15+O283+O287</f>
        <v>0</v>
      </c>
      <c r="P306" s="2096"/>
      <c r="Q306" s="2096"/>
      <c r="R306" s="2097"/>
      <c r="S306" s="1882"/>
      <c r="T306" s="2098"/>
      <c r="U306" s="1966"/>
    </row>
    <row r="307" spans="1:21" x14ac:dyDescent="0.25">
      <c r="A307" s="1880"/>
      <c r="B307" s="1880"/>
      <c r="C307" s="1880"/>
      <c r="D307" s="1881"/>
      <c r="E307" s="1881"/>
      <c r="F307" s="1881"/>
      <c r="G307" s="1881"/>
      <c r="H307" s="2099">
        <v>147225954</v>
      </c>
      <c r="I307" s="2099">
        <v>121829608</v>
      </c>
      <c r="J307" s="2099">
        <v>128229608</v>
      </c>
      <c r="K307" s="2099">
        <v>126838915.56999999</v>
      </c>
      <c r="L307" s="2099">
        <f>+'Výdaje kapitol celkem'!G57+'Výdaje kapitol celkem'!G58+'Výdaje kapitol celkem'!G59+'Výdaje kapitol celkem'!G60+'Výdaje kapitol celkem'!G61+'Výdaje kapitol celkem'!G62+'Výdaje kapitol celkem'!G63+'Výdaje kapitol celkem'!G64+'Výdaje kapitol celkem'!G65+'Výdaje kapitol celkem'!G66</f>
        <v>96832091</v>
      </c>
      <c r="M307" s="2100"/>
      <c r="N307" s="1879"/>
      <c r="O307" s="2101"/>
      <c r="P307" s="2102"/>
      <c r="Q307" s="2102"/>
      <c r="R307" s="2101"/>
      <c r="S307" s="1882"/>
      <c r="T307" s="1924">
        <f>+T219+T205+T186+T127+T73+T54+T33</f>
        <v>0</v>
      </c>
    </row>
    <row r="308" spans="1:21" s="2105" customFormat="1" x14ac:dyDescent="0.25">
      <c r="A308" s="1878"/>
      <c r="B308" s="1878"/>
      <c r="C308" s="1878"/>
      <c r="D308" s="1883"/>
      <c r="E308" s="1883"/>
      <c r="F308" s="1883"/>
      <c r="G308" s="1883"/>
      <c r="H308" s="1924">
        <v>0</v>
      </c>
      <c r="I308" s="1924">
        <v>0</v>
      </c>
      <c r="J308" s="1924">
        <v>0</v>
      </c>
      <c r="K308" s="1924">
        <v>0</v>
      </c>
      <c r="L308" s="1924">
        <f>+L307-L306</f>
        <v>-400000</v>
      </c>
      <c r="M308" s="2100"/>
      <c r="N308" s="2100"/>
      <c r="O308" s="2100"/>
      <c r="P308" s="2103"/>
      <c r="Q308" s="2103"/>
      <c r="R308" s="2100"/>
      <c r="S308" s="1883"/>
      <c r="T308" s="1883"/>
      <c r="U308" s="2104"/>
    </row>
    <row r="309" spans="1:21" x14ac:dyDescent="0.25">
      <c r="A309" s="1847" t="s">
        <v>544</v>
      </c>
      <c r="B309" s="1880"/>
      <c r="C309" s="1880"/>
      <c r="D309" s="1881"/>
      <c r="E309" s="1881"/>
      <c r="F309" s="1881"/>
      <c r="G309" s="1881"/>
      <c r="H309" s="1887"/>
      <c r="I309" s="1887"/>
      <c r="J309" s="1887"/>
      <c r="K309" s="1887"/>
      <c r="L309" s="1887"/>
      <c r="M309" s="2106"/>
      <c r="N309" s="1879"/>
      <c r="O309" s="1880"/>
      <c r="P309" s="1881"/>
      <c r="Q309" s="1881"/>
      <c r="R309" s="1880"/>
      <c r="S309" s="1882"/>
      <c r="T309" s="1883"/>
    </row>
  </sheetData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05:B305"/>
    <mergeCell ref="A172:B172"/>
    <mergeCell ref="A262:B262"/>
    <mergeCell ref="A268:B268"/>
    <mergeCell ref="A101:B101"/>
    <mergeCell ref="A105:B105"/>
    <mergeCell ref="A145:B145"/>
    <mergeCell ref="A155:B155"/>
    <mergeCell ref="A166:B166"/>
    <mergeCell ref="A237:B237"/>
    <mergeCell ref="A258:B258"/>
    <mergeCell ref="A159:B159"/>
    <mergeCell ref="A112:B112"/>
    <mergeCell ref="A117:B117"/>
    <mergeCell ref="A240:B240"/>
    <mergeCell ref="A265:B265"/>
    <mergeCell ref="A15:B15"/>
    <mergeCell ref="A136:B136"/>
    <mergeCell ref="A177:B177"/>
    <mergeCell ref="A20:B20"/>
    <mergeCell ref="A29:B29"/>
    <mergeCell ref="A39:B39"/>
    <mergeCell ref="A45:B45"/>
    <mergeCell ref="A64:B64"/>
    <mergeCell ref="A68:B68"/>
    <mergeCell ref="A71:B71"/>
    <mergeCell ref="A76:B76"/>
    <mergeCell ref="A80:B80"/>
    <mergeCell ref="A94:B94"/>
    <mergeCell ref="A98:B98"/>
    <mergeCell ref="A35:B35"/>
    <mergeCell ref="A141:B141"/>
    <mergeCell ref="A32:B32"/>
    <mergeCell ref="A287:B287"/>
    <mergeCell ref="A291:B291"/>
    <mergeCell ref="A295:B295"/>
    <mergeCell ref="A300:B300"/>
    <mergeCell ref="A271:B271"/>
    <mergeCell ref="A274:B274"/>
    <mergeCell ref="A279:B279"/>
    <mergeCell ref="A283:B283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6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45" zoomScale="85" zoomScaleNormal="85" workbookViewId="0">
      <selection activeCell="I74" sqref="I74"/>
    </sheetView>
  </sheetViews>
  <sheetFormatPr defaultColWidth="9" defaultRowHeight="12.75" outlineLevelRow="1" x14ac:dyDescent="0.25"/>
  <cols>
    <col min="1" max="1" width="17.5703125" style="1831" customWidth="1"/>
    <col min="2" max="2" width="8.85546875" style="1831" customWidth="1"/>
    <col min="3" max="3" width="47.85546875" style="1831" customWidth="1"/>
    <col min="4" max="6" width="9.85546875" style="1777" hidden="1" customWidth="1"/>
    <col min="7" max="7" width="9.85546875" style="1777" customWidth="1"/>
    <col min="8" max="8" width="9.85546875" style="1777" bestFit="1" customWidth="1"/>
    <col min="9" max="9" width="9.85546875" style="1778" customWidth="1"/>
    <col min="10" max="10" width="10.7109375" style="1858" bestFit="1" customWidth="1"/>
    <col min="11" max="11" width="10.7109375" style="1833" bestFit="1" customWidth="1"/>
    <col min="12" max="16384" width="9" style="1026"/>
  </cols>
  <sheetData>
    <row r="1" spans="1:12" s="1018" customFormat="1" ht="24" customHeight="1" x14ac:dyDescent="0.25">
      <c r="A1" s="1859" t="s">
        <v>2163</v>
      </c>
      <c r="B1" s="1859"/>
      <c r="C1" s="1759"/>
      <c r="D1" s="1759"/>
      <c r="E1" s="1759"/>
      <c r="F1" s="1759"/>
      <c r="G1" s="1759"/>
      <c r="H1" s="1759"/>
      <c r="I1" s="1760"/>
      <c r="J1" s="1853"/>
      <c r="K1" s="1797"/>
    </row>
    <row r="2" spans="1:12" s="1021" customFormat="1" ht="20.25" customHeight="1" x14ac:dyDescent="0.25">
      <c r="A2" s="3168" t="s">
        <v>709</v>
      </c>
      <c r="B2" s="3168"/>
      <c r="C2" s="3169"/>
      <c r="D2" s="1761"/>
      <c r="E2" s="1761"/>
      <c r="F2" s="1761"/>
      <c r="G2" s="1761"/>
      <c r="H2" s="1761"/>
      <c r="I2" s="1762"/>
      <c r="J2" s="1854"/>
      <c r="K2" s="1799"/>
    </row>
    <row r="3" spans="1:12" ht="13.5" thickBot="1" x14ac:dyDescent="0.3">
      <c r="A3" s="1801"/>
      <c r="B3" s="1801"/>
      <c r="C3" s="1801"/>
      <c r="D3" s="1763"/>
      <c r="E3" s="1763"/>
      <c r="F3" s="1763"/>
      <c r="G3" s="1763"/>
      <c r="H3" s="1763"/>
      <c r="I3" s="1764"/>
      <c r="J3" s="1807"/>
      <c r="K3" s="1803"/>
    </row>
    <row r="4" spans="1:12" ht="26.25" thickBot="1" x14ac:dyDescent="0.3">
      <c r="A4" s="1804" t="s">
        <v>1</v>
      </c>
      <c r="B4" s="1805" t="s">
        <v>63</v>
      </c>
      <c r="C4" s="1872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 t="s">
        <v>762</v>
      </c>
      <c r="K4" s="1803" t="s">
        <v>707</v>
      </c>
    </row>
    <row r="5" spans="1:12" ht="15.75" customHeight="1" outlineLevel="1" x14ac:dyDescent="0.25">
      <c r="A5" s="1835">
        <v>6409</v>
      </c>
      <c r="B5" s="1809">
        <v>5137</v>
      </c>
      <c r="C5" s="1868"/>
      <c r="D5" s="1744"/>
      <c r="E5" s="1744"/>
      <c r="F5" s="1744"/>
      <c r="G5" s="1744"/>
      <c r="H5" s="1744"/>
      <c r="I5" s="1745">
        <f>+H5-G5</f>
        <v>0</v>
      </c>
      <c r="J5" s="1807"/>
      <c r="K5" s="1803"/>
    </row>
    <row r="6" spans="1:12" ht="15.75" customHeight="1" outlineLevel="1" x14ac:dyDescent="0.25">
      <c r="A6" s="1836">
        <v>6409</v>
      </c>
      <c r="B6" s="1812">
        <v>5137</v>
      </c>
      <c r="C6" s="1873"/>
      <c r="D6" s="1746"/>
      <c r="E6" s="1746"/>
      <c r="F6" s="1746"/>
      <c r="G6" s="1746"/>
      <c r="H6" s="1746"/>
      <c r="I6" s="1747">
        <f t="shared" ref="I6:I68" si="0">+H6-G6</f>
        <v>0</v>
      </c>
      <c r="J6" s="1807"/>
      <c r="K6" s="1803"/>
    </row>
    <row r="7" spans="1:12" s="1029" customFormat="1" ht="16.5" customHeight="1" thickBot="1" x14ac:dyDescent="0.3">
      <c r="A7" s="3166" t="s">
        <v>1206</v>
      </c>
      <c r="B7" s="3167"/>
      <c r="C7" s="1874"/>
      <c r="D7" s="1748">
        <v>0</v>
      </c>
      <c r="E7" s="1748">
        <v>0</v>
      </c>
      <c r="F7" s="1748">
        <v>0</v>
      </c>
      <c r="G7" s="1748">
        <v>0</v>
      </c>
      <c r="H7" s="1748">
        <f t="shared" ref="H7" si="1">SUM(H5:H6)</f>
        <v>0</v>
      </c>
      <c r="I7" s="1749">
        <f t="shared" si="0"/>
        <v>0</v>
      </c>
      <c r="J7" s="1856">
        <f>'Výdaje kapitol celkem'!L21</f>
        <v>0</v>
      </c>
      <c r="K7" s="1816">
        <f>+J7-H7</f>
        <v>0</v>
      </c>
      <c r="L7" s="1028"/>
    </row>
    <row r="8" spans="1:12" ht="15.75" customHeight="1" outlineLevel="1" x14ac:dyDescent="0.25">
      <c r="A8" s="1835">
        <v>6112</v>
      </c>
      <c r="B8" s="1809">
        <v>5137</v>
      </c>
      <c r="C8" s="1868"/>
      <c r="D8" s="1744">
        <v>50000</v>
      </c>
      <c r="E8" s="1744">
        <v>50000</v>
      </c>
      <c r="F8" s="1744">
        <v>50000</v>
      </c>
      <c r="G8" s="1744">
        <v>50000</v>
      </c>
      <c r="H8" s="1744">
        <f>+[3]Zastupitelé!$B$11</f>
        <v>50000</v>
      </c>
      <c r="I8" s="1745">
        <f t="shared" si="0"/>
        <v>0</v>
      </c>
      <c r="J8" s="1807"/>
      <c r="K8" s="1816"/>
    </row>
    <row r="9" spans="1:12" ht="15.75" customHeight="1" outlineLevel="1" x14ac:dyDescent="0.25">
      <c r="A9" s="1836">
        <v>6112</v>
      </c>
      <c r="B9" s="1812">
        <v>5137</v>
      </c>
      <c r="C9" s="1873"/>
      <c r="D9" s="1746"/>
      <c r="E9" s="1746"/>
      <c r="F9" s="1746"/>
      <c r="G9" s="1746"/>
      <c r="H9" s="1746"/>
      <c r="I9" s="1747">
        <f t="shared" si="0"/>
        <v>0</v>
      </c>
      <c r="J9" s="1807"/>
      <c r="K9" s="1816"/>
    </row>
    <row r="10" spans="1:12" s="1029" customFormat="1" ht="16.5" customHeight="1" thickBot="1" x14ac:dyDescent="0.3">
      <c r="A10" s="3166" t="s">
        <v>1205</v>
      </c>
      <c r="B10" s="3167"/>
      <c r="C10" s="1874"/>
      <c r="D10" s="1748">
        <v>50000</v>
      </c>
      <c r="E10" s="1748">
        <v>50000</v>
      </c>
      <c r="F10" s="1748">
        <v>50000</v>
      </c>
      <c r="G10" s="1748">
        <v>50000</v>
      </c>
      <c r="H10" s="1748">
        <f t="shared" ref="H10" si="2">SUM(H8:H9)</f>
        <v>50000</v>
      </c>
      <c r="I10" s="1749">
        <f t="shared" si="0"/>
        <v>0</v>
      </c>
      <c r="J10" s="1856">
        <f>'Výdaje kapitol celkem'!N21</f>
        <v>50000</v>
      </c>
      <c r="K10" s="1816">
        <f>+J10-H10</f>
        <v>0</v>
      </c>
      <c r="L10" s="1028"/>
    </row>
    <row r="11" spans="1:12" ht="15.75" hidden="1" customHeight="1" outlineLevel="1" x14ac:dyDescent="0.25">
      <c r="A11" s="1835">
        <v>6117</v>
      </c>
      <c r="B11" s="1809">
        <v>5137</v>
      </c>
      <c r="C11" s="1868"/>
      <c r="D11" s="1744">
        <v>0</v>
      </c>
      <c r="E11" s="1744">
        <v>0</v>
      </c>
      <c r="F11" s="1744">
        <v>0</v>
      </c>
      <c r="G11" s="1744">
        <v>0</v>
      </c>
      <c r="H11" s="1744">
        <v>0</v>
      </c>
      <c r="I11" s="1745">
        <f t="shared" si="0"/>
        <v>0</v>
      </c>
      <c r="J11" s="1807"/>
      <c r="K11" s="1816"/>
    </row>
    <row r="12" spans="1:12" ht="15.75" hidden="1" customHeight="1" outlineLevel="1" x14ac:dyDescent="0.25">
      <c r="A12" s="1836">
        <v>6117</v>
      </c>
      <c r="B12" s="1812">
        <v>5137</v>
      </c>
      <c r="C12" s="1873"/>
      <c r="D12" s="1746">
        <v>0</v>
      </c>
      <c r="E12" s="1746">
        <v>0</v>
      </c>
      <c r="F12" s="1746">
        <v>0</v>
      </c>
      <c r="G12" s="1746">
        <v>0</v>
      </c>
      <c r="H12" s="1746">
        <v>0</v>
      </c>
      <c r="I12" s="1747">
        <f t="shared" si="0"/>
        <v>0</v>
      </c>
      <c r="J12" s="1807"/>
      <c r="K12" s="1816"/>
    </row>
    <row r="13" spans="1:12" s="1029" customFormat="1" ht="16.5" customHeight="1" collapsed="1" thickBot="1" x14ac:dyDescent="0.3">
      <c r="A13" s="3166" t="s">
        <v>1204</v>
      </c>
      <c r="B13" s="3167"/>
      <c r="C13" s="1874"/>
      <c r="D13" s="1748">
        <v>0</v>
      </c>
      <c r="E13" s="1748">
        <v>0</v>
      </c>
      <c r="F13" s="1748">
        <v>0</v>
      </c>
      <c r="G13" s="1748">
        <v>0</v>
      </c>
      <c r="H13" s="1748">
        <f t="shared" ref="H13" si="3">SUM(H11:H12)</f>
        <v>0</v>
      </c>
      <c r="I13" s="1749">
        <f t="shared" si="0"/>
        <v>0</v>
      </c>
      <c r="J13" s="1856">
        <f>'Výdaje kapitol celkem'!O21</f>
        <v>0</v>
      </c>
      <c r="K13" s="1816">
        <f>+J13-H13</f>
        <v>0</v>
      </c>
      <c r="L13" s="1028"/>
    </row>
    <row r="14" spans="1:12" ht="15.75" customHeight="1" outlineLevel="1" x14ac:dyDescent="0.25">
      <c r="A14" s="1835">
        <v>6171</v>
      </c>
      <c r="B14" s="1809">
        <v>5137</v>
      </c>
      <c r="C14" s="1868" t="s">
        <v>2282</v>
      </c>
      <c r="D14" s="1744">
        <v>344000</v>
      </c>
      <c r="E14" s="1744">
        <v>344000</v>
      </c>
      <c r="F14" s="1744">
        <v>344000</v>
      </c>
      <c r="G14" s="1744">
        <v>344000</v>
      </c>
      <c r="H14" s="1744">
        <f>+[3]Správa!$B$12</f>
        <v>344000</v>
      </c>
      <c r="I14" s="1745">
        <f t="shared" si="0"/>
        <v>0</v>
      </c>
      <c r="J14" s="1807"/>
      <c r="K14" s="1816"/>
    </row>
    <row r="15" spans="1:12" ht="15.75" customHeight="1" outlineLevel="1" x14ac:dyDescent="0.25">
      <c r="A15" s="1836">
        <v>6171</v>
      </c>
      <c r="B15" s="1812">
        <v>5137</v>
      </c>
      <c r="C15" s="1873" t="s">
        <v>2283</v>
      </c>
      <c r="D15" s="1746">
        <v>350000</v>
      </c>
      <c r="E15" s="1746">
        <v>350000</v>
      </c>
      <c r="F15" s="1746">
        <v>350000</v>
      </c>
      <c r="G15" s="1746">
        <v>350000</v>
      </c>
      <c r="H15" s="1746">
        <f>+[3]Správa!$B$13</f>
        <v>350000</v>
      </c>
      <c r="I15" s="1747">
        <f t="shared" si="0"/>
        <v>0</v>
      </c>
      <c r="J15" s="1807"/>
      <c r="K15" s="1816"/>
    </row>
    <row r="16" spans="1:12" ht="15.75" customHeight="1" outlineLevel="1" x14ac:dyDescent="0.25">
      <c r="A16" s="1836">
        <v>6171</v>
      </c>
      <c r="B16" s="1812">
        <v>5137</v>
      </c>
      <c r="C16" s="1873"/>
      <c r="D16" s="1746"/>
      <c r="E16" s="1746"/>
      <c r="F16" s="1746"/>
      <c r="G16" s="1746"/>
      <c r="H16" s="1746"/>
      <c r="I16" s="1747">
        <f t="shared" si="0"/>
        <v>0</v>
      </c>
      <c r="J16" s="1807"/>
      <c r="K16" s="1816"/>
    </row>
    <row r="17" spans="1:12" s="1029" customFormat="1" ht="16.5" customHeight="1" thickBot="1" x14ac:dyDescent="0.3">
      <c r="A17" s="3166" t="s">
        <v>212</v>
      </c>
      <c r="B17" s="3167"/>
      <c r="C17" s="1874"/>
      <c r="D17" s="1748">
        <v>694000</v>
      </c>
      <c r="E17" s="1748">
        <v>694000</v>
      </c>
      <c r="F17" s="1748">
        <v>694000</v>
      </c>
      <c r="G17" s="1748">
        <v>694000</v>
      </c>
      <c r="H17" s="1748">
        <f t="shared" ref="H17" si="4">SUM(H14:H16)</f>
        <v>694000</v>
      </c>
      <c r="I17" s="1749">
        <f t="shared" si="0"/>
        <v>0</v>
      </c>
      <c r="J17" s="1856">
        <f>'Výdaje kapitol celkem'!Q21</f>
        <v>694000</v>
      </c>
      <c r="K17" s="1816">
        <f>+J17-H17</f>
        <v>0</v>
      </c>
      <c r="L17" s="1028"/>
    </row>
    <row r="18" spans="1:12" ht="15.75" customHeight="1" outlineLevel="1" x14ac:dyDescent="0.25">
      <c r="A18" s="1835">
        <v>4351</v>
      </c>
      <c r="B18" s="1809">
        <v>5137</v>
      </c>
      <c r="C18" s="1868"/>
      <c r="D18" s="1744">
        <v>0</v>
      </c>
      <c r="E18" s="1744">
        <v>0</v>
      </c>
      <c r="F18" s="1744">
        <v>0</v>
      </c>
      <c r="G18" s="1744">
        <v>0</v>
      </c>
      <c r="H18" s="1744">
        <f>+'[3]Pečovatelská služba'!$B$12</f>
        <v>0</v>
      </c>
      <c r="I18" s="1745">
        <f t="shared" si="0"/>
        <v>0</v>
      </c>
      <c r="J18" s="1807"/>
      <c r="K18" s="1816"/>
      <c r="L18" s="1028"/>
    </row>
    <row r="19" spans="1:12" ht="15.75" customHeight="1" outlineLevel="1" x14ac:dyDescent="0.25">
      <c r="A19" s="1836">
        <v>4351</v>
      </c>
      <c r="B19" s="1812">
        <v>5137</v>
      </c>
      <c r="C19" s="1873"/>
      <c r="D19" s="1746">
        <v>50000</v>
      </c>
      <c r="E19" s="1746">
        <v>50000</v>
      </c>
      <c r="F19" s="1746">
        <v>50000</v>
      </c>
      <c r="G19" s="1746">
        <v>50000</v>
      </c>
      <c r="H19" s="1746">
        <f>+'[3]Pečovatelská služba'!$B$13</f>
        <v>50000</v>
      </c>
      <c r="I19" s="1751">
        <f t="shared" si="0"/>
        <v>0</v>
      </c>
      <c r="J19" s="1807"/>
      <c r="K19" s="1816"/>
      <c r="L19" s="1028"/>
    </row>
    <row r="20" spans="1:12" s="1029" customFormat="1" ht="16.5" customHeight="1" thickBot="1" x14ac:dyDescent="0.3">
      <c r="A20" s="3166" t="s">
        <v>213</v>
      </c>
      <c r="B20" s="3167"/>
      <c r="C20" s="1874"/>
      <c r="D20" s="1748">
        <v>50000</v>
      </c>
      <c r="E20" s="1748">
        <v>50000</v>
      </c>
      <c r="F20" s="1748">
        <v>50000</v>
      </c>
      <c r="G20" s="1748">
        <v>50000</v>
      </c>
      <c r="H20" s="1748">
        <f t="shared" ref="H20" si="5">SUM(H18:H19)</f>
        <v>50000</v>
      </c>
      <c r="I20" s="1749">
        <f t="shared" si="0"/>
        <v>0</v>
      </c>
      <c r="J20" s="1856">
        <f>'Výdaje kapitol celkem'!V21</f>
        <v>50000</v>
      </c>
      <c r="K20" s="1816">
        <f>+J20-H20</f>
        <v>0</v>
      </c>
      <c r="L20" s="1028"/>
    </row>
    <row r="21" spans="1:12" ht="15.75" customHeight="1" outlineLevel="1" x14ac:dyDescent="0.25">
      <c r="A21" s="1835">
        <v>2212</v>
      </c>
      <c r="B21" s="1809">
        <v>5137</v>
      </c>
      <c r="C21" s="1868" t="s">
        <v>2429</v>
      </c>
      <c r="D21" s="1744">
        <v>100000</v>
      </c>
      <c r="E21" s="1744">
        <v>100000</v>
      </c>
      <c r="F21" s="1744">
        <v>100000</v>
      </c>
      <c r="G21" s="1744">
        <v>100000</v>
      </c>
      <c r="H21" s="1744">
        <f>+[4]Silnice!$B$5</f>
        <v>100000</v>
      </c>
      <c r="I21" s="1745">
        <f t="shared" si="0"/>
        <v>0</v>
      </c>
      <c r="J21" s="1807"/>
      <c r="K21" s="1816"/>
      <c r="L21" s="1028"/>
    </row>
    <row r="22" spans="1:12" ht="15.75" hidden="1" customHeight="1" outlineLevel="1" x14ac:dyDescent="0.25">
      <c r="A22" s="1836">
        <v>2212</v>
      </c>
      <c r="B22" s="1812">
        <v>5137</v>
      </c>
      <c r="C22" s="1873"/>
      <c r="D22" s="1746"/>
      <c r="E22" s="1746"/>
      <c r="F22" s="1746"/>
      <c r="G22" s="1746"/>
      <c r="H22" s="1746"/>
      <c r="I22" s="1747">
        <f t="shared" si="0"/>
        <v>0</v>
      </c>
      <c r="J22" s="1807"/>
      <c r="K22" s="1816">
        <f>+J22-H22</f>
        <v>0</v>
      </c>
      <c r="L22" s="1028"/>
    </row>
    <row r="23" spans="1:12" ht="15.75" customHeight="1" outlineLevel="1" x14ac:dyDescent="0.25">
      <c r="A23" s="1836">
        <v>2212</v>
      </c>
      <c r="B23" s="1812">
        <v>5137</v>
      </c>
      <c r="C23" s="1873"/>
      <c r="D23" s="1746"/>
      <c r="E23" s="1746"/>
      <c r="F23" s="1746"/>
      <c r="G23" s="1746"/>
      <c r="H23" s="1746"/>
      <c r="I23" s="1751">
        <f t="shared" si="0"/>
        <v>0</v>
      </c>
      <c r="J23" s="1807"/>
      <c r="K23" s="1816"/>
      <c r="L23" s="1028"/>
    </row>
    <row r="24" spans="1:12" s="1029" customFormat="1" ht="16.5" customHeight="1" thickBot="1" x14ac:dyDescent="0.3">
      <c r="A24" s="3166" t="s">
        <v>630</v>
      </c>
      <c r="B24" s="3167"/>
      <c r="C24" s="1874"/>
      <c r="D24" s="1748">
        <v>100000</v>
      </c>
      <c r="E24" s="1748">
        <v>100000</v>
      </c>
      <c r="F24" s="1748">
        <v>100000</v>
      </c>
      <c r="G24" s="1748">
        <v>100000</v>
      </c>
      <c r="H24" s="1748">
        <f t="shared" ref="H24" si="6">SUM(H21:H23)</f>
        <v>100000</v>
      </c>
      <c r="I24" s="1749">
        <f t="shared" si="0"/>
        <v>0</v>
      </c>
      <c r="J24" s="1856">
        <f>'Výdaje kapitol celkem'!CF21</f>
        <v>100000</v>
      </c>
      <c r="K24" s="1816">
        <f>+J24-H24</f>
        <v>0</v>
      </c>
      <c r="L24" s="1028"/>
    </row>
    <row r="25" spans="1:12" ht="15.75" customHeight="1" outlineLevel="1" x14ac:dyDescent="0.25">
      <c r="A25" s="1835" t="s">
        <v>196</v>
      </c>
      <c r="B25" s="1809">
        <v>5137</v>
      </c>
      <c r="C25" s="1868"/>
      <c r="D25" s="1744">
        <v>50000</v>
      </c>
      <c r="E25" s="1744">
        <v>50000</v>
      </c>
      <c r="F25" s="1744">
        <v>50000</v>
      </c>
      <c r="G25" s="1744">
        <v>50000</v>
      </c>
      <c r="H25" s="1744">
        <f>+'[3]Městská policie'!$B$19</f>
        <v>50000</v>
      </c>
      <c r="I25" s="1745">
        <f t="shared" si="0"/>
        <v>0</v>
      </c>
      <c r="J25" s="1807"/>
      <c r="K25" s="1816"/>
      <c r="L25" s="1028"/>
    </row>
    <row r="26" spans="1:12" ht="15.75" customHeight="1" outlineLevel="1" x14ac:dyDescent="0.25">
      <c r="A26" s="1836" t="s">
        <v>196</v>
      </c>
      <c r="B26" s="1812">
        <v>5137</v>
      </c>
      <c r="C26" s="1873" t="s">
        <v>2288</v>
      </c>
      <c r="D26" s="1746">
        <v>50000</v>
      </c>
      <c r="E26" s="1746">
        <v>50000</v>
      </c>
      <c r="F26" s="1746">
        <v>50000</v>
      </c>
      <c r="G26" s="1746">
        <v>50000</v>
      </c>
      <c r="H26" s="1746">
        <f>+'[3]Městská policie'!$B$20</f>
        <v>50000</v>
      </c>
      <c r="I26" s="1747">
        <f t="shared" si="0"/>
        <v>0</v>
      </c>
      <c r="J26" s="1807"/>
      <c r="K26" s="1816"/>
      <c r="L26" s="1028"/>
    </row>
    <row r="27" spans="1:12" ht="15.75" customHeight="1" outlineLevel="1" x14ac:dyDescent="0.25">
      <c r="A27" s="1836" t="s">
        <v>196</v>
      </c>
      <c r="B27" s="1812">
        <v>5137</v>
      </c>
      <c r="C27" s="1873" t="s">
        <v>2430</v>
      </c>
      <c r="D27" s="1746">
        <v>50000</v>
      </c>
      <c r="E27" s="1746">
        <v>50000</v>
      </c>
      <c r="F27" s="1746">
        <v>50000</v>
      </c>
      <c r="G27" s="1746">
        <v>50000</v>
      </c>
      <c r="H27" s="1746">
        <f>+'[3]Městská policie'!$B$21</f>
        <v>50000</v>
      </c>
      <c r="I27" s="1751">
        <f t="shared" si="0"/>
        <v>0</v>
      </c>
      <c r="J27" s="1807"/>
      <c r="K27" s="1816"/>
      <c r="L27" s="1028"/>
    </row>
    <row r="28" spans="1:12" s="1029" customFormat="1" ht="13.5" thickBot="1" x14ac:dyDescent="0.3">
      <c r="A28" s="3166" t="s">
        <v>1176</v>
      </c>
      <c r="B28" s="3167"/>
      <c r="C28" s="1874"/>
      <c r="D28" s="1748">
        <v>150000</v>
      </c>
      <c r="E28" s="1748">
        <v>150000</v>
      </c>
      <c r="F28" s="1748">
        <v>150000</v>
      </c>
      <c r="G28" s="1748">
        <v>150000</v>
      </c>
      <c r="H28" s="1748">
        <f t="shared" ref="H28" si="7">SUM(H25:H27)</f>
        <v>150000</v>
      </c>
      <c r="I28" s="1749">
        <f t="shared" si="0"/>
        <v>0</v>
      </c>
      <c r="J28" s="1856">
        <f>'Výdaje kapitol celkem'!Y21</f>
        <v>150000</v>
      </c>
      <c r="K28" s="1816">
        <f>+J28-H28</f>
        <v>0</v>
      </c>
      <c r="L28" s="1028"/>
    </row>
    <row r="29" spans="1:12" ht="15.75" hidden="1" customHeight="1" outlineLevel="1" x14ac:dyDescent="0.25">
      <c r="A29" s="1835">
        <v>3319</v>
      </c>
      <c r="B29" s="1809">
        <v>5137</v>
      </c>
      <c r="C29" s="1868"/>
      <c r="D29" s="1744"/>
      <c r="E29" s="1744"/>
      <c r="F29" s="1744"/>
      <c r="G29" s="1744"/>
      <c r="H29" s="1744"/>
      <c r="I29" s="1745">
        <f t="shared" si="0"/>
        <v>0</v>
      </c>
      <c r="J29" s="1807"/>
      <c r="K29" s="1816"/>
      <c r="L29" s="1028"/>
    </row>
    <row r="30" spans="1:12" ht="15.75" hidden="1" customHeight="1" outlineLevel="1" x14ac:dyDescent="0.25">
      <c r="A30" s="1836">
        <v>3319</v>
      </c>
      <c r="B30" s="1812">
        <v>5137</v>
      </c>
      <c r="C30" s="1873"/>
      <c r="D30" s="1750"/>
      <c r="E30" s="1750"/>
      <c r="F30" s="1750"/>
      <c r="G30" s="1750"/>
      <c r="H30" s="1750"/>
      <c r="I30" s="1751">
        <f t="shared" si="0"/>
        <v>0</v>
      </c>
      <c r="J30" s="1807"/>
      <c r="K30" s="1816"/>
      <c r="L30" s="1028"/>
    </row>
    <row r="31" spans="1:12" s="1029" customFormat="1" ht="16.5" customHeight="1" collapsed="1" thickBot="1" x14ac:dyDescent="0.3">
      <c r="A31" s="3166" t="s">
        <v>1175</v>
      </c>
      <c r="B31" s="3167"/>
      <c r="C31" s="1874"/>
      <c r="D31" s="1748">
        <v>0</v>
      </c>
      <c r="E31" s="1748">
        <v>0</v>
      </c>
      <c r="F31" s="1748">
        <v>0</v>
      </c>
      <c r="G31" s="1748">
        <v>0</v>
      </c>
      <c r="H31" s="1748">
        <f t="shared" ref="H31" si="8">SUM(H29:H30)</f>
        <v>0</v>
      </c>
      <c r="I31" s="1749">
        <f t="shared" si="0"/>
        <v>0</v>
      </c>
      <c r="J31" s="1856">
        <f>'Výdaje kapitol celkem'!Z21</f>
        <v>0</v>
      </c>
      <c r="K31" s="1816">
        <f>+J31-H31</f>
        <v>0</v>
      </c>
      <c r="L31" s="1028"/>
    </row>
    <row r="32" spans="1:12" ht="15.75" customHeight="1" outlineLevel="1" x14ac:dyDescent="0.25">
      <c r="A32" s="1835">
        <v>3314</v>
      </c>
      <c r="B32" s="1809">
        <v>5137</v>
      </c>
      <c r="C32" s="1868" t="s">
        <v>2294</v>
      </c>
      <c r="D32" s="1744">
        <v>100000</v>
      </c>
      <c r="E32" s="1744">
        <v>100000</v>
      </c>
      <c r="F32" s="1744">
        <v>100000</v>
      </c>
      <c r="G32" s="1744">
        <v>100000</v>
      </c>
      <c r="H32" s="1744">
        <f>+[3]Knihovna!$B$12</f>
        <v>70000</v>
      </c>
      <c r="I32" s="1745">
        <f t="shared" si="0"/>
        <v>-30000</v>
      </c>
      <c r="J32" s="1807"/>
      <c r="K32" s="1816"/>
      <c r="L32" s="1028"/>
    </row>
    <row r="33" spans="1:12" ht="15.75" customHeight="1" outlineLevel="1" x14ac:dyDescent="0.25">
      <c r="A33" s="1836">
        <v>3314</v>
      </c>
      <c r="B33" s="1812">
        <v>5137</v>
      </c>
      <c r="C33" s="1873"/>
      <c r="D33" s="1746">
        <v>20000</v>
      </c>
      <c r="E33" s="1746">
        <v>20000</v>
      </c>
      <c r="F33" s="1746">
        <v>20000</v>
      </c>
      <c r="G33" s="1746">
        <v>20000</v>
      </c>
      <c r="H33" s="1746">
        <f>+[3]Knihovna!$B$13</f>
        <v>20000</v>
      </c>
      <c r="I33" s="1751">
        <f t="shared" si="0"/>
        <v>0</v>
      </c>
      <c r="J33" s="1807"/>
      <c r="K33" s="1816"/>
      <c r="L33" s="1028"/>
    </row>
    <row r="34" spans="1:12" s="1029" customFormat="1" ht="16.5" customHeight="1" thickBot="1" x14ac:dyDescent="0.3">
      <c r="A34" s="3166" t="s">
        <v>1177</v>
      </c>
      <c r="B34" s="3167"/>
      <c r="C34" s="1874"/>
      <c r="D34" s="1748">
        <v>120000</v>
      </c>
      <c r="E34" s="1748">
        <v>120000</v>
      </c>
      <c r="F34" s="1748">
        <v>120000</v>
      </c>
      <c r="G34" s="1748">
        <v>120000</v>
      </c>
      <c r="H34" s="1748">
        <f t="shared" ref="H34" si="9">SUM(H32:H33)</f>
        <v>90000</v>
      </c>
      <c r="I34" s="1749">
        <f t="shared" si="0"/>
        <v>-30000</v>
      </c>
      <c r="J34" s="1856">
        <f>'Výdaje kapitol celkem'!AB21</f>
        <v>90000</v>
      </c>
      <c r="K34" s="1816">
        <f>+J34-H34</f>
        <v>0</v>
      </c>
      <c r="L34" s="1028"/>
    </row>
    <row r="35" spans="1:12" ht="15.75" hidden="1" customHeight="1" outlineLevel="1" x14ac:dyDescent="0.25">
      <c r="A35" s="1835">
        <v>3349</v>
      </c>
      <c r="B35" s="1809">
        <v>5137</v>
      </c>
      <c r="C35" s="1868"/>
      <c r="D35" s="1744"/>
      <c r="E35" s="1744"/>
      <c r="F35" s="1744"/>
      <c r="G35" s="1744"/>
      <c r="H35" s="1744"/>
      <c r="I35" s="1745">
        <f t="shared" si="0"/>
        <v>0</v>
      </c>
      <c r="J35" s="1807"/>
      <c r="K35" s="1816"/>
      <c r="L35" s="1028"/>
    </row>
    <row r="36" spans="1:12" s="1029" customFormat="1" ht="16.5" customHeight="1" collapsed="1" thickBot="1" x14ac:dyDescent="0.3">
      <c r="A36" s="3166" t="s">
        <v>1203</v>
      </c>
      <c r="B36" s="3167"/>
      <c r="C36" s="1874"/>
      <c r="D36" s="1748">
        <v>0</v>
      </c>
      <c r="E36" s="1748">
        <v>0</v>
      </c>
      <c r="F36" s="1748">
        <v>0</v>
      </c>
      <c r="G36" s="1748">
        <v>0</v>
      </c>
      <c r="H36" s="1748">
        <f t="shared" ref="H36" si="10">SUM(H35)</f>
        <v>0</v>
      </c>
      <c r="I36" s="1749">
        <f t="shared" si="0"/>
        <v>0</v>
      </c>
      <c r="J36" s="1856">
        <f>'Výdaje kapitol celkem'!AC21</f>
        <v>0</v>
      </c>
      <c r="K36" s="1816">
        <f>+J36-H36</f>
        <v>0</v>
      </c>
      <c r="L36" s="1028"/>
    </row>
    <row r="37" spans="1:12" ht="15.75" customHeight="1" outlineLevel="1" x14ac:dyDescent="0.25">
      <c r="A37" s="1835">
        <v>3359</v>
      </c>
      <c r="B37" s="1809">
        <v>5137</v>
      </c>
      <c r="C37" s="1868" t="s">
        <v>2297</v>
      </c>
      <c r="D37" s="1744">
        <v>120000</v>
      </c>
      <c r="E37" s="1744">
        <v>120000</v>
      </c>
      <c r="F37" s="1744">
        <v>120000</v>
      </c>
      <c r="G37" s="1744">
        <v>120000</v>
      </c>
      <c r="H37" s="1744">
        <f>+[3]Kultura!$B$5</f>
        <v>120000</v>
      </c>
      <c r="I37" s="1745">
        <f t="shared" si="0"/>
        <v>0</v>
      </c>
      <c r="J37" s="1807"/>
      <c r="K37" s="1816"/>
      <c r="L37" s="1028"/>
    </row>
    <row r="38" spans="1:12" ht="15.75" customHeight="1" outlineLevel="1" x14ac:dyDescent="0.25">
      <c r="A38" s="1836">
        <v>3359</v>
      </c>
      <c r="B38" s="1812">
        <v>5137</v>
      </c>
      <c r="C38" s="1873"/>
      <c r="D38" s="1746">
        <v>0</v>
      </c>
      <c r="E38" s="1746">
        <v>0</v>
      </c>
      <c r="F38" s="1746">
        <v>0</v>
      </c>
      <c r="G38" s="1746">
        <v>0</v>
      </c>
      <c r="H38" s="1746">
        <f>+[3]Kultura!$B$6</f>
        <v>0</v>
      </c>
      <c r="I38" s="1747">
        <f t="shared" si="0"/>
        <v>0</v>
      </c>
      <c r="J38" s="1807"/>
      <c r="K38" s="1816">
        <f>+J38-H38</f>
        <v>0</v>
      </c>
      <c r="L38" s="1028"/>
    </row>
    <row r="39" spans="1:12" ht="15.75" hidden="1" customHeight="1" outlineLevel="1" x14ac:dyDescent="0.25">
      <c r="A39" s="1836">
        <v>3359</v>
      </c>
      <c r="B39" s="1812">
        <v>5137</v>
      </c>
      <c r="C39" s="1873"/>
      <c r="D39" s="1746"/>
      <c r="E39" s="1746"/>
      <c r="F39" s="1746"/>
      <c r="G39" s="1746"/>
      <c r="H39" s="1746"/>
      <c r="I39" s="1747">
        <f t="shared" si="0"/>
        <v>0</v>
      </c>
      <c r="J39" s="1807"/>
      <c r="K39" s="1816">
        <f>+J39-H39</f>
        <v>0</v>
      </c>
      <c r="L39" s="1028"/>
    </row>
    <row r="40" spans="1:12" ht="18" hidden="1" customHeight="1" outlineLevel="1" x14ac:dyDescent="0.25">
      <c r="A40" s="1841">
        <v>3359</v>
      </c>
      <c r="B40" s="1812">
        <v>5137</v>
      </c>
      <c r="C40" s="1875"/>
      <c r="D40" s="1752"/>
      <c r="E40" s="1752"/>
      <c r="F40" s="1752"/>
      <c r="G40" s="1752"/>
      <c r="H40" s="1752"/>
      <c r="I40" s="1767">
        <f t="shared" si="0"/>
        <v>0</v>
      </c>
      <c r="J40" s="1807"/>
      <c r="K40" s="1816">
        <f>+J40-H40</f>
        <v>0</v>
      </c>
      <c r="L40" s="1028"/>
    </row>
    <row r="41" spans="1:12" ht="16.5" hidden="1" customHeight="1" outlineLevel="1" x14ac:dyDescent="0.25">
      <c r="A41" s="1841">
        <v>3359</v>
      </c>
      <c r="B41" s="1812">
        <v>5137</v>
      </c>
      <c r="C41" s="1875"/>
      <c r="D41" s="1752"/>
      <c r="E41" s="1752"/>
      <c r="F41" s="1752"/>
      <c r="G41" s="1752"/>
      <c r="H41" s="1752"/>
      <c r="I41" s="1767">
        <f t="shared" si="0"/>
        <v>0</v>
      </c>
      <c r="J41" s="1807"/>
      <c r="K41" s="1816"/>
      <c r="L41" s="1028"/>
    </row>
    <row r="42" spans="1:12" s="1029" customFormat="1" ht="16.5" customHeight="1" thickBot="1" x14ac:dyDescent="0.3">
      <c r="A42" s="3166" t="s">
        <v>1202</v>
      </c>
      <c r="B42" s="3167"/>
      <c r="C42" s="1874"/>
      <c r="D42" s="1748">
        <v>120000</v>
      </c>
      <c r="E42" s="1748">
        <v>120000</v>
      </c>
      <c r="F42" s="1748">
        <v>120000</v>
      </c>
      <c r="G42" s="1748">
        <v>120000</v>
      </c>
      <c r="H42" s="1748">
        <f t="shared" ref="H42" si="11">SUM(H37:H41)</f>
        <v>120000</v>
      </c>
      <c r="I42" s="1749">
        <f t="shared" si="0"/>
        <v>0</v>
      </c>
      <c r="J42" s="1856">
        <f>'Výdaje kapitol celkem'!AD21</f>
        <v>120000</v>
      </c>
      <c r="K42" s="1816">
        <f>+J42-H42</f>
        <v>0</v>
      </c>
      <c r="L42" s="1028"/>
    </row>
    <row r="43" spans="1:12" ht="15.75" customHeight="1" outlineLevel="1" x14ac:dyDescent="0.25">
      <c r="A43" s="1835">
        <v>3612</v>
      </c>
      <c r="B43" s="1809">
        <v>5137</v>
      </c>
      <c r="C43" s="1868" t="s">
        <v>75</v>
      </c>
      <c r="D43" s="1744">
        <v>100000</v>
      </c>
      <c r="E43" s="1744">
        <v>100000</v>
      </c>
      <c r="F43" s="1744">
        <v>100000</v>
      </c>
      <c r="G43" s="1744">
        <v>100000</v>
      </c>
      <c r="H43" s="1744">
        <f>+[4]Byty!$B$5</f>
        <v>100000</v>
      </c>
      <c r="I43" s="1745">
        <f t="shared" si="0"/>
        <v>0</v>
      </c>
      <c r="J43" s="1807"/>
      <c r="K43" s="1816"/>
      <c r="L43" s="1028"/>
    </row>
    <row r="44" spans="1:12" ht="15.75" customHeight="1" outlineLevel="1" x14ac:dyDescent="0.25">
      <c r="A44" s="1836">
        <v>3612</v>
      </c>
      <c r="B44" s="1812">
        <v>5137</v>
      </c>
      <c r="C44" s="1873" t="s">
        <v>2243</v>
      </c>
      <c r="D44" s="1746">
        <v>300000</v>
      </c>
      <c r="E44" s="1746">
        <v>300000</v>
      </c>
      <c r="F44" s="1746">
        <v>300000</v>
      </c>
      <c r="G44" s="1746">
        <v>300000</v>
      </c>
      <c r="H44" s="1746">
        <f>+[4]Byty!$B$6</f>
        <v>300000</v>
      </c>
      <c r="I44" s="1747">
        <f t="shared" si="0"/>
        <v>0</v>
      </c>
      <c r="J44" s="1807"/>
      <c r="K44" s="1816"/>
      <c r="L44" s="1028"/>
    </row>
    <row r="45" spans="1:12" s="1029" customFormat="1" ht="16.5" customHeight="1" thickBot="1" x14ac:dyDescent="0.3">
      <c r="A45" s="3166" t="s">
        <v>199</v>
      </c>
      <c r="B45" s="3167"/>
      <c r="C45" s="1874"/>
      <c r="D45" s="1748">
        <v>400000</v>
      </c>
      <c r="E45" s="1748">
        <v>400000</v>
      </c>
      <c r="F45" s="1748">
        <v>400000</v>
      </c>
      <c r="G45" s="1748">
        <v>400000</v>
      </c>
      <c r="H45" s="1748">
        <f t="shared" ref="H45" si="12">SUM(H43:H44)</f>
        <v>400000</v>
      </c>
      <c r="I45" s="1749">
        <f t="shared" si="0"/>
        <v>0</v>
      </c>
      <c r="J45" s="1856">
        <f>'Výdaje kapitol celkem'!AE21</f>
        <v>400000</v>
      </c>
      <c r="K45" s="1816">
        <f>+J45-H45</f>
        <v>0</v>
      </c>
      <c r="L45" s="1028"/>
    </row>
    <row r="46" spans="1:12" ht="16.5" customHeight="1" outlineLevel="1" x14ac:dyDescent="0.25">
      <c r="A46" s="1841" t="s">
        <v>198</v>
      </c>
      <c r="B46" s="1818">
        <v>5137</v>
      </c>
      <c r="C46" s="1875" t="s">
        <v>2247</v>
      </c>
      <c r="D46" s="1752">
        <v>30000</v>
      </c>
      <c r="E46" s="1752">
        <v>30000</v>
      </c>
      <c r="F46" s="1752">
        <v>30000</v>
      </c>
      <c r="G46" s="1752">
        <v>30000</v>
      </c>
      <c r="H46" s="1752">
        <f>+[4]DPS!$B$5</f>
        <v>30000</v>
      </c>
      <c r="I46" s="1767">
        <f t="shared" si="0"/>
        <v>0</v>
      </c>
      <c r="J46" s="1807"/>
      <c r="K46" s="1816"/>
      <c r="L46" s="1028"/>
    </row>
    <row r="47" spans="1:12" ht="16.5" customHeight="1" outlineLevel="1" x14ac:dyDescent="0.25">
      <c r="A47" s="1841" t="s">
        <v>198</v>
      </c>
      <c r="B47" s="1818">
        <v>5137</v>
      </c>
      <c r="C47" s="1875"/>
      <c r="D47" s="1752"/>
      <c r="E47" s="1752"/>
      <c r="F47" s="1752"/>
      <c r="G47" s="1752"/>
      <c r="H47" s="1752"/>
      <c r="I47" s="1767">
        <f t="shared" si="0"/>
        <v>0</v>
      </c>
      <c r="J47" s="1807"/>
      <c r="K47" s="1816"/>
      <c r="L47" s="1028"/>
    </row>
    <row r="48" spans="1:12" ht="16.5" customHeight="1" thickBot="1" x14ac:dyDescent="0.3">
      <c r="A48" s="3166" t="s">
        <v>200</v>
      </c>
      <c r="B48" s="3167"/>
      <c r="C48" s="1874"/>
      <c r="D48" s="1748">
        <v>30000</v>
      </c>
      <c r="E48" s="1748">
        <v>30000</v>
      </c>
      <c r="F48" s="1748">
        <v>30000</v>
      </c>
      <c r="G48" s="1748">
        <v>30000</v>
      </c>
      <c r="H48" s="1748">
        <f t="shared" ref="H48" si="13">SUM(H46:H47)</f>
        <v>30000</v>
      </c>
      <c r="I48" s="1749">
        <f t="shared" si="0"/>
        <v>0</v>
      </c>
      <c r="J48" s="1856">
        <f>'Výdaje kapitol celkem'!AH21</f>
        <v>30000</v>
      </c>
      <c r="K48" s="1816">
        <f>+J48-H48</f>
        <v>0</v>
      </c>
      <c r="L48" s="1028"/>
    </row>
    <row r="49" spans="1:12" ht="16.5" hidden="1" customHeight="1" outlineLevel="1" x14ac:dyDescent="0.25">
      <c r="A49" s="1836" t="s">
        <v>1253</v>
      </c>
      <c r="B49" s="1812">
        <v>5137</v>
      </c>
      <c r="C49" s="1873"/>
      <c r="D49" s="1746">
        <v>0</v>
      </c>
      <c r="E49" s="1746">
        <v>0</v>
      </c>
      <c r="F49" s="1746">
        <v>0</v>
      </c>
      <c r="G49" s="1746">
        <v>0</v>
      </c>
      <c r="H49" s="1746">
        <v>0</v>
      </c>
      <c r="I49" s="1751">
        <f t="shared" si="0"/>
        <v>0</v>
      </c>
      <c r="J49" s="1807"/>
      <c r="K49" s="1816"/>
      <c r="L49" s="1028"/>
    </row>
    <row r="50" spans="1:12" ht="16.5" hidden="1" customHeight="1" outlineLevel="1" x14ac:dyDescent="0.25">
      <c r="A50" s="1841" t="s">
        <v>1253</v>
      </c>
      <c r="B50" s="1818">
        <v>5137</v>
      </c>
      <c r="C50" s="1875"/>
      <c r="D50" s="1752"/>
      <c r="E50" s="1752"/>
      <c r="F50" s="1752"/>
      <c r="G50" s="1752"/>
      <c r="H50" s="1752"/>
      <c r="I50" s="1768">
        <f t="shared" si="0"/>
        <v>0</v>
      </c>
      <c r="J50" s="1807"/>
      <c r="K50" s="1816"/>
      <c r="L50" s="1028"/>
    </row>
    <row r="51" spans="1:12" ht="19.5" customHeight="1" collapsed="1" thickBot="1" x14ac:dyDescent="0.3">
      <c r="A51" s="3166" t="s">
        <v>1441</v>
      </c>
      <c r="B51" s="3167"/>
      <c r="C51" s="1874"/>
      <c r="D51" s="1748">
        <v>0</v>
      </c>
      <c r="E51" s="1748">
        <v>0</v>
      </c>
      <c r="F51" s="1748">
        <v>0</v>
      </c>
      <c r="G51" s="1748">
        <v>0</v>
      </c>
      <c r="H51" s="1748">
        <f t="shared" ref="H51" si="14">SUM(H49:H50)</f>
        <v>0</v>
      </c>
      <c r="I51" s="1749">
        <f t="shared" si="0"/>
        <v>0</v>
      </c>
      <c r="J51" s="1856">
        <f>'Výdaje kapitol celkem'!AA21</f>
        <v>0</v>
      </c>
      <c r="K51" s="1816">
        <f>+J51-H51</f>
        <v>0</v>
      </c>
      <c r="L51" s="1028"/>
    </row>
    <row r="52" spans="1:12" ht="16.5" hidden="1" customHeight="1" outlineLevel="1" x14ac:dyDescent="0.25">
      <c r="A52" s="1836">
        <v>3613</v>
      </c>
      <c r="B52" s="1812">
        <v>5137</v>
      </c>
      <c r="C52" s="1873"/>
      <c r="D52" s="1746"/>
      <c r="E52" s="1746"/>
      <c r="F52" s="1746"/>
      <c r="G52" s="1746"/>
      <c r="H52" s="1746"/>
      <c r="I52" s="1751">
        <f t="shared" si="0"/>
        <v>0</v>
      </c>
      <c r="J52" s="1807"/>
      <c r="K52" s="1816"/>
      <c r="L52" s="1028"/>
    </row>
    <row r="53" spans="1:12" ht="16.5" hidden="1" customHeight="1" outlineLevel="1" x14ac:dyDescent="0.25">
      <c r="A53" s="1841">
        <v>3613</v>
      </c>
      <c r="B53" s="1818">
        <v>5137</v>
      </c>
      <c r="C53" s="1875"/>
      <c r="D53" s="1752"/>
      <c r="E53" s="1752"/>
      <c r="F53" s="1752"/>
      <c r="G53" s="1752"/>
      <c r="H53" s="1752"/>
      <c r="I53" s="1768">
        <f t="shared" si="0"/>
        <v>0</v>
      </c>
      <c r="J53" s="1807"/>
      <c r="K53" s="1816"/>
      <c r="L53" s="1028"/>
    </row>
    <row r="54" spans="1:12" ht="19.5" customHeight="1" collapsed="1" thickBot="1" x14ac:dyDescent="0.3">
      <c r="A54" s="3166" t="s">
        <v>201</v>
      </c>
      <c r="B54" s="3167"/>
      <c r="C54" s="1874"/>
      <c r="D54" s="1748">
        <v>0</v>
      </c>
      <c r="E54" s="1748">
        <v>0</v>
      </c>
      <c r="F54" s="1748">
        <v>0</v>
      </c>
      <c r="G54" s="1748">
        <v>0</v>
      </c>
      <c r="H54" s="1748">
        <f t="shared" ref="H54" si="15">SUM(H52:H53)</f>
        <v>0</v>
      </c>
      <c r="I54" s="1749">
        <f t="shared" si="0"/>
        <v>0</v>
      </c>
      <c r="J54" s="1856">
        <f>'Výdaje kapitol celkem'!AK21</f>
        <v>0</v>
      </c>
      <c r="K54" s="1816">
        <f>+J54-H54</f>
        <v>0</v>
      </c>
      <c r="L54" s="1028"/>
    </row>
    <row r="55" spans="1:12" ht="20.25" hidden="1" customHeight="1" outlineLevel="1" x14ac:dyDescent="0.25">
      <c r="A55" s="1836">
        <v>3631</v>
      </c>
      <c r="B55" s="1812">
        <v>5137</v>
      </c>
      <c r="C55" s="1873"/>
      <c r="D55" s="1746"/>
      <c r="E55" s="1746"/>
      <c r="F55" s="1746"/>
      <c r="G55" s="1746"/>
      <c r="H55" s="1746"/>
      <c r="I55" s="1751">
        <f t="shared" si="0"/>
        <v>0</v>
      </c>
      <c r="J55" s="1807"/>
      <c r="K55" s="1816"/>
      <c r="L55" s="1028"/>
    </row>
    <row r="56" spans="1:12" ht="20.25" hidden="1" customHeight="1" outlineLevel="1" x14ac:dyDescent="0.25">
      <c r="A56" s="1836">
        <v>3631</v>
      </c>
      <c r="B56" s="1812">
        <v>5137</v>
      </c>
      <c r="C56" s="1873"/>
      <c r="D56" s="1746"/>
      <c r="E56" s="1746"/>
      <c r="F56" s="1746"/>
      <c r="G56" s="1746"/>
      <c r="H56" s="1746"/>
      <c r="I56" s="1751">
        <f t="shared" si="0"/>
        <v>0</v>
      </c>
      <c r="J56" s="1807"/>
      <c r="K56" s="1816"/>
      <c r="L56" s="1028"/>
    </row>
    <row r="57" spans="1:12" ht="20.25" hidden="1" customHeight="1" outlineLevel="1" x14ac:dyDescent="0.25">
      <c r="A57" s="1841">
        <v>3631</v>
      </c>
      <c r="B57" s="1818">
        <v>5137</v>
      </c>
      <c r="C57" s="1873"/>
      <c r="D57" s="1752"/>
      <c r="E57" s="1752"/>
      <c r="F57" s="1752"/>
      <c r="G57" s="1752"/>
      <c r="H57" s="1752"/>
      <c r="I57" s="1768">
        <f t="shared" si="0"/>
        <v>0</v>
      </c>
      <c r="J57" s="1807"/>
      <c r="K57" s="1816"/>
      <c r="L57" s="1028"/>
    </row>
    <row r="58" spans="1:12" ht="20.25" customHeight="1" collapsed="1" thickBot="1" x14ac:dyDescent="0.3">
      <c r="A58" s="3166" t="s">
        <v>629</v>
      </c>
      <c r="B58" s="3167"/>
      <c r="C58" s="1874"/>
      <c r="D58" s="1748">
        <v>0</v>
      </c>
      <c r="E58" s="1748">
        <v>0</v>
      </c>
      <c r="F58" s="1748">
        <v>0</v>
      </c>
      <c r="G58" s="1748">
        <v>0</v>
      </c>
      <c r="H58" s="1748">
        <f t="shared" ref="H58" si="16">SUM(H55:H57)</f>
        <v>0</v>
      </c>
      <c r="I58" s="1749">
        <f t="shared" si="0"/>
        <v>0</v>
      </c>
      <c r="J58" s="1856">
        <f>'Výdaje kapitol celkem'!AN11</f>
        <v>0</v>
      </c>
      <c r="K58" s="1816">
        <f>+J58-H58</f>
        <v>0</v>
      </c>
      <c r="L58" s="1028"/>
    </row>
    <row r="59" spans="1:12" ht="20.25" customHeight="1" outlineLevel="1" x14ac:dyDescent="0.25">
      <c r="A59" s="1836">
        <v>5512</v>
      </c>
      <c r="B59" s="1812">
        <v>5137</v>
      </c>
      <c r="C59" s="1873" t="s">
        <v>2300</v>
      </c>
      <c r="D59" s="1746">
        <v>100000</v>
      </c>
      <c r="E59" s="1746">
        <v>100000</v>
      </c>
      <c r="F59" s="1746">
        <v>100000</v>
      </c>
      <c r="G59" s="1746">
        <v>100000</v>
      </c>
      <c r="H59" s="1746">
        <f>+[3]Hasiči!$B$12</f>
        <v>100000</v>
      </c>
      <c r="I59" s="1751">
        <f t="shared" si="0"/>
        <v>0</v>
      </c>
      <c r="J59" s="1807"/>
      <c r="K59" s="1816"/>
      <c r="L59" s="1028"/>
    </row>
    <row r="60" spans="1:12" ht="20.25" customHeight="1" outlineLevel="1" x14ac:dyDescent="0.25">
      <c r="A60" s="1836">
        <v>5512</v>
      </c>
      <c r="B60" s="1812">
        <v>5137</v>
      </c>
      <c r="C60" s="1873" t="s">
        <v>2301</v>
      </c>
      <c r="D60" s="1746">
        <v>100000</v>
      </c>
      <c r="E60" s="1746">
        <v>100000</v>
      </c>
      <c r="F60" s="1746">
        <v>100000</v>
      </c>
      <c r="G60" s="1746">
        <v>100000</v>
      </c>
      <c r="H60" s="1746">
        <f>+[3]Hasiči!$B$13</f>
        <v>100000</v>
      </c>
      <c r="I60" s="1751">
        <f t="shared" si="0"/>
        <v>0</v>
      </c>
      <c r="J60" s="1807"/>
      <c r="K60" s="1816"/>
      <c r="L60" s="1028"/>
    </row>
    <row r="61" spans="1:12" ht="20.25" customHeight="1" outlineLevel="1" x14ac:dyDescent="0.25">
      <c r="A61" s="1836">
        <v>5512</v>
      </c>
      <c r="B61" s="1812">
        <v>5137</v>
      </c>
      <c r="C61" s="1873" t="s">
        <v>2302</v>
      </c>
      <c r="D61" s="1746">
        <v>80000</v>
      </c>
      <c r="E61" s="1746">
        <v>80000</v>
      </c>
      <c r="F61" s="1746">
        <v>80000</v>
      </c>
      <c r="G61" s="1746">
        <v>80000</v>
      </c>
      <c r="H61" s="1746">
        <f>+[3]Hasiči!$B$14</f>
        <v>65000</v>
      </c>
      <c r="I61" s="1751">
        <f t="shared" si="0"/>
        <v>-15000</v>
      </c>
      <c r="J61" s="1807"/>
      <c r="K61" s="1816"/>
      <c r="L61" s="1028"/>
    </row>
    <row r="62" spans="1:12" ht="12" customHeight="1" outlineLevel="1" x14ac:dyDescent="0.25">
      <c r="A62" s="1841">
        <v>5512</v>
      </c>
      <c r="B62" s="1818">
        <v>5137</v>
      </c>
      <c r="C62" s="1873"/>
      <c r="D62" s="1752"/>
      <c r="E62" s="1752"/>
      <c r="F62" s="1752"/>
      <c r="G62" s="1752"/>
      <c r="H62" s="1752"/>
      <c r="I62" s="1768">
        <f t="shared" si="0"/>
        <v>0</v>
      </c>
      <c r="J62" s="1807"/>
      <c r="K62" s="1816">
        <f>+J62-H62</f>
        <v>0</v>
      </c>
      <c r="L62" s="1028"/>
    </row>
    <row r="63" spans="1:12" ht="20.25" customHeight="1" thickBot="1" x14ac:dyDescent="0.3">
      <c r="A63" s="3166" t="s">
        <v>202</v>
      </c>
      <c r="B63" s="3167"/>
      <c r="C63" s="1874"/>
      <c r="D63" s="1748">
        <v>280000</v>
      </c>
      <c r="E63" s="1748">
        <v>280000</v>
      </c>
      <c r="F63" s="1748">
        <v>280000</v>
      </c>
      <c r="G63" s="1748">
        <v>280000</v>
      </c>
      <c r="H63" s="1748">
        <f t="shared" ref="H63" si="17">SUM(H59:H62)</f>
        <v>265000</v>
      </c>
      <c r="I63" s="1749">
        <f t="shared" si="0"/>
        <v>-15000</v>
      </c>
      <c r="J63" s="1856">
        <f>'Výdaje kapitol celkem'!AN21</f>
        <v>265000</v>
      </c>
      <c r="K63" s="1816">
        <f>+J63-H63</f>
        <v>0</v>
      </c>
      <c r="L63" s="1028"/>
    </row>
    <row r="64" spans="1:12" ht="20.25" customHeight="1" outlineLevel="1" x14ac:dyDescent="0.25">
      <c r="A64" s="1835">
        <v>3114</v>
      </c>
      <c r="B64" s="1809">
        <v>5137</v>
      </c>
      <c r="C64" s="1868" t="s">
        <v>2304</v>
      </c>
      <c r="D64" s="1744">
        <v>40000</v>
      </c>
      <c r="E64" s="1744">
        <v>40000</v>
      </c>
      <c r="F64" s="1744">
        <v>40000</v>
      </c>
      <c r="G64" s="1744">
        <v>40000</v>
      </c>
      <c r="H64" s="1744">
        <f>+[3]č.p.65!$B$5</f>
        <v>40000</v>
      </c>
      <c r="I64" s="1745">
        <f t="shared" si="0"/>
        <v>0</v>
      </c>
      <c r="J64" s="1807"/>
      <c r="K64" s="1816"/>
      <c r="L64" s="1028"/>
    </row>
    <row r="65" spans="1:12" ht="20.25" customHeight="1" outlineLevel="1" x14ac:dyDescent="0.25">
      <c r="A65" s="1841">
        <v>3114</v>
      </c>
      <c r="B65" s="1818">
        <v>5137</v>
      </c>
      <c r="C65" s="1875"/>
      <c r="D65" s="1752">
        <v>10000</v>
      </c>
      <c r="E65" s="1752">
        <v>10000</v>
      </c>
      <c r="F65" s="1752">
        <v>10000</v>
      </c>
      <c r="G65" s="1752">
        <v>10000</v>
      </c>
      <c r="H65" s="1752">
        <f>+[3]č.p.65!$B$6</f>
        <v>10000</v>
      </c>
      <c r="I65" s="1768">
        <f t="shared" si="0"/>
        <v>0</v>
      </c>
      <c r="J65" s="1807"/>
      <c r="K65" s="1816"/>
      <c r="L65" s="1028"/>
    </row>
    <row r="66" spans="1:12" ht="12.75" customHeight="1" outlineLevel="1" x14ac:dyDescent="0.25">
      <c r="A66" s="1841">
        <v>3114</v>
      </c>
      <c r="B66" s="1818">
        <v>5137</v>
      </c>
      <c r="C66" s="1875"/>
      <c r="D66" s="1771"/>
      <c r="E66" s="1771"/>
      <c r="F66" s="1771"/>
      <c r="G66" s="1771"/>
      <c r="H66" s="1771"/>
      <c r="I66" s="1768">
        <f t="shared" si="0"/>
        <v>0</v>
      </c>
      <c r="J66" s="1807"/>
      <c r="K66" s="1816">
        <f>+J66-H66</f>
        <v>0</v>
      </c>
      <c r="L66" s="1028"/>
    </row>
    <row r="67" spans="1:12" ht="20.25" customHeight="1" thickBot="1" x14ac:dyDescent="0.3">
      <c r="A67" s="3166" t="s">
        <v>211</v>
      </c>
      <c r="B67" s="3167"/>
      <c r="C67" s="1874"/>
      <c r="D67" s="1748">
        <v>50000</v>
      </c>
      <c r="E67" s="1748">
        <v>50000</v>
      </c>
      <c r="F67" s="1748">
        <v>50000</v>
      </c>
      <c r="G67" s="1748">
        <v>50000</v>
      </c>
      <c r="H67" s="1748">
        <f t="shared" ref="H67" si="18">SUM(H64:H66)</f>
        <v>50000</v>
      </c>
      <c r="I67" s="1749">
        <f t="shared" si="0"/>
        <v>0</v>
      </c>
      <c r="J67" s="1856">
        <f>'Výdaje kapitol celkem'!BI21</f>
        <v>50000</v>
      </c>
      <c r="K67" s="1816">
        <f>+J67-H67</f>
        <v>0</v>
      </c>
      <c r="L67" s="1028"/>
    </row>
    <row r="68" spans="1:12" s="1029" customFormat="1" ht="13.5" thickBot="1" x14ac:dyDescent="0.3">
      <c r="A68" s="3170" t="s">
        <v>730</v>
      </c>
      <c r="B68" s="3171"/>
      <c r="C68" s="3171"/>
      <c r="D68" s="1862">
        <v>2044000</v>
      </c>
      <c r="E68" s="1862">
        <v>2044000</v>
      </c>
      <c r="F68" s="1862">
        <v>2044000</v>
      </c>
      <c r="G68" s="1862">
        <v>2044000</v>
      </c>
      <c r="H68" s="1862">
        <f t="shared" ref="H68" si="19">++H63+H48+H45+H42+H36+H34+H31+H28+H20+H17+H10+H7+H67+H13+H54+H58+H24+H51</f>
        <v>1999000</v>
      </c>
      <c r="I68" s="1863">
        <f t="shared" si="0"/>
        <v>-45000</v>
      </c>
      <c r="J68" s="1807"/>
      <c r="K68" s="1827"/>
      <c r="L68" s="1028"/>
    </row>
    <row r="69" spans="1:12" x14ac:dyDescent="0.25">
      <c r="A69" s="1801"/>
      <c r="B69" s="1801"/>
      <c r="C69" s="1801"/>
      <c r="D69" s="1776">
        <v>2044000</v>
      </c>
      <c r="E69" s="1776">
        <v>2044000</v>
      </c>
      <c r="F69" s="1776">
        <v>2044000</v>
      </c>
      <c r="G69" s="1776">
        <v>2044000</v>
      </c>
      <c r="H69" s="1776">
        <f>'Výdaje kapitol celkem'!G21</f>
        <v>1999000</v>
      </c>
      <c r="I69" s="1764"/>
      <c r="J69" s="1807"/>
      <c r="K69" s="1803"/>
    </row>
    <row r="70" spans="1:12" s="1031" customFormat="1" x14ac:dyDescent="0.25">
      <c r="A70" s="1829"/>
      <c r="B70" s="1829"/>
      <c r="C70" s="1829" t="s">
        <v>216</v>
      </c>
      <c r="D70" s="1764">
        <v>0</v>
      </c>
      <c r="E70" s="1764">
        <v>0</v>
      </c>
      <c r="F70" s="1764">
        <v>0</v>
      </c>
      <c r="G70" s="1764">
        <v>0</v>
      </c>
      <c r="H70" s="1764">
        <f>+H69-H68</f>
        <v>0</v>
      </c>
      <c r="I70" s="1764"/>
      <c r="J70" s="1807"/>
      <c r="K70" s="1803"/>
    </row>
    <row r="71" spans="1:12" x14ac:dyDescent="0.25">
      <c r="A71" s="1847" t="s">
        <v>544</v>
      </c>
      <c r="B71" s="1801"/>
      <c r="C71" s="1801"/>
      <c r="D71" s="1776"/>
      <c r="E71" s="1776"/>
      <c r="F71" s="1776"/>
      <c r="G71" s="1776"/>
      <c r="H71" s="1776"/>
      <c r="I71" s="1764"/>
      <c r="J71" s="1807"/>
      <c r="K71" s="1803"/>
    </row>
  </sheetData>
  <sheetProtection algorithmName="SHA-512" hashValue="6V0pVc3GN8VHzqTVDIDGClFO9sottB+82ftkyUTfHbdt4I4mcOigQMxZgaFezrcQvJE7SGFLNplDRrflSF2hiw==" saltValue="qyAKZlmoMjbYOXg5vSNiIw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48:B48"/>
    <mergeCell ref="A54:B54"/>
    <mergeCell ref="A51:B51"/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</mergeCells>
  <pageMargins left="0.51181102362204722" right="0.51181102362204722" top="0.19685039370078741" bottom="0.19685039370078741" header="0.31496062992125984" footer="0.31496062992125984"/>
  <pageSetup paperSize="9" scale="64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zoomScale="87" zoomScaleNormal="87" workbookViewId="0">
      <selection activeCell="C19" sqref="C19"/>
    </sheetView>
  </sheetViews>
  <sheetFormatPr defaultColWidth="9" defaultRowHeight="12.75" outlineLevelRow="1" x14ac:dyDescent="0.25"/>
  <cols>
    <col min="1" max="1" width="19.5703125" style="1831" customWidth="1"/>
    <col min="2" max="2" width="13" style="1831" customWidth="1"/>
    <col min="3" max="3" width="51.85546875" style="1831" customWidth="1"/>
    <col min="4" max="6" width="9.85546875" style="1777" hidden="1" customWidth="1"/>
    <col min="7" max="7" width="9.85546875" style="1777" customWidth="1"/>
    <col min="8" max="8" width="9.85546875" style="1777" bestFit="1" customWidth="1"/>
    <col min="9" max="9" width="8.7109375" style="1778" customWidth="1"/>
    <col min="10" max="10" width="11.5703125" style="1858" bestFit="1" customWidth="1"/>
    <col min="11" max="11" width="10" style="1833" bestFit="1" customWidth="1"/>
    <col min="12" max="12" width="9" style="1831"/>
    <col min="13" max="16384" width="9" style="1026"/>
  </cols>
  <sheetData>
    <row r="1" spans="1:12" s="1018" customFormat="1" x14ac:dyDescent="0.25">
      <c r="A1" s="1859" t="s">
        <v>2163</v>
      </c>
      <c r="B1" s="1859"/>
      <c r="C1" s="1759"/>
      <c r="D1" s="1759"/>
      <c r="E1" s="1759"/>
      <c r="F1" s="1759"/>
      <c r="G1" s="1759"/>
      <c r="H1" s="1759"/>
      <c r="I1" s="1760"/>
      <c r="J1" s="1853"/>
      <c r="K1" s="1797"/>
      <c r="L1" s="1864"/>
    </row>
    <row r="2" spans="1:12" s="1021" customFormat="1" x14ac:dyDescent="0.25">
      <c r="A2" s="3168" t="s">
        <v>711</v>
      </c>
      <c r="B2" s="3168"/>
      <c r="C2" s="3169"/>
      <c r="D2" s="1761"/>
      <c r="E2" s="1761"/>
      <c r="F2" s="1761"/>
      <c r="G2" s="1761"/>
      <c r="H2" s="1761"/>
      <c r="I2" s="1762"/>
      <c r="J2" s="1854"/>
      <c r="K2" s="1799"/>
      <c r="L2" s="1865"/>
    </row>
    <row r="3" spans="1:12" ht="13.5" thickBot="1" x14ac:dyDescent="0.3">
      <c r="A3" s="1801"/>
      <c r="B3" s="1801"/>
      <c r="C3" s="1801"/>
      <c r="D3" s="1763"/>
      <c r="E3" s="1763"/>
      <c r="F3" s="1763"/>
      <c r="G3" s="1763"/>
      <c r="H3" s="1763"/>
      <c r="I3" s="1764"/>
      <c r="J3" s="1807"/>
      <c r="K3" s="1803"/>
    </row>
    <row r="4" spans="1:12" ht="26.25" thickBot="1" x14ac:dyDescent="0.3">
      <c r="A4" s="1804" t="s">
        <v>1</v>
      </c>
      <c r="B4" s="1805" t="s">
        <v>63</v>
      </c>
      <c r="C4" s="1806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 t="s">
        <v>762</v>
      </c>
      <c r="K4" s="1803" t="s">
        <v>707</v>
      </c>
    </row>
    <row r="5" spans="1:12" outlineLevel="1" x14ac:dyDescent="0.25">
      <c r="A5" s="1835">
        <v>6409</v>
      </c>
      <c r="B5" s="1809">
        <v>5139</v>
      </c>
      <c r="C5" s="1810"/>
      <c r="D5" s="1744"/>
      <c r="E5" s="1744"/>
      <c r="F5" s="1744"/>
      <c r="G5" s="1744"/>
      <c r="H5" s="1744"/>
      <c r="I5" s="1745">
        <f>+H5-G5</f>
        <v>0</v>
      </c>
      <c r="J5" s="1807"/>
      <c r="K5" s="1803"/>
    </row>
    <row r="6" spans="1:12" outlineLevel="1" x14ac:dyDescent="0.25">
      <c r="A6" s="1836">
        <v>6409</v>
      </c>
      <c r="B6" s="1812">
        <v>5139</v>
      </c>
      <c r="C6" s="1813"/>
      <c r="D6" s="1746"/>
      <c r="E6" s="1746"/>
      <c r="F6" s="1746"/>
      <c r="G6" s="1746"/>
      <c r="H6" s="1746"/>
      <c r="I6" s="1747">
        <f t="shared" ref="I6:I73" si="0">+H6-G6</f>
        <v>0</v>
      </c>
      <c r="J6" s="1807"/>
      <c r="K6" s="1803"/>
    </row>
    <row r="7" spans="1:12" s="1029" customFormat="1" ht="13.5" thickBot="1" x14ac:dyDescent="0.3">
      <c r="A7" s="3166" t="s">
        <v>1206</v>
      </c>
      <c r="B7" s="3167"/>
      <c r="C7" s="1855"/>
      <c r="D7" s="1748">
        <v>0</v>
      </c>
      <c r="E7" s="1748">
        <v>0</v>
      </c>
      <c r="F7" s="1748">
        <v>0</v>
      </c>
      <c r="G7" s="1748">
        <v>0</v>
      </c>
      <c r="H7" s="1748">
        <f t="shared" ref="H7" si="1">SUM(H5:H6)</f>
        <v>0</v>
      </c>
      <c r="I7" s="1749">
        <f t="shared" si="0"/>
        <v>0</v>
      </c>
      <c r="J7" s="1856">
        <f>'Výdaje kapitol celkem'!L22</f>
        <v>0</v>
      </c>
      <c r="K7" s="1816">
        <f>+J7-H7</f>
        <v>0</v>
      </c>
      <c r="L7" s="1866"/>
    </row>
    <row r="8" spans="1:12" outlineLevel="1" x14ac:dyDescent="0.25">
      <c r="A8" s="1835">
        <v>6112</v>
      </c>
      <c r="B8" s="1809">
        <v>5139</v>
      </c>
      <c r="C8" s="1810" t="s">
        <v>2281</v>
      </c>
      <c r="D8" s="1744">
        <v>55000</v>
      </c>
      <c r="E8" s="1744">
        <v>55000</v>
      </c>
      <c r="F8" s="1744">
        <v>55000</v>
      </c>
      <c r="G8" s="1744">
        <v>55000</v>
      </c>
      <c r="H8" s="1744">
        <f>+[3]Zastupitelé!$B$18</f>
        <v>55000</v>
      </c>
      <c r="I8" s="1745">
        <f t="shared" si="0"/>
        <v>0</v>
      </c>
      <c r="J8" s="1807"/>
      <c r="K8" s="1803"/>
    </row>
    <row r="9" spans="1:12" outlineLevel="1" x14ac:dyDescent="0.25">
      <c r="A9" s="1836">
        <v>6112</v>
      </c>
      <c r="B9" s="1812">
        <v>5139</v>
      </c>
      <c r="C9" s="1813" t="s">
        <v>1825</v>
      </c>
      <c r="D9" s="1746">
        <v>0</v>
      </c>
      <c r="E9" s="1746">
        <v>0</v>
      </c>
      <c r="F9" s="1746">
        <v>0</v>
      </c>
      <c r="G9" s="1746">
        <v>0</v>
      </c>
      <c r="H9" s="1746">
        <f>+[3]Zastupitelé!$B$19</f>
        <v>0</v>
      </c>
      <c r="I9" s="1747">
        <f t="shared" si="0"/>
        <v>0</v>
      </c>
      <c r="J9" s="1807"/>
      <c r="K9" s="1803"/>
    </row>
    <row r="10" spans="1:12" s="1029" customFormat="1" ht="13.5" thickBot="1" x14ac:dyDescent="0.3">
      <c r="A10" s="3166" t="s">
        <v>1205</v>
      </c>
      <c r="B10" s="3167"/>
      <c r="C10" s="1855"/>
      <c r="D10" s="1748">
        <v>55000</v>
      </c>
      <c r="E10" s="1748">
        <v>55000</v>
      </c>
      <c r="F10" s="1748">
        <v>55000</v>
      </c>
      <c r="G10" s="1748">
        <v>55000</v>
      </c>
      <c r="H10" s="1748">
        <f>SUM(H8:H9)</f>
        <v>55000</v>
      </c>
      <c r="I10" s="1749">
        <f t="shared" si="0"/>
        <v>0</v>
      </c>
      <c r="J10" s="1856">
        <f>'Výdaje kapitol celkem'!N22</f>
        <v>55000</v>
      </c>
      <c r="K10" s="1816">
        <f>+J10-H10</f>
        <v>0</v>
      </c>
      <c r="L10" s="1866"/>
    </row>
    <row r="11" spans="1:12" outlineLevel="1" x14ac:dyDescent="0.25">
      <c r="A11" s="1835">
        <v>6115</v>
      </c>
      <c r="B11" s="1809">
        <v>5139</v>
      </c>
      <c r="C11" s="1810"/>
      <c r="D11" s="1744">
        <v>0</v>
      </c>
      <c r="E11" s="1744">
        <v>0</v>
      </c>
      <c r="F11" s="1744">
        <v>0</v>
      </c>
      <c r="G11" s="1744">
        <v>0</v>
      </c>
      <c r="H11" s="1744">
        <f>+'[2]Volby_6115 '!$B$18</f>
        <v>4913</v>
      </c>
      <c r="I11" s="1745">
        <f t="shared" ref="I11:I14" si="2">+H11-G11</f>
        <v>4913</v>
      </c>
      <c r="J11" s="1807"/>
      <c r="K11" s="1803"/>
    </row>
    <row r="12" spans="1:12" outlineLevel="1" x14ac:dyDescent="0.25">
      <c r="A12" s="1836">
        <v>6115</v>
      </c>
      <c r="B12" s="1812">
        <v>5139</v>
      </c>
      <c r="C12" s="1813"/>
      <c r="D12" s="1746">
        <v>0</v>
      </c>
      <c r="E12" s="1746">
        <v>0</v>
      </c>
      <c r="F12" s="1746">
        <v>0</v>
      </c>
      <c r="G12" s="1746">
        <v>0</v>
      </c>
      <c r="H12" s="1746">
        <f>+'[2]Volby_6115 '!$B$20</f>
        <v>0</v>
      </c>
      <c r="I12" s="1747">
        <f t="shared" si="2"/>
        <v>0</v>
      </c>
      <c r="J12" s="1807"/>
      <c r="K12" s="1803"/>
    </row>
    <row r="13" spans="1:12" outlineLevel="1" x14ac:dyDescent="0.25">
      <c r="A13" s="1836">
        <v>6115</v>
      </c>
      <c r="B13" s="1812">
        <v>5139</v>
      </c>
      <c r="C13" s="1813"/>
      <c r="D13" s="1746"/>
      <c r="E13" s="1746"/>
      <c r="F13" s="1746"/>
      <c r="G13" s="1746"/>
      <c r="H13" s="1746"/>
      <c r="I13" s="1747">
        <f t="shared" si="2"/>
        <v>0</v>
      </c>
      <c r="J13" s="1807"/>
      <c r="K13" s="1803"/>
    </row>
    <row r="14" spans="1:12" s="1029" customFormat="1" ht="13.5" thickBot="1" x14ac:dyDescent="0.3">
      <c r="A14" s="3166" t="s">
        <v>1204</v>
      </c>
      <c r="B14" s="3167"/>
      <c r="C14" s="1855"/>
      <c r="D14" s="1748">
        <v>0</v>
      </c>
      <c r="E14" s="1748">
        <v>0</v>
      </c>
      <c r="F14" s="1748">
        <v>0</v>
      </c>
      <c r="G14" s="1748">
        <v>0</v>
      </c>
      <c r="H14" s="1748">
        <f t="shared" ref="H14" si="3">SUM(H11:H13)</f>
        <v>4913</v>
      </c>
      <c r="I14" s="1749">
        <f t="shared" si="2"/>
        <v>4913</v>
      </c>
      <c r="J14" s="1856">
        <f>+'Výdaje kapitol celkem'!O22</f>
        <v>4913</v>
      </c>
      <c r="K14" s="1816">
        <f>+J14-H14</f>
        <v>0</v>
      </c>
      <c r="L14" s="1866"/>
    </row>
    <row r="15" spans="1:12" outlineLevel="1" x14ac:dyDescent="0.25">
      <c r="A15" s="1835">
        <v>6117</v>
      </c>
      <c r="B15" s="1809">
        <v>5139</v>
      </c>
      <c r="C15" s="1810"/>
      <c r="D15" s="1744">
        <v>0</v>
      </c>
      <c r="E15" s="1744">
        <v>0</v>
      </c>
      <c r="F15" s="1744">
        <v>0</v>
      </c>
      <c r="G15" s="1744">
        <v>0</v>
      </c>
      <c r="H15" s="1744">
        <f>+[2]Volby_6117!$B$19</f>
        <v>2774.17</v>
      </c>
      <c r="I15" s="1745">
        <f t="shared" si="0"/>
        <v>2774.17</v>
      </c>
      <c r="J15" s="1807"/>
      <c r="K15" s="1803"/>
    </row>
    <row r="16" spans="1:12" outlineLevel="1" x14ac:dyDescent="0.25">
      <c r="A16" s="1836">
        <v>6117</v>
      </c>
      <c r="B16" s="1812">
        <v>5139</v>
      </c>
      <c r="C16" s="1813"/>
      <c r="D16" s="1746">
        <v>0</v>
      </c>
      <c r="E16" s="1746">
        <v>0</v>
      </c>
      <c r="F16" s="1746">
        <v>0</v>
      </c>
      <c r="G16" s="1746">
        <v>0</v>
      </c>
      <c r="H16" s="1746">
        <f>+[2]Volby_6117!$B$20</f>
        <v>0</v>
      </c>
      <c r="I16" s="1747">
        <f t="shared" si="0"/>
        <v>0</v>
      </c>
      <c r="J16" s="1807"/>
      <c r="K16" s="1803"/>
    </row>
    <row r="17" spans="1:12" outlineLevel="1" x14ac:dyDescent="0.25">
      <c r="A17" s="1836">
        <v>6117</v>
      </c>
      <c r="B17" s="1812">
        <v>5139</v>
      </c>
      <c r="C17" s="1813"/>
      <c r="D17" s="1746"/>
      <c r="E17" s="1746"/>
      <c r="F17" s="1746"/>
      <c r="G17" s="1746"/>
      <c r="H17" s="1746"/>
      <c r="I17" s="1747">
        <f t="shared" si="0"/>
        <v>0</v>
      </c>
      <c r="J17" s="1807"/>
      <c r="K17" s="1803"/>
    </row>
    <row r="18" spans="1:12" s="1029" customFormat="1" ht="13.5" thickBot="1" x14ac:dyDescent="0.3">
      <c r="A18" s="3166" t="s">
        <v>1204</v>
      </c>
      <c r="B18" s="3167"/>
      <c r="C18" s="1855"/>
      <c r="D18" s="1748">
        <v>0</v>
      </c>
      <c r="E18" s="1748">
        <v>0</v>
      </c>
      <c r="F18" s="1748">
        <v>0</v>
      </c>
      <c r="G18" s="1748">
        <v>0</v>
      </c>
      <c r="H18" s="1748">
        <f t="shared" ref="H18" si="4">SUM(H15:H17)</f>
        <v>2774.17</v>
      </c>
      <c r="I18" s="1749">
        <f t="shared" si="0"/>
        <v>2774.17</v>
      </c>
      <c r="J18" s="1856">
        <f>+'Výdaje kapitol celkem'!P22</f>
        <v>2774.17</v>
      </c>
      <c r="K18" s="1816">
        <f>+J18-H18</f>
        <v>0</v>
      </c>
      <c r="L18" s="1866"/>
    </row>
    <row r="19" spans="1:12" ht="36.75" outlineLevel="1" x14ac:dyDescent="0.25">
      <c r="A19" s="1835">
        <v>6171</v>
      </c>
      <c r="B19" s="1809">
        <v>5139</v>
      </c>
      <c r="C19" s="1810" t="s">
        <v>2284</v>
      </c>
      <c r="D19" s="1744">
        <v>720000</v>
      </c>
      <c r="E19" s="1744">
        <v>720000</v>
      </c>
      <c r="F19" s="1744">
        <v>720000</v>
      </c>
      <c r="G19" s="1744">
        <v>720000</v>
      </c>
      <c r="H19" s="1744">
        <f>+[3]Správa!$B$19</f>
        <v>720000</v>
      </c>
      <c r="I19" s="1745">
        <f t="shared" si="0"/>
        <v>0</v>
      </c>
      <c r="J19" s="1807"/>
      <c r="K19" s="1803"/>
    </row>
    <row r="20" spans="1:12" outlineLevel="1" x14ac:dyDescent="0.25">
      <c r="A20" s="1836">
        <v>6171</v>
      </c>
      <c r="B20" s="1812">
        <v>5139</v>
      </c>
      <c r="C20" s="1813"/>
      <c r="D20" s="1746"/>
      <c r="E20" s="1746"/>
      <c r="F20" s="1746"/>
      <c r="G20" s="1746"/>
      <c r="H20" s="1746"/>
      <c r="I20" s="1747">
        <f t="shared" si="0"/>
        <v>0</v>
      </c>
      <c r="J20" s="1807"/>
      <c r="K20" s="1803"/>
    </row>
    <row r="21" spans="1:12" outlineLevel="1" x14ac:dyDescent="0.25">
      <c r="A21" s="1836">
        <v>6171</v>
      </c>
      <c r="B21" s="1812">
        <v>5139</v>
      </c>
      <c r="C21" s="1813"/>
      <c r="D21" s="1746"/>
      <c r="E21" s="1746"/>
      <c r="F21" s="1746"/>
      <c r="G21" s="1746"/>
      <c r="H21" s="1746"/>
      <c r="I21" s="1747">
        <f t="shared" si="0"/>
        <v>0</v>
      </c>
      <c r="J21" s="1807"/>
      <c r="K21" s="1803"/>
    </row>
    <row r="22" spans="1:12" s="1029" customFormat="1" ht="13.5" thickBot="1" x14ac:dyDescent="0.3">
      <c r="A22" s="3166" t="s">
        <v>212</v>
      </c>
      <c r="B22" s="3167"/>
      <c r="C22" s="1855"/>
      <c r="D22" s="1748">
        <v>720000</v>
      </c>
      <c r="E22" s="1748">
        <v>720000</v>
      </c>
      <c r="F22" s="1748">
        <v>720000</v>
      </c>
      <c r="G22" s="1748">
        <v>720000</v>
      </c>
      <c r="H22" s="1748">
        <f t="shared" ref="H22" si="5">SUM(H19:H21)</f>
        <v>720000</v>
      </c>
      <c r="I22" s="1749">
        <f t="shared" si="0"/>
        <v>0</v>
      </c>
      <c r="J22" s="1856">
        <f>'Výdaje kapitol celkem'!Q22</f>
        <v>720000</v>
      </c>
      <c r="K22" s="1816">
        <f>+J22-H22</f>
        <v>0</v>
      </c>
      <c r="L22" s="1866"/>
    </row>
    <row r="23" spans="1:12" outlineLevel="1" x14ac:dyDescent="0.25">
      <c r="A23" s="1835">
        <v>4351</v>
      </c>
      <c r="B23" s="1809">
        <v>5139</v>
      </c>
      <c r="C23" s="1810"/>
      <c r="D23" s="1744">
        <v>70000</v>
      </c>
      <c r="E23" s="1744">
        <v>70000</v>
      </c>
      <c r="F23" s="1744">
        <v>70000</v>
      </c>
      <c r="G23" s="1744">
        <v>70000</v>
      </c>
      <c r="H23" s="1744">
        <f>+'[3]Pečovatelská služba'!$B$19</f>
        <v>70000</v>
      </c>
      <c r="I23" s="1745">
        <f t="shared" si="0"/>
        <v>0</v>
      </c>
      <c r="J23" s="1807"/>
      <c r="K23" s="1816"/>
      <c r="L23" s="1866"/>
    </row>
    <row r="24" spans="1:12" outlineLevel="1" x14ac:dyDescent="0.25">
      <c r="A24" s="1836">
        <v>4351</v>
      </c>
      <c r="B24" s="1812">
        <v>5139</v>
      </c>
      <c r="C24" s="1813"/>
      <c r="D24" s="1750">
        <v>0</v>
      </c>
      <c r="E24" s="1750">
        <v>0</v>
      </c>
      <c r="F24" s="1750">
        <v>0</v>
      </c>
      <c r="G24" s="1750">
        <v>0</v>
      </c>
      <c r="H24" s="1750">
        <f>+'[3]Pečovatelská služba'!$B$20</f>
        <v>0</v>
      </c>
      <c r="I24" s="1751">
        <f t="shared" si="0"/>
        <v>0</v>
      </c>
      <c r="J24" s="1807"/>
      <c r="K24" s="1816"/>
      <c r="L24" s="1866"/>
    </row>
    <row r="25" spans="1:12" s="1029" customFormat="1" ht="13.5" thickBot="1" x14ac:dyDescent="0.3">
      <c r="A25" s="3166" t="s">
        <v>213</v>
      </c>
      <c r="B25" s="3167"/>
      <c r="C25" s="1855"/>
      <c r="D25" s="1748">
        <v>70000</v>
      </c>
      <c r="E25" s="1748">
        <v>70000</v>
      </c>
      <c r="F25" s="1748">
        <v>70000</v>
      </c>
      <c r="G25" s="1748">
        <v>70000</v>
      </c>
      <c r="H25" s="1748">
        <f t="shared" ref="H25" si="6">SUM(H23:H24)</f>
        <v>70000</v>
      </c>
      <c r="I25" s="1749">
        <f t="shared" si="0"/>
        <v>0</v>
      </c>
      <c r="J25" s="1856">
        <f>'Výdaje kapitol celkem'!V22</f>
        <v>70000</v>
      </c>
      <c r="K25" s="1816">
        <f>+J25-H25</f>
        <v>0</v>
      </c>
      <c r="L25" s="1866"/>
    </row>
    <row r="26" spans="1:12" hidden="1" outlineLevel="1" x14ac:dyDescent="0.25">
      <c r="A26" s="1835">
        <v>5311</v>
      </c>
      <c r="B26" s="1809">
        <v>5139</v>
      </c>
      <c r="C26" s="1810"/>
      <c r="D26" s="1744"/>
      <c r="E26" s="1744"/>
      <c r="F26" s="1744"/>
      <c r="G26" s="1744"/>
      <c r="H26" s="1744"/>
      <c r="I26" s="1745">
        <f t="shared" si="0"/>
        <v>0</v>
      </c>
      <c r="J26" s="1807"/>
      <c r="K26" s="1816"/>
      <c r="L26" s="1866"/>
    </row>
    <row r="27" spans="1:12" hidden="1" outlineLevel="1" x14ac:dyDescent="0.25">
      <c r="A27" s="1836">
        <v>5311</v>
      </c>
      <c r="B27" s="1812">
        <v>5139</v>
      </c>
      <c r="C27" s="1813"/>
      <c r="D27" s="1750"/>
      <c r="E27" s="1750"/>
      <c r="F27" s="1750"/>
      <c r="G27" s="1750"/>
      <c r="H27" s="1750"/>
      <c r="I27" s="1751">
        <f t="shared" si="0"/>
        <v>0</v>
      </c>
      <c r="J27" s="1807"/>
      <c r="K27" s="1816"/>
      <c r="L27" s="1866"/>
    </row>
    <row r="28" spans="1:12" s="1029" customFormat="1" ht="13.5" collapsed="1" thickBot="1" x14ac:dyDescent="0.3">
      <c r="A28" s="3166" t="s">
        <v>1207</v>
      </c>
      <c r="B28" s="3167"/>
      <c r="C28" s="1855"/>
      <c r="D28" s="1748">
        <v>0</v>
      </c>
      <c r="E28" s="1748">
        <v>0</v>
      </c>
      <c r="F28" s="1748">
        <v>0</v>
      </c>
      <c r="G28" s="1748">
        <v>0</v>
      </c>
      <c r="H28" s="1748">
        <f t="shared" ref="H28" si="7">SUM(H26:H27)</f>
        <v>0</v>
      </c>
      <c r="I28" s="1749">
        <f t="shared" si="0"/>
        <v>0</v>
      </c>
      <c r="J28" s="1856">
        <f>'Výdaje kapitol celkem'!X22</f>
        <v>0</v>
      </c>
      <c r="K28" s="1816">
        <f>+J28-H28</f>
        <v>0</v>
      </c>
      <c r="L28" s="1866"/>
    </row>
    <row r="29" spans="1:12" outlineLevel="1" x14ac:dyDescent="0.25">
      <c r="A29" s="1835" t="s">
        <v>196</v>
      </c>
      <c r="B29" s="1809">
        <v>5139</v>
      </c>
      <c r="C29" s="1810" t="s">
        <v>2289</v>
      </c>
      <c r="D29" s="1744">
        <v>40000</v>
      </c>
      <c r="E29" s="1744">
        <v>40000</v>
      </c>
      <c r="F29" s="1744">
        <v>40000</v>
      </c>
      <c r="G29" s="1744">
        <v>40000</v>
      </c>
      <c r="H29" s="1744">
        <f>+'[3]Městská policie'!$B$29</f>
        <v>40000</v>
      </c>
      <c r="I29" s="1745">
        <f t="shared" si="0"/>
        <v>0</v>
      </c>
      <c r="J29" s="1807"/>
      <c r="K29" s="1816"/>
      <c r="L29" s="1866"/>
    </row>
    <row r="30" spans="1:12" outlineLevel="1" x14ac:dyDescent="0.25">
      <c r="A30" s="1836" t="s">
        <v>196</v>
      </c>
      <c r="B30" s="1812">
        <v>5139</v>
      </c>
      <c r="C30" s="1813" t="s">
        <v>2290</v>
      </c>
      <c r="D30" s="1746">
        <v>25000</v>
      </c>
      <c r="E30" s="1746">
        <v>25000</v>
      </c>
      <c r="F30" s="1746">
        <v>25000</v>
      </c>
      <c r="G30" s="1746">
        <v>25000</v>
      </c>
      <c r="H30" s="1746">
        <f>+'[3]Městská policie'!$B$30</f>
        <v>25000</v>
      </c>
      <c r="I30" s="1751">
        <f t="shared" si="0"/>
        <v>0</v>
      </c>
      <c r="J30" s="1807"/>
      <c r="K30" s="1816"/>
      <c r="L30" s="1866"/>
    </row>
    <row r="31" spans="1:12" s="1029" customFormat="1" ht="13.5" thickBot="1" x14ac:dyDescent="0.3">
      <c r="A31" s="3166" t="s">
        <v>1176</v>
      </c>
      <c r="B31" s="3167"/>
      <c r="C31" s="1855"/>
      <c r="D31" s="1748">
        <v>65000</v>
      </c>
      <c r="E31" s="1748">
        <v>65000</v>
      </c>
      <c r="F31" s="1748">
        <v>65000</v>
      </c>
      <c r="G31" s="1748">
        <v>65000</v>
      </c>
      <c r="H31" s="1748">
        <f t="shared" ref="H31" si="8">SUM(H29:H30)</f>
        <v>65000</v>
      </c>
      <c r="I31" s="1749">
        <f t="shared" si="0"/>
        <v>0</v>
      </c>
      <c r="J31" s="1856">
        <f>'Výdaje kapitol celkem'!Y22</f>
        <v>65000</v>
      </c>
      <c r="K31" s="1816">
        <f>+J31-H31</f>
        <v>0</v>
      </c>
      <c r="L31" s="1866"/>
    </row>
    <row r="32" spans="1:12" outlineLevel="1" x14ac:dyDescent="0.25">
      <c r="A32" s="1835">
        <v>3319</v>
      </c>
      <c r="B32" s="1809">
        <v>5139</v>
      </c>
      <c r="C32" s="1810" t="s">
        <v>2293</v>
      </c>
      <c r="D32" s="1744">
        <v>4000</v>
      </c>
      <c r="E32" s="1744">
        <v>4000</v>
      </c>
      <c r="F32" s="1744">
        <v>4000</v>
      </c>
      <c r="G32" s="1744">
        <v>4000</v>
      </c>
      <c r="H32" s="1744">
        <f>+[3]Kronika!$B$12</f>
        <v>4000</v>
      </c>
      <c r="I32" s="1745">
        <f t="shared" si="0"/>
        <v>0</v>
      </c>
      <c r="J32" s="1807"/>
      <c r="K32" s="1816"/>
      <c r="L32" s="1866"/>
    </row>
    <row r="33" spans="1:12" outlineLevel="1" x14ac:dyDescent="0.25">
      <c r="A33" s="1836">
        <v>3319</v>
      </c>
      <c r="B33" s="1812">
        <v>5139</v>
      </c>
      <c r="C33" s="1813"/>
      <c r="D33" s="1746">
        <v>0</v>
      </c>
      <c r="E33" s="1746">
        <v>0</v>
      </c>
      <c r="F33" s="1746">
        <v>0</v>
      </c>
      <c r="G33" s="1746">
        <v>0</v>
      </c>
      <c r="H33" s="1746">
        <f>+[3]Kronika!$B$13</f>
        <v>0</v>
      </c>
      <c r="I33" s="1751">
        <f t="shared" si="0"/>
        <v>0</v>
      </c>
      <c r="J33" s="1807"/>
      <c r="K33" s="1816"/>
      <c r="L33" s="1866"/>
    </row>
    <row r="34" spans="1:12" s="1029" customFormat="1" ht="13.5" thickBot="1" x14ac:dyDescent="0.3">
      <c r="A34" s="3166" t="s">
        <v>1175</v>
      </c>
      <c r="B34" s="3167"/>
      <c r="C34" s="1855"/>
      <c r="D34" s="1748">
        <v>4000</v>
      </c>
      <c r="E34" s="1748">
        <v>4000</v>
      </c>
      <c r="F34" s="1748">
        <v>4000</v>
      </c>
      <c r="G34" s="1748">
        <v>4000</v>
      </c>
      <c r="H34" s="1748">
        <f t="shared" ref="H34" si="9">SUM(H32:H33)</f>
        <v>4000</v>
      </c>
      <c r="I34" s="1749">
        <f t="shared" si="0"/>
        <v>0</v>
      </c>
      <c r="J34" s="1856">
        <f>'Výdaje kapitol celkem'!Z22</f>
        <v>4000</v>
      </c>
      <c r="K34" s="1816">
        <f>+J34-H34</f>
        <v>0</v>
      </c>
      <c r="L34" s="1866"/>
    </row>
    <row r="35" spans="1:12" ht="24.75" outlineLevel="1" x14ac:dyDescent="0.25">
      <c r="A35" s="1835">
        <v>3314</v>
      </c>
      <c r="B35" s="1809">
        <v>5139</v>
      </c>
      <c r="C35" s="1810" t="s">
        <v>2295</v>
      </c>
      <c r="D35" s="1744">
        <v>50000</v>
      </c>
      <c r="E35" s="1744">
        <v>50000</v>
      </c>
      <c r="F35" s="1744">
        <v>50000</v>
      </c>
      <c r="G35" s="1744">
        <v>50000</v>
      </c>
      <c r="H35" s="1744">
        <f>+[3]Knihovna!$B$20</f>
        <v>50000</v>
      </c>
      <c r="I35" s="1745">
        <f t="shared" si="0"/>
        <v>0</v>
      </c>
      <c r="J35" s="1807"/>
      <c r="K35" s="1816"/>
      <c r="L35" s="1866"/>
    </row>
    <row r="36" spans="1:12" outlineLevel="1" x14ac:dyDescent="0.25">
      <c r="A36" s="1836">
        <v>3314</v>
      </c>
      <c r="B36" s="1812">
        <v>5139</v>
      </c>
      <c r="C36" s="1813"/>
      <c r="D36" s="1746"/>
      <c r="E36" s="1746"/>
      <c r="F36" s="1746"/>
      <c r="G36" s="1746"/>
      <c r="H36" s="1746"/>
      <c r="I36" s="1751">
        <f t="shared" si="0"/>
        <v>0</v>
      </c>
      <c r="J36" s="1807"/>
      <c r="K36" s="1816"/>
      <c r="L36" s="1866"/>
    </row>
    <row r="37" spans="1:12" s="1029" customFormat="1" ht="13.5" thickBot="1" x14ac:dyDescent="0.3">
      <c r="A37" s="3166" t="s">
        <v>1177</v>
      </c>
      <c r="B37" s="3167"/>
      <c r="C37" s="1855"/>
      <c r="D37" s="1748">
        <v>50000</v>
      </c>
      <c r="E37" s="1748">
        <v>50000</v>
      </c>
      <c r="F37" s="1748">
        <v>50000</v>
      </c>
      <c r="G37" s="1748">
        <v>50000</v>
      </c>
      <c r="H37" s="1748">
        <f t="shared" ref="H37" si="10">SUM(H35:H36)</f>
        <v>50000</v>
      </c>
      <c r="I37" s="1749">
        <f t="shared" si="0"/>
        <v>0</v>
      </c>
      <c r="J37" s="1856">
        <f>'Výdaje kapitol celkem'!AB22</f>
        <v>50000</v>
      </c>
      <c r="K37" s="1816">
        <f>+J37-H37</f>
        <v>0</v>
      </c>
      <c r="L37" s="1866"/>
    </row>
    <row r="38" spans="1:12" outlineLevel="1" x14ac:dyDescent="0.25">
      <c r="A38" s="1835">
        <v>3349</v>
      </c>
      <c r="B38" s="1809">
        <v>5139</v>
      </c>
      <c r="C38" s="1810"/>
      <c r="D38" s="1744"/>
      <c r="E38" s="1744"/>
      <c r="F38" s="1744"/>
      <c r="G38" s="1744"/>
      <c r="H38" s="1744"/>
      <c r="I38" s="1745">
        <f t="shared" si="0"/>
        <v>0</v>
      </c>
      <c r="J38" s="1807"/>
      <c r="K38" s="1816"/>
      <c r="L38" s="1866"/>
    </row>
    <row r="39" spans="1:12" s="1029" customFormat="1" ht="13.5" thickBot="1" x14ac:dyDescent="0.3">
      <c r="A39" s="3166" t="s">
        <v>1203</v>
      </c>
      <c r="B39" s="3167"/>
      <c r="C39" s="1855"/>
      <c r="D39" s="1748">
        <v>0</v>
      </c>
      <c r="E39" s="1748">
        <v>0</v>
      </c>
      <c r="F39" s="1748">
        <v>0</v>
      </c>
      <c r="G39" s="1748">
        <v>0</v>
      </c>
      <c r="H39" s="1748">
        <f t="shared" ref="H39" si="11">SUM(H38)</f>
        <v>0</v>
      </c>
      <c r="I39" s="1749">
        <f t="shared" si="0"/>
        <v>0</v>
      </c>
      <c r="J39" s="1856">
        <f>'Výdaje kapitol celkem'!AC22</f>
        <v>0</v>
      </c>
      <c r="K39" s="1816">
        <f>+J39-H39</f>
        <v>0</v>
      </c>
      <c r="L39" s="1866"/>
    </row>
    <row r="40" spans="1:12" outlineLevel="1" x14ac:dyDescent="0.25">
      <c r="A40" s="1835">
        <v>3359</v>
      </c>
      <c r="B40" s="1809">
        <v>5139</v>
      </c>
      <c r="C40" s="1810" t="s">
        <v>2431</v>
      </c>
      <c r="D40" s="1744">
        <v>40000</v>
      </c>
      <c r="E40" s="1744">
        <v>40000</v>
      </c>
      <c r="F40" s="1744">
        <v>40000</v>
      </c>
      <c r="G40" s="1744">
        <v>40000</v>
      </c>
      <c r="H40" s="1744">
        <f>+[3]Kultura!$B$14</f>
        <v>40000</v>
      </c>
      <c r="I40" s="1745">
        <f t="shared" si="0"/>
        <v>0</v>
      </c>
      <c r="J40" s="1807"/>
      <c r="K40" s="1816"/>
      <c r="L40" s="1866"/>
    </row>
    <row r="41" spans="1:12" outlineLevel="1" x14ac:dyDescent="0.25">
      <c r="A41" s="1836">
        <v>3359</v>
      </c>
      <c r="B41" s="1812">
        <v>5139</v>
      </c>
      <c r="C41" s="1813" t="s">
        <v>2298</v>
      </c>
      <c r="D41" s="1746">
        <v>60000</v>
      </c>
      <c r="E41" s="1746">
        <v>60000</v>
      </c>
      <c r="F41" s="1746">
        <v>60000</v>
      </c>
      <c r="G41" s="1746">
        <v>60000</v>
      </c>
      <c r="H41" s="1746">
        <f>+[3]Kultura!$B$15</f>
        <v>60000</v>
      </c>
      <c r="I41" s="1747">
        <f t="shared" si="0"/>
        <v>0</v>
      </c>
      <c r="J41" s="1807"/>
      <c r="K41" s="1816"/>
      <c r="L41" s="1866"/>
    </row>
    <row r="42" spans="1:12" outlineLevel="1" x14ac:dyDescent="0.25">
      <c r="A42" s="1841">
        <v>3359</v>
      </c>
      <c r="B42" s="1818">
        <v>5139</v>
      </c>
      <c r="C42" s="1819"/>
      <c r="D42" s="1752">
        <v>0</v>
      </c>
      <c r="E42" s="1752">
        <v>0</v>
      </c>
      <c r="F42" s="1752">
        <v>0</v>
      </c>
      <c r="G42" s="1752">
        <v>0</v>
      </c>
      <c r="H42" s="1752">
        <f>+[3]Kultura!$B$16</f>
        <v>0</v>
      </c>
      <c r="I42" s="1767">
        <f t="shared" si="0"/>
        <v>0</v>
      </c>
      <c r="J42" s="1807"/>
      <c r="K42" s="1816"/>
      <c r="L42" s="1866"/>
    </row>
    <row r="43" spans="1:12" s="1029" customFormat="1" ht="13.5" thickBot="1" x14ac:dyDescent="0.3">
      <c r="A43" s="3166" t="s">
        <v>1202</v>
      </c>
      <c r="B43" s="3167"/>
      <c r="C43" s="1855"/>
      <c r="D43" s="1748">
        <v>100000</v>
      </c>
      <c r="E43" s="1748">
        <v>100000</v>
      </c>
      <c r="F43" s="1748">
        <v>100000</v>
      </c>
      <c r="G43" s="1748">
        <v>100000</v>
      </c>
      <c r="H43" s="1748">
        <f t="shared" ref="H43" si="12">SUM(H40:H42)</f>
        <v>100000</v>
      </c>
      <c r="I43" s="1749">
        <f t="shared" si="0"/>
        <v>0</v>
      </c>
      <c r="J43" s="1856">
        <f>'Výdaje kapitol celkem'!AD22</f>
        <v>100000</v>
      </c>
      <c r="K43" s="1816">
        <f>+J43-H43</f>
        <v>0</v>
      </c>
      <c r="L43" s="1866"/>
    </row>
    <row r="44" spans="1:12" ht="24.75" outlineLevel="1" x14ac:dyDescent="0.25">
      <c r="A44" s="1835">
        <v>3612</v>
      </c>
      <c r="B44" s="1809">
        <v>5139</v>
      </c>
      <c r="C44" s="1810" t="s">
        <v>2432</v>
      </c>
      <c r="D44" s="1744">
        <v>50000</v>
      </c>
      <c r="E44" s="1744">
        <v>50000</v>
      </c>
      <c r="F44" s="1744">
        <v>50000</v>
      </c>
      <c r="G44" s="1744">
        <v>50000</v>
      </c>
      <c r="H44" s="1744">
        <f>+[4]Byty!$B$12</f>
        <v>50000</v>
      </c>
      <c r="I44" s="1745">
        <f t="shared" si="0"/>
        <v>0</v>
      </c>
      <c r="J44" s="1807"/>
      <c r="K44" s="1816"/>
      <c r="L44" s="1866"/>
    </row>
    <row r="45" spans="1:12" outlineLevel="1" x14ac:dyDescent="0.25">
      <c r="A45" s="1836">
        <v>3612</v>
      </c>
      <c r="B45" s="1812">
        <v>5139</v>
      </c>
      <c r="C45" s="1813"/>
      <c r="D45" s="1746">
        <v>0</v>
      </c>
      <c r="E45" s="1746">
        <v>0</v>
      </c>
      <c r="F45" s="1746">
        <v>0</v>
      </c>
      <c r="G45" s="1746">
        <v>0</v>
      </c>
      <c r="H45" s="1746">
        <f>+[4]Byty!$B$13</f>
        <v>0</v>
      </c>
      <c r="I45" s="1747">
        <f t="shared" si="0"/>
        <v>0</v>
      </c>
      <c r="J45" s="1807"/>
      <c r="K45" s="1816"/>
      <c r="L45" s="1866"/>
    </row>
    <row r="46" spans="1:12" s="1029" customFormat="1" ht="13.5" thickBot="1" x14ac:dyDescent="0.3">
      <c r="A46" s="3166" t="s">
        <v>199</v>
      </c>
      <c r="B46" s="3167"/>
      <c r="C46" s="1855"/>
      <c r="D46" s="1748">
        <v>50000</v>
      </c>
      <c r="E46" s="1748">
        <v>50000</v>
      </c>
      <c r="F46" s="1748">
        <v>50000</v>
      </c>
      <c r="G46" s="1748">
        <v>50000</v>
      </c>
      <c r="H46" s="1748">
        <f t="shared" ref="H46" si="13">SUM(H44:H45)</f>
        <v>50000</v>
      </c>
      <c r="I46" s="1749">
        <f t="shared" si="0"/>
        <v>0</v>
      </c>
      <c r="J46" s="1856">
        <f>'Výdaje kapitol celkem'!AE22</f>
        <v>50000</v>
      </c>
      <c r="K46" s="1816">
        <f>+J46-H46</f>
        <v>0</v>
      </c>
      <c r="L46" s="1866"/>
    </row>
    <row r="47" spans="1:12" outlineLevel="1" x14ac:dyDescent="0.25">
      <c r="A47" s="1841" t="s">
        <v>198</v>
      </c>
      <c r="B47" s="1818">
        <v>5139</v>
      </c>
      <c r="C47" s="1819" t="s">
        <v>2248</v>
      </c>
      <c r="D47" s="1752">
        <v>100000</v>
      </c>
      <c r="E47" s="1752">
        <v>100000</v>
      </c>
      <c r="F47" s="1752">
        <v>100000</v>
      </c>
      <c r="G47" s="1752">
        <v>100000</v>
      </c>
      <c r="H47" s="1752">
        <f>+[4]DPS!$B$13</f>
        <v>100000</v>
      </c>
      <c r="I47" s="1767">
        <f t="shared" si="0"/>
        <v>0</v>
      </c>
      <c r="J47" s="1807"/>
      <c r="K47" s="1816"/>
      <c r="L47" s="1866"/>
    </row>
    <row r="48" spans="1:12" outlineLevel="1" x14ac:dyDescent="0.25">
      <c r="A48" s="1841"/>
      <c r="B48" s="1818"/>
      <c r="C48" s="1819" t="s">
        <v>2249</v>
      </c>
      <c r="D48" s="1752">
        <v>220000</v>
      </c>
      <c r="E48" s="1752">
        <v>220000</v>
      </c>
      <c r="F48" s="1752">
        <v>220000</v>
      </c>
      <c r="G48" s="1752">
        <v>220000</v>
      </c>
      <c r="H48" s="1752">
        <f>+[4]DPS!$B$14</f>
        <v>220000</v>
      </c>
      <c r="I48" s="1767">
        <f t="shared" si="0"/>
        <v>0</v>
      </c>
      <c r="J48" s="1807"/>
      <c r="K48" s="1816"/>
      <c r="L48" s="1866"/>
    </row>
    <row r="49" spans="1:12" outlineLevel="1" x14ac:dyDescent="0.25">
      <c r="A49" s="1841" t="s">
        <v>198</v>
      </c>
      <c r="B49" s="1818">
        <v>5139</v>
      </c>
      <c r="C49" s="1819"/>
      <c r="D49" s="1752"/>
      <c r="E49" s="1752"/>
      <c r="F49" s="1752"/>
      <c r="G49" s="1752"/>
      <c r="H49" s="1752"/>
      <c r="I49" s="1767">
        <f t="shared" si="0"/>
        <v>0</v>
      </c>
      <c r="J49" s="1807"/>
      <c r="K49" s="1816"/>
      <c r="L49" s="1866"/>
    </row>
    <row r="50" spans="1:12" ht="13.5" thickBot="1" x14ac:dyDescent="0.3">
      <c r="A50" s="3166" t="s">
        <v>200</v>
      </c>
      <c r="B50" s="3167"/>
      <c r="C50" s="1855"/>
      <c r="D50" s="1748">
        <v>320000</v>
      </c>
      <c r="E50" s="1748">
        <v>320000</v>
      </c>
      <c r="F50" s="1748">
        <v>320000</v>
      </c>
      <c r="G50" s="1748">
        <v>320000</v>
      </c>
      <c r="H50" s="1748">
        <f t="shared" ref="H50" si="14">SUM(H47:H49)</f>
        <v>320000</v>
      </c>
      <c r="I50" s="1749">
        <f t="shared" si="0"/>
        <v>0</v>
      </c>
      <c r="J50" s="1856">
        <f>'Výdaje kapitol celkem'!AH22</f>
        <v>320000</v>
      </c>
      <c r="K50" s="1816">
        <f>+J50-H50</f>
        <v>0</v>
      </c>
      <c r="L50" s="1866"/>
    </row>
    <row r="51" spans="1:12" hidden="1" outlineLevel="1" x14ac:dyDescent="0.25">
      <c r="A51" s="1836" t="s">
        <v>1253</v>
      </c>
      <c r="B51" s="1812">
        <v>5139</v>
      </c>
      <c r="C51" s="1813"/>
      <c r="D51" s="1746"/>
      <c r="E51" s="1746"/>
      <c r="F51" s="1746"/>
      <c r="G51" s="1746"/>
      <c r="H51" s="1746"/>
      <c r="I51" s="1751">
        <f t="shared" si="0"/>
        <v>0</v>
      </c>
      <c r="J51" s="1807"/>
      <c r="K51" s="1816"/>
      <c r="L51" s="1866"/>
    </row>
    <row r="52" spans="1:12" hidden="1" outlineLevel="1" x14ac:dyDescent="0.25">
      <c r="A52" s="1841" t="s">
        <v>1253</v>
      </c>
      <c r="B52" s="1818">
        <v>5139</v>
      </c>
      <c r="C52" s="1819"/>
      <c r="D52" s="1752"/>
      <c r="E52" s="1752"/>
      <c r="F52" s="1752"/>
      <c r="G52" s="1752"/>
      <c r="H52" s="1752"/>
      <c r="I52" s="1768">
        <f t="shared" si="0"/>
        <v>0</v>
      </c>
      <c r="J52" s="1807"/>
      <c r="K52" s="1816"/>
      <c r="L52" s="1866"/>
    </row>
    <row r="53" spans="1:12" ht="13.5" collapsed="1" thickBot="1" x14ac:dyDescent="0.3">
      <c r="A53" s="3166" t="s">
        <v>1441</v>
      </c>
      <c r="B53" s="3167"/>
      <c r="C53" s="1855"/>
      <c r="D53" s="1748">
        <v>0</v>
      </c>
      <c r="E53" s="1748">
        <v>0</v>
      </c>
      <c r="F53" s="1748">
        <v>0</v>
      </c>
      <c r="G53" s="1748">
        <v>0</v>
      </c>
      <c r="H53" s="1748">
        <f t="shared" ref="H53" si="15">SUM(H51:H52)</f>
        <v>0</v>
      </c>
      <c r="I53" s="1749">
        <f t="shared" si="0"/>
        <v>0</v>
      </c>
      <c r="J53" s="1856">
        <f>'Výdaje kapitol celkem'!AA22</f>
        <v>0</v>
      </c>
      <c r="K53" s="1816">
        <f>+J53-H53</f>
        <v>0</v>
      </c>
      <c r="L53" s="1866"/>
    </row>
    <row r="54" spans="1:12" hidden="1" outlineLevel="1" x14ac:dyDescent="0.25">
      <c r="A54" s="1836">
        <v>3613</v>
      </c>
      <c r="B54" s="1812">
        <v>5139</v>
      </c>
      <c r="C54" s="1813"/>
      <c r="D54" s="1746"/>
      <c r="E54" s="1746"/>
      <c r="F54" s="1746"/>
      <c r="G54" s="1746"/>
      <c r="H54" s="1746"/>
      <c r="I54" s="1751">
        <f t="shared" si="0"/>
        <v>0</v>
      </c>
      <c r="J54" s="1807"/>
      <c r="K54" s="1816"/>
      <c r="L54" s="1866"/>
    </row>
    <row r="55" spans="1:12" hidden="1" outlineLevel="1" x14ac:dyDescent="0.25">
      <c r="A55" s="1841">
        <v>3613</v>
      </c>
      <c r="B55" s="1818">
        <v>5139</v>
      </c>
      <c r="C55" s="1819"/>
      <c r="D55" s="1752"/>
      <c r="E55" s="1752"/>
      <c r="F55" s="1752"/>
      <c r="G55" s="1752"/>
      <c r="H55" s="1752"/>
      <c r="I55" s="1768">
        <f t="shared" si="0"/>
        <v>0</v>
      </c>
      <c r="J55" s="1807"/>
      <c r="K55" s="1816"/>
      <c r="L55" s="1866"/>
    </row>
    <row r="56" spans="1:12" ht="13.5" collapsed="1" thickBot="1" x14ac:dyDescent="0.3">
      <c r="A56" s="3166" t="s">
        <v>201</v>
      </c>
      <c r="B56" s="3167"/>
      <c r="C56" s="1855"/>
      <c r="D56" s="1748">
        <v>0</v>
      </c>
      <c r="E56" s="1748">
        <v>0</v>
      </c>
      <c r="F56" s="1748">
        <v>0</v>
      </c>
      <c r="G56" s="1748">
        <v>0</v>
      </c>
      <c r="H56" s="1748">
        <f t="shared" ref="H56" si="16">SUM(H54:H55)</f>
        <v>0</v>
      </c>
      <c r="I56" s="1749">
        <f t="shared" si="0"/>
        <v>0</v>
      </c>
      <c r="J56" s="1856">
        <f>'Výdaje kapitol celkem'!AK22</f>
        <v>0</v>
      </c>
      <c r="K56" s="1816">
        <f>+J56-H56</f>
        <v>0</v>
      </c>
      <c r="L56" s="1866"/>
    </row>
    <row r="57" spans="1:12" outlineLevel="1" x14ac:dyDescent="0.25">
      <c r="A57" s="1836">
        <v>5512</v>
      </c>
      <c r="B57" s="1812">
        <v>5139</v>
      </c>
      <c r="C57" s="1813"/>
      <c r="D57" s="1746">
        <v>20000</v>
      </c>
      <c r="E57" s="1746">
        <v>20000</v>
      </c>
      <c r="F57" s="1746">
        <v>20000</v>
      </c>
      <c r="G57" s="1746">
        <v>20000</v>
      </c>
      <c r="H57" s="1746">
        <f>+[4]Hasiči!$B$5</f>
        <v>20000</v>
      </c>
      <c r="I57" s="1751">
        <f t="shared" si="0"/>
        <v>0</v>
      </c>
      <c r="J57" s="1807"/>
      <c r="K57" s="1816"/>
      <c r="L57" s="1866"/>
    </row>
    <row r="58" spans="1:12" ht="48.75" outlineLevel="1" x14ac:dyDescent="0.25">
      <c r="A58" s="1841">
        <v>5512</v>
      </c>
      <c r="B58" s="1818">
        <v>5139</v>
      </c>
      <c r="C58" s="1819" t="s">
        <v>2303</v>
      </c>
      <c r="D58" s="1752">
        <v>50000</v>
      </c>
      <c r="E58" s="1752">
        <v>50000</v>
      </c>
      <c r="F58" s="1752">
        <v>50000</v>
      </c>
      <c r="G58" s="1752">
        <v>50000</v>
      </c>
      <c r="H58" s="1752">
        <f>+[4]Hasiči!$B$6+[3]Hasiči!$B$20</f>
        <v>50000</v>
      </c>
      <c r="I58" s="1768">
        <f t="shared" si="0"/>
        <v>0</v>
      </c>
      <c r="J58" s="1807"/>
      <c r="K58" s="1816"/>
      <c r="L58" s="1866"/>
    </row>
    <row r="59" spans="1:12" outlineLevel="1" x14ac:dyDescent="0.25">
      <c r="A59" s="1841">
        <v>5512</v>
      </c>
      <c r="B59" s="1818">
        <v>5139</v>
      </c>
      <c r="C59" s="1819"/>
      <c r="D59" s="1752">
        <v>0</v>
      </c>
      <c r="E59" s="1752">
        <v>0</v>
      </c>
      <c r="F59" s="1752">
        <v>0</v>
      </c>
      <c r="G59" s="1752">
        <v>0</v>
      </c>
      <c r="H59" s="1752">
        <f>+[3]Hasiči!$B$21</f>
        <v>0</v>
      </c>
      <c r="I59" s="1768">
        <f t="shared" si="0"/>
        <v>0</v>
      </c>
      <c r="J59" s="1807"/>
      <c r="K59" s="1816"/>
      <c r="L59" s="1866"/>
    </row>
    <row r="60" spans="1:12" outlineLevel="1" x14ac:dyDescent="0.25">
      <c r="A60" s="1836">
        <v>5512</v>
      </c>
      <c r="B60" s="1812">
        <v>5139</v>
      </c>
      <c r="C60" s="1824"/>
      <c r="D60" s="1753"/>
      <c r="E60" s="1753"/>
      <c r="F60" s="1753"/>
      <c r="G60" s="1753"/>
      <c r="H60" s="1753"/>
      <c r="I60" s="1768">
        <f t="shared" si="0"/>
        <v>0</v>
      </c>
      <c r="J60" s="1807"/>
      <c r="K60" s="1816"/>
      <c r="L60" s="1866"/>
    </row>
    <row r="61" spans="1:12" ht="13.5" thickBot="1" x14ac:dyDescent="0.3">
      <c r="A61" s="3166" t="s">
        <v>202</v>
      </c>
      <c r="B61" s="3167"/>
      <c r="C61" s="1855"/>
      <c r="D61" s="1748">
        <v>70000</v>
      </c>
      <c r="E61" s="1748">
        <v>70000</v>
      </c>
      <c r="F61" s="1748">
        <v>70000</v>
      </c>
      <c r="G61" s="1748">
        <v>70000</v>
      </c>
      <c r="H61" s="1748">
        <f t="shared" ref="H61" si="17">SUM(H57:H60)</f>
        <v>70000</v>
      </c>
      <c r="I61" s="1749">
        <f t="shared" si="0"/>
        <v>0</v>
      </c>
      <c r="J61" s="1856">
        <f>'Výdaje kapitol celkem'!AN22</f>
        <v>70000</v>
      </c>
      <c r="K61" s="1816">
        <f>+J61-H61</f>
        <v>0</v>
      </c>
      <c r="L61" s="1866"/>
    </row>
    <row r="62" spans="1:12" hidden="1" outlineLevel="1" x14ac:dyDescent="0.25">
      <c r="A62" s="1836">
        <v>3519</v>
      </c>
      <c r="B62" s="1812">
        <v>5139</v>
      </c>
      <c r="C62" s="1813"/>
      <c r="D62" s="1746"/>
      <c r="E62" s="1746"/>
      <c r="F62" s="1746"/>
      <c r="G62" s="1746"/>
      <c r="H62" s="1746"/>
      <c r="I62" s="1751">
        <f t="shared" si="0"/>
        <v>0</v>
      </c>
      <c r="J62" s="1807"/>
      <c r="K62" s="1816"/>
      <c r="L62" s="1866"/>
    </row>
    <row r="63" spans="1:12" hidden="1" outlineLevel="1" x14ac:dyDescent="0.25">
      <c r="A63" s="1841">
        <v>3519</v>
      </c>
      <c r="B63" s="1818">
        <v>5139</v>
      </c>
      <c r="C63" s="1819"/>
      <c r="D63" s="1752"/>
      <c r="E63" s="1752"/>
      <c r="F63" s="1752"/>
      <c r="G63" s="1752"/>
      <c r="H63" s="1752"/>
      <c r="I63" s="1768">
        <f t="shared" si="0"/>
        <v>0</v>
      </c>
      <c r="J63" s="1807"/>
      <c r="K63" s="1816"/>
      <c r="L63" s="1866"/>
    </row>
    <row r="64" spans="1:12" ht="13.5" collapsed="1" thickBot="1" x14ac:dyDescent="0.3">
      <c r="A64" s="3166" t="s">
        <v>203</v>
      </c>
      <c r="B64" s="3167"/>
      <c r="C64" s="1855"/>
      <c r="D64" s="1748">
        <v>0</v>
      </c>
      <c r="E64" s="1748">
        <v>0</v>
      </c>
      <c r="F64" s="1748">
        <v>0</v>
      </c>
      <c r="G64" s="1748">
        <v>0</v>
      </c>
      <c r="H64" s="1748">
        <f t="shared" ref="H64" si="18">SUM(H62:H63)</f>
        <v>0</v>
      </c>
      <c r="I64" s="1749">
        <f t="shared" si="0"/>
        <v>0</v>
      </c>
      <c r="J64" s="1856">
        <f>'Výdaje kapitol celkem'!AO22</f>
        <v>0</v>
      </c>
      <c r="K64" s="1816">
        <f>+J64-H64</f>
        <v>0</v>
      </c>
      <c r="L64" s="1866"/>
    </row>
    <row r="65" spans="1:12" outlineLevel="1" x14ac:dyDescent="0.25">
      <c r="A65" s="1836">
        <v>3631</v>
      </c>
      <c r="B65" s="1812">
        <v>5139</v>
      </c>
      <c r="C65" s="1813" t="s">
        <v>2261</v>
      </c>
      <c r="D65" s="1746">
        <v>20000</v>
      </c>
      <c r="E65" s="1746">
        <v>20000</v>
      </c>
      <c r="F65" s="1746">
        <v>20000</v>
      </c>
      <c r="G65" s="1746">
        <v>20000</v>
      </c>
      <c r="H65" s="1746">
        <f>+[4]VO!$B$5</f>
        <v>20000</v>
      </c>
      <c r="I65" s="1751">
        <f t="shared" si="0"/>
        <v>0</v>
      </c>
      <c r="J65" s="1807"/>
      <c r="K65" s="1816"/>
      <c r="L65" s="1866"/>
    </row>
    <row r="66" spans="1:12" outlineLevel="1" x14ac:dyDescent="0.25">
      <c r="A66" s="1836">
        <v>3631</v>
      </c>
      <c r="B66" s="1812">
        <v>5139</v>
      </c>
      <c r="C66" s="1813" t="s">
        <v>2262</v>
      </c>
      <c r="D66" s="1746">
        <v>60000</v>
      </c>
      <c r="E66" s="1746">
        <v>60000</v>
      </c>
      <c r="F66" s="1746">
        <v>60000</v>
      </c>
      <c r="G66" s="1746">
        <v>60000</v>
      </c>
      <c r="H66" s="1746">
        <f>+[4]VO!$B$6</f>
        <v>60000</v>
      </c>
      <c r="I66" s="1751">
        <f t="shared" si="0"/>
        <v>0</v>
      </c>
      <c r="J66" s="1807"/>
      <c r="K66" s="1816"/>
      <c r="L66" s="1866"/>
    </row>
    <row r="67" spans="1:12" outlineLevel="1" x14ac:dyDescent="0.25">
      <c r="A67" s="1841">
        <v>3631</v>
      </c>
      <c r="B67" s="1818">
        <v>5139</v>
      </c>
      <c r="C67" s="1813" t="s">
        <v>2263</v>
      </c>
      <c r="D67" s="1746">
        <v>70000</v>
      </c>
      <c r="E67" s="1746">
        <v>70000</v>
      </c>
      <c r="F67" s="1746">
        <v>70000</v>
      </c>
      <c r="G67" s="1746">
        <v>70000</v>
      </c>
      <c r="H67" s="1746">
        <f>+[4]VO!$B$7</f>
        <v>70000</v>
      </c>
      <c r="I67" s="1751">
        <f t="shared" si="0"/>
        <v>0</v>
      </c>
      <c r="J67" s="1807"/>
      <c r="K67" s="1816"/>
      <c r="L67" s="1866"/>
    </row>
    <row r="68" spans="1:12" outlineLevel="1" x14ac:dyDescent="0.25">
      <c r="A68" s="1841">
        <v>3631</v>
      </c>
      <c r="B68" s="1818">
        <v>5139</v>
      </c>
      <c r="C68" s="1819"/>
      <c r="D68" s="1752"/>
      <c r="E68" s="1752"/>
      <c r="F68" s="1752"/>
      <c r="G68" s="1752"/>
      <c r="H68" s="1752"/>
      <c r="I68" s="1768">
        <f t="shared" si="0"/>
        <v>0</v>
      </c>
      <c r="J68" s="1807"/>
      <c r="K68" s="1816"/>
      <c r="L68" s="1866"/>
    </row>
    <row r="69" spans="1:12" ht="13.5" thickBot="1" x14ac:dyDescent="0.3">
      <c r="A69" s="3166" t="s">
        <v>629</v>
      </c>
      <c r="B69" s="3167"/>
      <c r="C69" s="1855"/>
      <c r="D69" s="1748">
        <v>150000</v>
      </c>
      <c r="E69" s="1748">
        <v>150000</v>
      </c>
      <c r="F69" s="1748">
        <v>150000</v>
      </c>
      <c r="G69" s="1748">
        <v>150000</v>
      </c>
      <c r="H69" s="1748">
        <f t="shared" ref="H69" si="19">SUM(H65:H68)</f>
        <v>150000</v>
      </c>
      <c r="I69" s="1749">
        <f t="shared" si="0"/>
        <v>0</v>
      </c>
      <c r="J69" s="1856">
        <f>'Výdaje kapitol celkem'!CC22</f>
        <v>150000</v>
      </c>
      <c r="K69" s="1816">
        <f>+J69-H69</f>
        <v>0</v>
      </c>
      <c r="L69" s="1866"/>
    </row>
    <row r="70" spans="1:12" hidden="1" outlineLevel="1" x14ac:dyDescent="0.25">
      <c r="A70" s="1836">
        <v>3429</v>
      </c>
      <c r="B70" s="1812">
        <v>5139</v>
      </c>
      <c r="C70" s="1813"/>
      <c r="D70" s="1746"/>
      <c r="E70" s="1746"/>
      <c r="F70" s="1746"/>
      <c r="G70" s="1746"/>
      <c r="H70" s="1746"/>
      <c r="I70" s="1751">
        <f t="shared" si="0"/>
        <v>0</v>
      </c>
      <c r="J70" s="1807"/>
      <c r="K70" s="1816"/>
      <c r="L70" s="1866"/>
    </row>
    <row r="71" spans="1:12" hidden="1" outlineLevel="1" x14ac:dyDescent="0.25">
      <c r="A71" s="1841">
        <v>3429</v>
      </c>
      <c r="B71" s="1818">
        <v>5139</v>
      </c>
      <c r="C71" s="1813"/>
      <c r="D71" s="1746"/>
      <c r="E71" s="1746"/>
      <c r="F71" s="1746"/>
      <c r="G71" s="1746"/>
      <c r="H71" s="1746"/>
      <c r="I71" s="1751">
        <f t="shared" si="0"/>
        <v>0</v>
      </c>
      <c r="J71" s="1807"/>
      <c r="K71" s="1816"/>
      <c r="L71" s="1866"/>
    </row>
    <row r="72" spans="1:12" hidden="1" outlineLevel="1" x14ac:dyDescent="0.25">
      <c r="A72" s="1841">
        <v>3429</v>
      </c>
      <c r="B72" s="1818">
        <v>5139</v>
      </c>
      <c r="C72" s="1819"/>
      <c r="D72" s="1771"/>
      <c r="E72" s="1771"/>
      <c r="F72" s="1771"/>
      <c r="G72" s="1771"/>
      <c r="H72" s="1771"/>
      <c r="I72" s="1768">
        <f t="shared" si="0"/>
        <v>0</v>
      </c>
      <c r="J72" s="1807"/>
      <c r="K72" s="1816"/>
      <c r="L72" s="1866"/>
    </row>
    <row r="73" spans="1:12" ht="13.5" collapsed="1" thickBot="1" x14ac:dyDescent="0.3">
      <c r="A73" s="3166" t="s">
        <v>1208</v>
      </c>
      <c r="B73" s="3167"/>
      <c r="C73" s="1855"/>
      <c r="D73" s="1748">
        <v>0</v>
      </c>
      <c r="E73" s="1748">
        <v>0</v>
      </c>
      <c r="F73" s="1748">
        <v>0</v>
      </c>
      <c r="G73" s="1748">
        <v>0</v>
      </c>
      <c r="H73" s="1748">
        <f t="shared" ref="H73" si="20">SUM(H70:H72)</f>
        <v>0</v>
      </c>
      <c r="I73" s="1749">
        <f t="shared" si="0"/>
        <v>0</v>
      </c>
      <c r="J73" s="1856">
        <f>'Výdaje kapitol celkem'!AP22</f>
        <v>0</v>
      </c>
      <c r="K73" s="1816">
        <f>+J73-H73</f>
        <v>0</v>
      </c>
      <c r="L73" s="1866"/>
    </row>
    <row r="74" spans="1:12" outlineLevel="1" x14ac:dyDescent="0.25">
      <c r="A74" s="1836">
        <v>3632</v>
      </c>
      <c r="B74" s="1812">
        <v>5139</v>
      </c>
      <c r="C74" s="1813" t="s">
        <v>1761</v>
      </c>
      <c r="D74" s="1746">
        <v>30000</v>
      </c>
      <c r="E74" s="1746">
        <v>30000</v>
      </c>
      <c r="F74" s="1746">
        <v>30000</v>
      </c>
      <c r="G74" s="1746">
        <v>30000</v>
      </c>
      <c r="H74" s="1746">
        <f>+[4]Hřbitov!$B$5</f>
        <v>30000</v>
      </c>
      <c r="I74" s="1751">
        <f t="shared" ref="I74:I137" si="21">+H74-G74</f>
        <v>0</v>
      </c>
      <c r="J74" s="1807"/>
      <c r="K74" s="1816"/>
      <c r="L74" s="1866"/>
    </row>
    <row r="75" spans="1:12" outlineLevel="1" x14ac:dyDescent="0.25">
      <c r="A75" s="1841">
        <v>3632</v>
      </c>
      <c r="B75" s="1818">
        <v>5139</v>
      </c>
      <c r="C75" s="1813" t="s">
        <v>2252</v>
      </c>
      <c r="D75" s="1746">
        <v>20000</v>
      </c>
      <c r="E75" s="1746">
        <v>20000</v>
      </c>
      <c r="F75" s="1746">
        <v>20000</v>
      </c>
      <c r="G75" s="1746">
        <v>20000</v>
      </c>
      <c r="H75" s="1746">
        <f>+[4]Hřbitov!$B$6</f>
        <v>20000</v>
      </c>
      <c r="I75" s="1751">
        <f t="shared" si="21"/>
        <v>0</v>
      </c>
      <c r="J75" s="1807"/>
      <c r="K75" s="1816"/>
      <c r="L75" s="1866"/>
    </row>
    <row r="76" spans="1:12" outlineLevel="1" x14ac:dyDescent="0.25">
      <c r="A76" s="1841">
        <v>3632</v>
      </c>
      <c r="B76" s="1818">
        <v>5139</v>
      </c>
      <c r="C76" s="1819"/>
      <c r="D76" s="1771"/>
      <c r="E76" s="1771"/>
      <c r="F76" s="1771"/>
      <c r="G76" s="1771"/>
      <c r="H76" s="1771"/>
      <c r="I76" s="1768">
        <f t="shared" si="21"/>
        <v>0</v>
      </c>
      <c r="J76" s="1807"/>
      <c r="K76" s="1816"/>
      <c r="L76" s="1866"/>
    </row>
    <row r="77" spans="1:12" ht="13.5" thickBot="1" x14ac:dyDescent="0.3">
      <c r="A77" s="3166" t="s">
        <v>252</v>
      </c>
      <c r="B77" s="3167"/>
      <c r="C77" s="1855"/>
      <c r="D77" s="1748">
        <v>50000</v>
      </c>
      <c r="E77" s="1748">
        <v>50000</v>
      </c>
      <c r="F77" s="1748">
        <v>50000</v>
      </c>
      <c r="G77" s="1748">
        <v>50000</v>
      </c>
      <c r="H77" s="1748">
        <f t="shared" ref="H77" si="22">SUM(H74:H76)</f>
        <v>50000</v>
      </c>
      <c r="I77" s="1749">
        <f t="shared" si="21"/>
        <v>0</v>
      </c>
      <c r="J77" s="1856">
        <f>'Výdaje kapitol celkem'!AQ22</f>
        <v>50000</v>
      </c>
      <c r="K77" s="1816">
        <f>+J77-H77</f>
        <v>0</v>
      </c>
      <c r="L77" s="1866"/>
    </row>
    <row r="78" spans="1:12" hidden="1" outlineLevel="1" x14ac:dyDescent="0.25">
      <c r="A78" s="1836">
        <v>3412</v>
      </c>
      <c r="B78" s="1812">
        <v>5139</v>
      </c>
      <c r="C78" s="1813"/>
      <c r="D78" s="1746"/>
      <c r="E78" s="1746"/>
      <c r="F78" s="1746"/>
      <c r="G78" s="1746"/>
      <c r="H78" s="1746"/>
      <c r="I78" s="1751">
        <f t="shared" si="21"/>
        <v>0</v>
      </c>
      <c r="J78" s="1807"/>
      <c r="K78" s="1816"/>
      <c r="L78" s="1866"/>
    </row>
    <row r="79" spans="1:12" hidden="1" outlineLevel="1" x14ac:dyDescent="0.25">
      <c r="A79" s="1841">
        <v>3412</v>
      </c>
      <c r="B79" s="1818">
        <v>5139</v>
      </c>
      <c r="C79" s="1813"/>
      <c r="D79" s="1746"/>
      <c r="E79" s="1746"/>
      <c r="F79" s="1746"/>
      <c r="G79" s="1746"/>
      <c r="H79" s="1746"/>
      <c r="I79" s="1751">
        <f t="shared" si="21"/>
        <v>0</v>
      </c>
      <c r="J79" s="1807"/>
      <c r="K79" s="1816"/>
      <c r="L79" s="1866"/>
    </row>
    <row r="80" spans="1:12" ht="13.5" collapsed="1" thickBot="1" x14ac:dyDescent="0.3">
      <c r="A80" s="3166" t="s">
        <v>624</v>
      </c>
      <c r="B80" s="3167"/>
      <c r="C80" s="1855"/>
      <c r="D80" s="1748">
        <v>0</v>
      </c>
      <c r="E80" s="1748">
        <v>0</v>
      </c>
      <c r="F80" s="1748">
        <v>0</v>
      </c>
      <c r="G80" s="1748">
        <v>0</v>
      </c>
      <c r="H80" s="1748">
        <f t="shared" ref="H80" si="23">SUM(H78:H79)</f>
        <v>0</v>
      </c>
      <c r="I80" s="1749">
        <f t="shared" si="21"/>
        <v>0</v>
      </c>
      <c r="J80" s="1856">
        <f>'Výdaje kapitol celkem'!AT22</f>
        <v>0</v>
      </c>
      <c r="K80" s="1816">
        <f>+J80-H80</f>
        <v>0</v>
      </c>
      <c r="L80" s="1866"/>
    </row>
    <row r="81" spans="1:12" hidden="1" outlineLevel="1" x14ac:dyDescent="0.25">
      <c r="A81" s="1844">
        <v>3113</v>
      </c>
      <c r="B81" s="1826">
        <v>5139</v>
      </c>
      <c r="C81" s="1824"/>
      <c r="D81" s="1753"/>
      <c r="E81" s="1753"/>
      <c r="F81" s="1753"/>
      <c r="G81" s="1753"/>
      <c r="H81" s="1753"/>
      <c r="I81" s="1772">
        <f t="shared" si="21"/>
        <v>0</v>
      </c>
      <c r="J81" s="1807"/>
      <c r="K81" s="1816"/>
      <c r="L81" s="1866"/>
    </row>
    <row r="82" spans="1:12" hidden="1" outlineLevel="1" x14ac:dyDescent="0.25">
      <c r="A82" s="1843">
        <v>3113</v>
      </c>
      <c r="B82" s="1823">
        <v>5139</v>
      </c>
      <c r="C82" s="1819"/>
      <c r="D82" s="1752"/>
      <c r="E82" s="1752"/>
      <c r="F82" s="1752"/>
      <c r="G82" s="1752"/>
      <c r="H82" s="1752"/>
      <c r="I82" s="1768">
        <f t="shared" si="21"/>
        <v>0</v>
      </c>
      <c r="J82" s="1807"/>
      <c r="K82" s="1816"/>
      <c r="L82" s="1866"/>
    </row>
    <row r="83" spans="1:12" hidden="1" outlineLevel="1" x14ac:dyDescent="0.25">
      <c r="A83" s="1843">
        <v>3113</v>
      </c>
      <c r="B83" s="1823">
        <v>5139</v>
      </c>
      <c r="C83" s="1819"/>
      <c r="D83" s="1752"/>
      <c r="E83" s="1752"/>
      <c r="F83" s="1752"/>
      <c r="G83" s="1752"/>
      <c r="H83" s="1752"/>
      <c r="I83" s="1768">
        <f t="shared" si="21"/>
        <v>0</v>
      </c>
      <c r="J83" s="1807"/>
      <c r="K83" s="1816"/>
      <c r="L83" s="1866"/>
    </row>
    <row r="84" spans="1:12" hidden="1" outlineLevel="1" x14ac:dyDescent="0.25">
      <c r="A84" s="1843">
        <v>3113</v>
      </c>
      <c r="B84" s="1823">
        <v>5139</v>
      </c>
      <c r="C84" s="1824"/>
      <c r="D84" s="1753"/>
      <c r="E84" s="1753"/>
      <c r="F84" s="1753"/>
      <c r="G84" s="1753"/>
      <c r="H84" s="1753"/>
      <c r="I84" s="1751">
        <f t="shared" si="21"/>
        <v>0</v>
      </c>
      <c r="J84" s="1807"/>
      <c r="K84" s="1816"/>
      <c r="L84" s="1866"/>
    </row>
    <row r="85" spans="1:12" ht="13.5" collapsed="1" thickBot="1" x14ac:dyDescent="0.3">
      <c r="A85" s="3166" t="s">
        <v>204</v>
      </c>
      <c r="B85" s="3167"/>
      <c r="C85" s="1855"/>
      <c r="D85" s="1748">
        <v>0</v>
      </c>
      <c r="E85" s="1748">
        <v>0</v>
      </c>
      <c r="F85" s="1748">
        <v>0</v>
      </c>
      <c r="G85" s="1748">
        <v>0</v>
      </c>
      <c r="H85" s="1748">
        <f t="shared" ref="H85" si="24">SUM(H81:H84)</f>
        <v>0</v>
      </c>
      <c r="I85" s="1749">
        <f t="shared" si="21"/>
        <v>0</v>
      </c>
      <c r="J85" s="1856">
        <f>'Výdaje kapitol celkem'!BC22</f>
        <v>0</v>
      </c>
      <c r="K85" s="1816">
        <f>+J85-H85</f>
        <v>0</v>
      </c>
      <c r="L85" s="1866"/>
    </row>
    <row r="86" spans="1:12" hidden="1" outlineLevel="1" x14ac:dyDescent="0.25">
      <c r="A86" s="1844">
        <v>3114</v>
      </c>
      <c r="B86" s="1826">
        <v>5139</v>
      </c>
      <c r="C86" s="1824"/>
      <c r="D86" s="1753"/>
      <c r="E86" s="1753"/>
      <c r="F86" s="1753"/>
      <c r="G86" s="1753"/>
      <c r="H86" s="1753"/>
      <c r="I86" s="1751">
        <f t="shared" si="21"/>
        <v>0</v>
      </c>
      <c r="J86" s="1807"/>
      <c r="K86" s="1816"/>
      <c r="L86" s="1866"/>
    </row>
    <row r="87" spans="1:12" hidden="1" outlineLevel="1" x14ac:dyDescent="0.25">
      <c r="A87" s="1843">
        <v>3114</v>
      </c>
      <c r="B87" s="1823">
        <v>5139</v>
      </c>
      <c r="C87" s="1821"/>
      <c r="D87" s="1867"/>
      <c r="E87" s="1867"/>
      <c r="F87" s="1867"/>
      <c r="G87" s="1867"/>
      <c r="H87" s="1867"/>
      <c r="I87" s="1751">
        <f t="shared" si="21"/>
        <v>0</v>
      </c>
      <c r="J87" s="1807"/>
      <c r="K87" s="1816"/>
      <c r="L87" s="1866"/>
    </row>
    <row r="88" spans="1:12" ht="13.5" collapsed="1" thickBot="1" x14ac:dyDescent="0.3">
      <c r="A88" s="3166" t="s">
        <v>205</v>
      </c>
      <c r="B88" s="3167"/>
      <c r="C88" s="1855"/>
      <c r="D88" s="1748">
        <v>0</v>
      </c>
      <c r="E88" s="1748">
        <v>0</v>
      </c>
      <c r="F88" s="1748">
        <v>0</v>
      </c>
      <c r="G88" s="1748">
        <v>0</v>
      </c>
      <c r="H88" s="1748">
        <f t="shared" ref="H88" si="25">SUM(H86:H87)</f>
        <v>0</v>
      </c>
      <c r="I88" s="1749">
        <f t="shared" si="21"/>
        <v>0</v>
      </c>
      <c r="J88" s="1856">
        <f>'Výdaje kapitol celkem'!BL22</f>
        <v>0</v>
      </c>
      <c r="K88" s="1816">
        <f>+J88-H88</f>
        <v>0</v>
      </c>
      <c r="L88" s="1866"/>
    </row>
    <row r="89" spans="1:12" hidden="1" outlineLevel="1" x14ac:dyDescent="0.25">
      <c r="A89" s="1844" t="s">
        <v>191</v>
      </c>
      <c r="B89" s="1826">
        <v>5139</v>
      </c>
      <c r="C89" s="1824"/>
      <c r="D89" s="1753"/>
      <c r="E89" s="1753"/>
      <c r="F89" s="1753"/>
      <c r="G89" s="1753"/>
      <c r="H89" s="1753"/>
      <c r="I89" s="1751">
        <f t="shared" si="21"/>
        <v>0</v>
      </c>
      <c r="J89" s="1807"/>
      <c r="K89" s="1816"/>
      <c r="L89" s="1866"/>
    </row>
    <row r="90" spans="1:12" hidden="1" outlineLevel="1" x14ac:dyDescent="0.25">
      <c r="A90" s="1843" t="s">
        <v>191</v>
      </c>
      <c r="B90" s="1823">
        <v>5139</v>
      </c>
      <c r="C90" s="1821"/>
      <c r="D90" s="1769"/>
      <c r="E90" s="1769"/>
      <c r="F90" s="1769"/>
      <c r="G90" s="1769"/>
      <c r="H90" s="1769"/>
      <c r="I90" s="1768">
        <f t="shared" si="21"/>
        <v>0</v>
      </c>
      <c r="J90" s="1807"/>
      <c r="K90" s="1816"/>
      <c r="L90" s="1866"/>
    </row>
    <row r="91" spans="1:12" ht="13.5" collapsed="1" thickBot="1" x14ac:dyDescent="0.3">
      <c r="A91" s="3166" t="s">
        <v>206</v>
      </c>
      <c r="B91" s="3167"/>
      <c r="C91" s="1855"/>
      <c r="D91" s="1748">
        <v>0</v>
      </c>
      <c r="E91" s="1748">
        <v>0</v>
      </c>
      <c r="F91" s="1748">
        <v>0</v>
      </c>
      <c r="G91" s="1748">
        <v>0</v>
      </c>
      <c r="H91" s="1748">
        <f t="shared" ref="H91" si="26">SUM(H89:H90)</f>
        <v>0</v>
      </c>
      <c r="I91" s="1749">
        <f t="shared" si="21"/>
        <v>0</v>
      </c>
      <c r="J91" s="1856">
        <f>'Výdaje kapitol celkem'!BR22</f>
        <v>0</v>
      </c>
      <c r="K91" s="1816">
        <f>+J91-H91</f>
        <v>0</v>
      </c>
      <c r="L91" s="1866"/>
    </row>
    <row r="92" spans="1:12" hidden="1" outlineLevel="1" x14ac:dyDescent="0.25">
      <c r="A92" s="1844" t="s">
        <v>192</v>
      </c>
      <c r="B92" s="1826">
        <v>5139</v>
      </c>
      <c r="C92" s="1824"/>
      <c r="D92" s="1753"/>
      <c r="E92" s="1753"/>
      <c r="F92" s="1753"/>
      <c r="G92" s="1753"/>
      <c r="H92" s="1753"/>
      <c r="I92" s="1751">
        <f t="shared" si="21"/>
        <v>0</v>
      </c>
      <c r="J92" s="1807"/>
      <c r="K92" s="1816"/>
      <c r="L92" s="1866"/>
    </row>
    <row r="93" spans="1:12" hidden="1" outlineLevel="1" x14ac:dyDescent="0.25">
      <c r="A93" s="1843" t="s">
        <v>192</v>
      </c>
      <c r="B93" s="1823">
        <v>5139</v>
      </c>
      <c r="C93" s="1821"/>
      <c r="D93" s="1867"/>
      <c r="E93" s="1867"/>
      <c r="F93" s="1867"/>
      <c r="G93" s="1867"/>
      <c r="H93" s="1867"/>
      <c r="I93" s="1768">
        <f t="shared" si="21"/>
        <v>0</v>
      </c>
      <c r="J93" s="1807"/>
      <c r="K93" s="1816"/>
      <c r="L93" s="1866"/>
    </row>
    <row r="94" spans="1:12" ht="13.5" collapsed="1" thickBot="1" x14ac:dyDescent="0.3">
      <c r="A94" s="3166" t="s">
        <v>207</v>
      </c>
      <c r="B94" s="3167"/>
      <c r="C94" s="1855"/>
      <c r="D94" s="1748">
        <v>0</v>
      </c>
      <c r="E94" s="1748">
        <v>0</v>
      </c>
      <c r="F94" s="1748">
        <v>0</v>
      </c>
      <c r="G94" s="1748">
        <v>0</v>
      </c>
      <c r="H94" s="1748">
        <f t="shared" ref="H94" si="27">SUM(H92:H93)</f>
        <v>0</v>
      </c>
      <c r="I94" s="1749">
        <f t="shared" si="21"/>
        <v>0</v>
      </c>
      <c r="J94" s="1856">
        <f>'Výdaje kapitol celkem'!BO22</f>
        <v>0</v>
      </c>
      <c r="K94" s="1816">
        <f>+J94-H94</f>
        <v>0</v>
      </c>
      <c r="L94" s="1866"/>
    </row>
    <row r="95" spans="1:12" hidden="1" outlineLevel="1" x14ac:dyDescent="0.25">
      <c r="A95" s="1844" t="s">
        <v>217</v>
      </c>
      <c r="B95" s="1826">
        <v>5139</v>
      </c>
      <c r="C95" s="1824"/>
      <c r="D95" s="1744"/>
      <c r="E95" s="1744"/>
      <c r="F95" s="1744"/>
      <c r="G95" s="1744"/>
      <c r="H95" s="1744"/>
      <c r="I95" s="1751">
        <f t="shared" si="21"/>
        <v>0</v>
      </c>
      <c r="J95" s="1807"/>
      <c r="K95" s="1816"/>
      <c r="L95" s="1866"/>
    </row>
    <row r="96" spans="1:12" hidden="1" outlineLevel="1" x14ac:dyDescent="0.25">
      <c r="A96" s="1843" t="s">
        <v>217</v>
      </c>
      <c r="B96" s="1823">
        <v>5139</v>
      </c>
      <c r="C96" s="1821"/>
      <c r="D96" s="1752"/>
      <c r="E96" s="1752"/>
      <c r="F96" s="1752"/>
      <c r="G96" s="1752"/>
      <c r="H96" s="1752"/>
      <c r="I96" s="1768">
        <f t="shared" si="21"/>
        <v>0</v>
      </c>
      <c r="J96" s="1807"/>
      <c r="K96" s="1816"/>
      <c r="L96" s="1866"/>
    </row>
    <row r="97" spans="1:12" hidden="1" outlineLevel="1" x14ac:dyDescent="0.25">
      <c r="A97" s="1843" t="s">
        <v>217</v>
      </c>
      <c r="B97" s="1823">
        <v>5139</v>
      </c>
      <c r="C97" s="1821"/>
      <c r="D97" s="1753"/>
      <c r="E97" s="1753"/>
      <c r="F97" s="1753"/>
      <c r="G97" s="1753"/>
      <c r="H97" s="1753"/>
      <c r="I97" s="1768">
        <f t="shared" si="21"/>
        <v>0</v>
      </c>
      <c r="J97" s="1807"/>
      <c r="K97" s="1816"/>
      <c r="L97" s="1866"/>
    </row>
    <row r="98" spans="1:12" ht="13.5" collapsed="1" thickBot="1" x14ac:dyDescent="0.3">
      <c r="A98" s="3166" t="s">
        <v>248</v>
      </c>
      <c r="B98" s="3167"/>
      <c r="C98" s="1855"/>
      <c r="D98" s="1748">
        <v>0</v>
      </c>
      <c r="E98" s="1748">
        <v>0</v>
      </c>
      <c r="F98" s="1748">
        <v>0</v>
      </c>
      <c r="G98" s="1748">
        <v>0</v>
      </c>
      <c r="H98" s="1748">
        <f t="shared" ref="H98" si="28">SUM(H95:H97)</f>
        <v>0</v>
      </c>
      <c r="I98" s="1749">
        <f t="shared" si="21"/>
        <v>0</v>
      </c>
      <c r="J98" s="1856">
        <f>'Výdaje kapitol celkem'!BY22</f>
        <v>0</v>
      </c>
      <c r="K98" s="1816">
        <f>+J98-H98</f>
        <v>0</v>
      </c>
      <c r="L98" s="1866"/>
    </row>
    <row r="99" spans="1:12" hidden="1" outlineLevel="1" x14ac:dyDescent="0.25">
      <c r="A99" s="1844">
        <v>3635</v>
      </c>
      <c r="B99" s="1826">
        <v>5139</v>
      </c>
      <c r="C99" s="1824"/>
      <c r="D99" s="1753"/>
      <c r="E99" s="1753"/>
      <c r="F99" s="1753"/>
      <c r="G99" s="1753"/>
      <c r="H99" s="1753"/>
      <c r="I99" s="1747">
        <f t="shared" si="21"/>
        <v>0</v>
      </c>
      <c r="J99" s="1807"/>
      <c r="K99" s="1816"/>
      <c r="L99" s="1866"/>
    </row>
    <row r="100" spans="1:12" hidden="1" outlineLevel="1" x14ac:dyDescent="0.25">
      <c r="A100" s="1843">
        <v>3635</v>
      </c>
      <c r="B100" s="1823">
        <v>5139</v>
      </c>
      <c r="C100" s="1821"/>
      <c r="D100" s="1769"/>
      <c r="E100" s="1769"/>
      <c r="F100" s="1769"/>
      <c r="G100" s="1769"/>
      <c r="H100" s="1769"/>
      <c r="I100" s="1767">
        <f t="shared" si="21"/>
        <v>0</v>
      </c>
      <c r="J100" s="1807"/>
      <c r="K100" s="1816"/>
      <c r="L100" s="1866"/>
    </row>
    <row r="101" spans="1:12" ht="13.5" collapsed="1" thickBot="1" x14ac:dyDescent="0.3">
      <c r="A101" s="3166" t="s">
        <v>150</v>
      </c>
      <c r="B101" s="3167"/>
      <c r="C101" s="1855"/>
      <c r="D101" s="1748">
        <v>0</v>
      </c>
      <c r="E101" s="1748">
        <v>0</v>
      </c>
      <c r="F101" s="1748">
        <v>0</v>
      </c>
      <c r="G101" s="1748">
        <v>0</v>
      </c>
      <c r="H101" s="1748">
        <f t="shared" ref="H101" si="29">SUM(H99:H100)</f>
        <v>0</v>
      </c>
      <c r="I101" s="1749">
        <f t="shared" si="21"/>
        <v>0</v>
      </c>
      <c r="J101" s="1856">
        <f>'Výdaje kapitol celkem'!CB22</f>
        <v>0</v>
      </c>
      <c r="K101" s="1816">
        <f>+J101-H101</f>
        <v>0</v>
      </c>
      <c r="L101" s="1866"/>
    </row>
    <row r="102" spans="1:12" hidden="1" outlineLevel="1" x14ac:dyDescent="0.25">
      <c r="A102" s="1844" t="s">
        <v>193</v>
      </c>
      <c r="B102" s="1826">
        <v>5139</v>
      </c>
      <c r="C102" s="1824"/>
      <c r="D102" s="1753"/>
      <c r="E102" s="1753"/>
      <c r="F102" s="1753"/>
      <c r="G102" s="1753"/>
      <c r="H102" s="1753"/>
      <c r="I102" s="1747">
        <f t="shared" si="21"/>
        <v>0</v>
      </c>
      <c r="J102" s="1807"/>
      <c r="K102" s="1816"/>
      <c r="L102" s="1866"/>
    </row>
    <row r="103" spans="1:12" hidden="1" outlineLevel="1" x14ac:dyDescent="0.25">
      <c r="A103" s="1843" t="s">
        <v>193</v>
      </c>
      <c r="B103" s="1823">
        <v>5139</v>
      </c>
      <c r="C103" s="1821"/>
      <c r="D103" s="1769"/>
      <c r="E103" s="1769"/>
      <c r="F103" s="1769"/>
      <c r="G103" s="1769"/>
      <c r="H103" s="1769"/>
      <c r="I103" s="1767">
        <f t="shared" si="21"/>
        <v>0</v>
      </c>
      <c r="J103" s="1807"/>
      <c r="K103" s="1816"/>
      <c r="L103" s="1866"/>
    </row>
    <row r="104" spans="1:12" ht="13.5" collapsed="1" thickBot="1" x14ac:dyDescent="0.3">
      <c r="A104" s="3166" t="s">
        <v>208</v>
      </c>
      <c r="B104" s="3167"/>
      <c r="C104" s="1855"/>
      <c r="D104" s="1748">
        <v>0</v>
      </c>
      <c r="E104" s="1748">
        <v>0</v>
      </c>
      <c r="F104" s="1748">
        <v>0</v>
      </c>
      <c r="G104" s="1748">
        <v>0</v>
      </c>
      <c r="H104" s="1748">
        <f t="shared" ref="H104" si="30">SUM(H102:H103)</f>
        <v>0</v>
      </c>
      <c r="I104" s="1749">
        <f t="shared" si="21"/>
        <v>0</v>
      </c>
      <c r="J104" s="1856">
        <f>'Výdaje kapitol celkem'!BU22</f>
        <v>0</v>
      </c>
      <c r="K104" s="1816">
        <f>+J104-H104</f>
        <v>0</v>
      </c>
      <c r="L104" s="1866"/>
    </row>
    <row r="105" spans="1:12" hidden="1" outlineLevel="1" x14ac:dyDescent="0.25">
      <c r="A105" s="1844" t="s">
        <v>194</v>
      </c>
      <c r="B105" s="1826">
        <v>5139</v>
      </c>
      <c r="C105" s="1824"/>
      <c r="D105" s="1753"/>
      <c r="E105" s="1753"/>
      <c r="F105" s="1753"/>
      <c r="G105" s="1753"/>
      <c r="H105" s="1753"/>
      <c r="I105" s="1747">
        <f t="shared" si="21"/>
        <v>0</v>
      </c>
      <c r="J105" s="1807"/>
      <c r="K105" s="1816"/>
      <c r="L105" s="1866"/>
    </row>
    <row r="106" spans="1:12" hidden="1" outlineLevel="1" x14ac:dyDescent="0.25">
      <c r="A106" s="1843" t="s">
        <v>194</v>
      </c>
      <c r="B106" s="1823">
        <v>5139</v>
      </c>
      <c r="C106" s="1821"/>
      <c r="D106" s="1867"/>
      <c r="E106" s="1867"/>
      <c r="F106" s="1867"/>
      <c r="G106" s="1867"/>
      <c r="H106" s="1867"/>
      <c r="I106" s="1768">
        <f t="shared" si="21"/>
        <v>0</v>
      </c>
      <c r="J106" s="1807"/>
      <c r="K106" s="1816"/>
      <c r="L106" s="1866"/>
    </row>
    <row r="107" spans="1:12" ht="13.5" collapsed="1" thickBot="1" x14ac:dyDescent="0.3">
      <c r="A107" s="3166" t="s">
        <v>209</v>
      </c>
      <c r="B107" s="3167"/>
      <c r="C107" s="1855"/>
      <c r="D107" s="1748">
        <v>0</v>
      </c>
      <c r="E107" s="1748">
        <v>0</v>
      </c>
      <c r="F107" s="1748">
        <v>0</v>
      </c>
      <c r="G107" s="1748">
        <v>0</v>
      </c>
      <c r="H107" s="1748">
        <f t="shared" ref="H107" si="31">SUM(H105:H106)</f>
        <v>0</v>
      </c>
      <c r="I107" s="1749">
        <f t="shared" si="21"/>
        <v>0</v>
      </c>
      <c r="J107" s="1856">
        <f>'Výdaje kapitol celkem'!BX22</f>
        <v>0</v>
      </c>
      <c r="K107" s="1816">
        <f>+J107-H107</f>
        <v>0</v>
      </c>
      <c r="L107" s="1866"/>
    </row>
    <row r="108" spans="1:12" outlineLevel="1" x14ac:dyDescent="0.25">
      <c r="A108" s="1835">
        <v>2212</v>
      </c>
      <c r="B108" s="1809">
        <v>5139</v>
      </c>
      <c r="C108" s="1810" t="s">
        <v>2241</v>
      </c>
      <c r="D108" s="1744">
        <v>150000</v>
      </c>
      <c r="E108" s="1744">
        <v>200000</v>
      </c>
      <c r="F108" s="1744">
        <v>200000</v>
      </c>
      <c r="G108" s="1744">
        <v>200000</v>
      </c>
      <c r="H108" s="1744">
        <f>+'[5]Silnice nákup materiálu'!$B$4</f>
        <v>200000</v>
      </c>
      <c r="I108" s="1745">
        <f t="shared" si="21"/>
        <v>0</v>
      </c>
      <c r="J108" s="1807"/>
      <c r="K108" s="1816"/>
      <c r="L108" s="1866"/>
    </row>
    <row r="109" spans="1:12" outlineLevel="1" x14ac:dyDescent="0.25">
      <c r="A109" s="1841">
        <v>2212</v>
      </c>
      <c r="B109" s="1818">
        <v>5139</v>
      </c>
      <c r="C109" s="1819" t="s">
        <v>2433</v>
      </c>
      <c r="D109" s="1752">
        <v>150000</v>
      </c>
      <c r="E109" s="1752">
        <v>150000</v>
      </c>
      <c r="F109" s="1752">
        <v>150000</v>
      </c>
      <c r="G109" s="1752">
        <v>150000</v>
      </c>
      <c r="H109" s="1752">
        <f>+'[5]Silnice nákup materiálu'!$B$5</f>
        <v>150000</v>
      </c>
      <c r="I109" s="1768">
        <f t="shared" si="21"/>
        <v>0</v>
      </c>
      <c r="J109" s="1807"/>
      <c r="K109" s="1816"/>
      <c r="L109" s="1866"/>
    </row>
    <row r="110" spans="1:12" outlineLevel="1" x14ac:dyDescent="0.25">
      <c r="A110" s="1841">
        <v>2212</v>
      </c>
      <c r="B110" s="1818">
        <v>5139</v>
      </c>
      <c r="C110" s="1819" t="s">
        <v>2434</v>
      </c>
      <c r="D110" s="1752">
        <v>150000</v>
      </c>
      <c r="E110" s="1752">
        <v>150000</v>
      </c>
      <c r="F110" s="1752">
        <v>150000</v>
      </c>
      <c r="G110" s="1752">
        <v>150000</v>
      </c>
      <c r="H110" s="1752">
        <f>+'[5]Silnice nákup materiálu'!$B$6</f>
        <v>150000</v>
      </c>
      <c r="I110" s="1768">
        <f t="shared" si="21"/>
        <v>0</v>
      </c>
      <c r="J110" s="1807"/>
      <c r="K110" s="1816"/>
      <c r="L110" s="1866"/>
    </row>
    <row r="111" spans="1:12" outlineLevel="1" x14ac:dyDescent="0.25">
      <c r="A111" s="1841">
        <v>2212</v>
      </c>
      <c r="B111" s="1818">
        <v>5139</v>
      </c>
      <c r="C111" s="1819" t="s">
        <v>2435</v>
      </c>
      <c r="D111" s="1752">
        <v>500000</v>
      </c>
      <c r="E111" s="1752">
        <v>500000</v>
      </c>
      <c r="F111" s="1752">
        <v>500000</v>
      </c>
      <c r="G111" s="1752">
        <v>500000</v>
      </c>
      <c r="H111" s="1752">
        <f>+'[5]Silnice nákup materiálu'!$B$7</f>
        <v>500000</v>
      </c>
      <c r="I111" s="1768">
        <f t="shared" si="21"/>
        <v>0</v>
      </c>
      <c r="J111" s="1807"/>
      <c r="K111" s="1816"/>
      <c r="L111" s="1866"/>
    </row>
    <row r="112" spans="1:12" outlineLevel="1" x14ac:dyDescent="0.25">
      <c r="A112" s="1841">
        <v>2212</v>
      </c>
      <c r="B112" s="1818">
        <v>5139</v>
      </c>
      <c r="C112" s="1819" t="s">
        <v>2436</v>
      </c>
      <c r="D112" s="1752">
        <v>100000</v>
      </c>
      <c r="E112" s="1752">
        <v>100000</v>
      </c>
      <c r="F112" s="1752">
        <v>100000</v>
      </c>
      <c r="G112" s="1752">
        <v>100000</v>
      </c>
      <c r="H112" s="1752">
        <f>+'[5]Silnice nákup materiálu'!$B$8</f>
        <v>100000</v>
      </c>
      <c r="I112" s="1768">
        <f t="shared" si="21"/>
        <v>0</v>
      </c>
      <c r="J112" s="1807"/>
      <c r="K112" s="1816"/>
      <c r="L112" s="1866"/>
    </row>
    <row r="113" spans="1:12" outlineLevel="1" x14ac:dyDescent="0.25">
      <c r="A113" s="1844">
        <v>2212</v>
      </c>
      <c r="B113" s="1826">
        <v>5139</v>
      </c>
      <c r="C113" s="1824"/>
      <c r="D113" s="1753"/>
      <c r="E113" s="1753"/>
      <c r="F113" s="1753"/>
      <c r="G113" s="1753"/>
      <c r="H113" s="1753"/>
      <c r="I113" s="1747">
        <f t="shared" si="21"/>
        <v>0</v>
      </c>
      <c r="J113" s="1807"/>
      <c r="K113" s="1816"/>
      <c r="L113" s="1866"/>
    </row>
    <row r="114" spans="1:12" ht="13.5" thickBot="1" x14ac:dyDescent="0.3">
      <c r="A114" s="3166" t="s">
        <v>253</v>
      </c>
      <c r="B114" s="3167"/>
      <c r="C114" s="1855"/>
      <c r="D114" s="1748">
        <v>1050000</v>
      </c>
      <c r="E114" s="1748">
        <v>1100000</v>
      </c>
      <c r="F114" s="1748">
        <v>1100000</v>
      </c>
      <c r="G114" s="1748">
        <v>1100000</v>
      </c>
      <c r="H114" s="1748">
        <f>SUM(H108:H113)</f>
        <v>1100000</v>
      </c>
      <c r="I114" s="1749">
        <f t="shared" si="21"/>
        <v>0</v>
      </c>
      <c r="J114" s="1856">
        <f>'Výdaje kapitol celkem'!CF22</f>
        <v>1100000</v>
      </c>
      <c r="K114" s="1816">
        <f>+J114-H114</f>
        <v>0</v>
      </c>
      <c r="L114" s="1866"/>
    </row>
    <row r="115" spans="1:12" hidden="1" outlineLevel="1" x14ac:dyDescent="0.25">
      <c r="A115" s="1835">
        <v>2310</v>
      </c>
      <c r="B115" s="1809">
        <v>5139</v>
      </c>
      <c r="C115" s="1810"/>
      <c r="D115" s="1744"/>
      <c r="E115" s="1744"/>
      <c r="F115" s="1744"/>
      <c r="G115" s="1744"/>
      <c r="H115" s="1744"/>
      <c r="I115" s="1745">
        <f t="shared" si="21"/>
        <v>0</v>
      </c>
      <c r="J115" s="1807"/>
      <c r="K115" s="1816"/>
      <c r="L115" s="1866"/>
    </row>
    <row r="116" spans="1:12" hidden="1" outlineLevel="1" x14ac:dyDescent="0.25">
      <c r="A116" s="1843">
        <v>2310</v>
      </c>
      <c r="B116" s="1823">
        <v>5139</v>
      </c>
      <c r="C116" s="1821"/>
      <c r="D116" s="1769"/>
      <c r="E116" s="1769"/>
      <c r="F116" s="1769"/>
      <c r="G116" s="1769"/>
      <c r="H116" s="1769"/>
      <c r="I116" s="1767">
        <f t="shared" si="21"/>
        <v>0</v>
      </c>
      <c r="J116" s="1807"/>
      <c r="K116" s="1816"/>
      <c r="L116" s="1866"/>
    </row>
    <row r="117" spans="1:12" ht="13.5" collapsed="1" thickBot="1" x14ac:dyDescent="0.3">
      <c r="A117" s="3166" t="s">
        <v>210</v>
      </c>
      <c r="B117" s="3167"/>
      <c r="C117" s="1855"/>
      <c r="D117" s="1748">
        <v>0</v>
      </c>
      <c r="E117" s="1748">
        <v>0</v>
      </c>
      <c r="F117" s="1748">
        <v>0</v>
      </c>
      <c r="G117" s="1748">
        <v>0</v>
      </c>
      <c r="H117" s="1748">
        <f t="shared" ref="H117" si="32">SUM(H115:H116)</f>
        <v>0</v>
      </c>
      <c r="I117" s="1749">
        <f t="shared" si="21"/>
        <v>0</v>
      </c>
      <c r="J117" s="1856">
        <f>'Výdaje kapitol celkem'!CJ22</f>
        <v>0</v>
      </c>
      <c r="K117" s="1816">
        <f>+J117-H117</f>
        <v>0</v>
      </c>
      <c r="L117" s="1866"/>
    </row>
    <row r="118" spans="1:12" hidden="1" outlineLevel="1" x14ac:dyDescent="0.25">
      <c r="A118" s="1844">
        <v>3633</v>
      </c>
      <c r="B118" s="1826">
        <v>5139</v>
      </c>
      <c r="C118" s="1824"/>
      <c r="D118" s="1744"/>
      <c r="E118" s="1744"/>
      <c r="F118" s="1744"/>
      <c r="G118" s="1744"/>
      <c r="H118" s="1744"/>
      <c r="I118" s="1751">
        <f t="shared" si="21"/>
        <v>0</v>
      </c>
      <c r="J118" s="1807"/>
      <c r="K118" s="1816"/>
      <c r="L118" s="1866"/>
    </row>
    <row r="119" spans="1:12" hidden="1" outlineLevel="1" x14ac:dyDescent="0.25">
      <c r="A119" s="1843">
        <v>3633</v>
      </c>
      <c r="B119" s="1823">
        <v>5139</v>
      </c>
      <c r="C119" s="1821"/>
      <c r="D119" s="1752"/>
      <c r="E119" s="1752"/>
      <c r="F119" s="1752"/>
      <c r="G119" s="1752"/>
      <c r="H119" s="1752"/>
      <c r="I119" s="1751">
        <f t="shared" si="21"/>
        <v>0</v>
      </c>
      <c r="J119" s="1807"/>
      <c r="K119" s="1816"/>
      <c r="L119" s="1866"/>
    </row>
    <row r="120" spans="1:12" ht="13.5" collapsed="1" thickBot="1" x14ac:dyDescent="0.3">
      <c r="A120" s="3166" t="s">
        <v>250</v>
      </c>
      <c r="B120" s="3167"/>
      <c r="C120" s="1855"/>
      <c r="D120" s="1748">
        <v>0</v>
      </c>
      <c r="E120" s="1748">
        <v>0</v>
      </c>
      <c r="F120" s="1748">
        <v>0</v>
      </c>
      <c r="G120" s="1748">
        <v>0</v>
      </c>
      <c r="H120" s="1748">
        <f t="shared" ref="H120" si="33">SUM(H118:H119)</f>
        <v>0</v>
      </c>
      <c r="I120" s="1749">
        <f t="shared" si="21"/>
        <v>0</v>
      </c>
      <c r="J120" s="1856">
        <f>'Výdaje kapitol celkem'!CV22</f>
        <v>0</v>
      </c>
      <c r="K120" s="1816">
        <f>+J120-H120</f>
        <v>0</v>
      </c>
      <c r="L120" s="1866"/>
    </row>
    <row r="121" spans="1:12" ht="36.75" outlineLevel="1" x14ac:dyDescent="0.25">
      <c r="A121" s="1835">
        <v>3749</v>
      </c>
      <c r="B121" s="1809">
        <v>5139</v>
      </c>
      <c r="C121" s="1868" t="s">
        <v>2437</v>
      </c>
      <c r="D121" s="1744">
        <v>150000</v>
      </c>
      <c r="E121" s="1744">
        <v>150000</v>
      </c>
      <c r="F121" s="1744">
        <v>150000</v>
      </c>
      <c r="G121" s="1744">
        <v>150000</v>
      </c>
      <c r="H121" s="1744">
        <f>+'[6]Příroda 3749'!$B$6</f>
        <v>150000</v>
      </c>
      <c r="I121" s="1745">
        <f t="shared" si="21"/>
        <v>0</v>
      </c>
      <c r="J121" s="1856">
        <f>'Výdaje kapitol celkem'!CV23</f>
        <v>0</v>
      </c>
      <c r="K121" s="1816"/>
      <c r="L121" s="1866"/>
    </row>
    <row r="122" spans="1:12" outlineLevel="1" x14ac:dyDescent="0.25">
      <c r="A122" s="1836">
        <v>3749</v>
      </c>
      <c r="B122" s="1812">
        <v>5139</v>
      </c>
      <c r="C122" s="1869" t="s">
        <v>2307</v>
      </c>
      <c r="D122" s="1753">
        <v>50000</v>
      </c>
      <c r="E122" s="1753">
        <v>50000</v>
      </c>
      <c r="F122" s="1753">
        <v>50000</v>
      </c>
      <c r="G122" s="1753">
        <v>50000</v>
      </c>
      <c r="H122" s="1753">
        <f>+'[6]Příroda 3749'!$B$7</f>
        <v>50000</v>
      </c>
      <c r="I122" s="1747">
        <f t="shared" si="21"/>
        <v>0</v>
      </c>
      <c r="J122" s="1856"/>
      <c r="K122" s="1816"/>
      <c r="L122" s="1866"/>
    </row>
    <row r="123" spans="1:12" outlineLevel="1" x14ac:dyDescent="0.25">
      <c r="A123" s="1843">
        <v>3749</v>
      </c>
      <c r="B123" s="1823">
        <v>5139</v>
      </c>
      <c r="C123" s="1870"/>
      <c r="D123" s="1769"/>
      <c r="E123" s="1769"/>
      <c r="F123" s="1769"/>
      <c r="G123" s="1769"/>
      <c r="H123" s="1769"/>
      <c r="I123" s="1767">
        <f t="shared" si="21"/>
        <v>0</v>
      </c>
      <c r="J123" s="1856">
        <f>'Výdaje kapitol celkem'!CV25</f>
        <v>0</v>
      </c>
      <c r="K123" s="1816"/>
      <c r="L123" s="1866"/>
    </row>
    <row r="124" spans="1:12" ht="13.5" thickBot="1" x14ac:dyDescent="0.3">
      <c r="A124" s="3166" t="s">
        <v>623</v>
      </c>
      <c r="B124" s="3167"/>
      <c r="C124" s="1855"/>
      <c r="D124" s="1748">
        <v>200000</v>
      </c>
      <c r="E124" s="1748">
        <v>200000</v>
      </c>
      <c r="F124" s="1748">
        <v>200000</v>
      </c>
      <c r="G124" s="1748">
        <v>200000</v>
      </c>
      <c r="H124" s="1748">
        <f t="shared" ref="H124" si="34">SUM(H121:H123)</f>
        <v>200000</v>
      </c>
      <c r="I124" s="1749">
        <f t="shared" si="21"/>
        <v>0</v>
      </c>
      <c r="J124" s="1856">
        <f>'Výdaje kapitol celkem'!DJ22</f>
        <v>200000</v>
      </c>
      <c r="K124" s="1816">
        <f>+J124-H124</f>
        <v>0</v>
      </c>
      <c r="L124" s="1866"/>
    </row>
    <row r="125" spans="1:12" hidden="1" outlineLevel="1" x14ac:dyDescent="0.25">
      <c r="A125" s="1844">
        <v>1036</v>
      </c>
      <c r="B125" s="1826">
        <v>5139</v>
      </c>
      <c r="C125" s="1824"/>
      <c r="D125" s="1753"/>
      <c r="E125" s="1753"/>
      <c r="F125" s="1753"/>
      <c r="G125" s="1753"/>
      <c r="H125" s="1753"/>
      <c r="I125" s="1747">
        <f t="shared" si="21"/>
        <v>0</v>
      </c>
      <c r="J125" s="1807"/>
      <c r="K125" s="1816"/>
      <c r="L125" s="1866"/>
    </row>
    <row r="126" spans="1:12" hidden="1" outlineLevel="1" x14ac:dyDescent="0.25">
      <c r="A126" s="1843">
        <v>1036</v>
      </c>
      <c r="B126" s="1823">
        <v>5139</v>
      </c>
      <c r="C126" s="1821"/>
      <c r="D126" s="1769"/>
      <c r="E126" s="1769"/>
      <c r="F126" s="1769"/>
      <c r="G126" s="1769"/>
      <c r="H126" s="1769"/>
      <c r="I126" s="1767">
        <f t="shared" si="21"/>
        <v>0</v>
      </c>
      <c r="J126" s="1807"/>
      <c r="K126" s="1816"/>
      <c r="L126" s="1866"/>
    </row>
    <row r="127" spans="1:12" hidden="1" outlineLevel="1" x14ac:dyDescent="0.25">
      <c r="A127" s="1843">
        <v>1036</v>
      </c>
      <c r="B127" s="1823">
        <v>5139</v>
      </c>
      <c r="C127" s="1819"/>
      <c r="D127" s="1769"/>
      <c r="E127" s="1769"/>
      <c r="F127" s="1769"/>
      <c r="G127" s="1769"/>
      <c r="H127" s="1769"/>
      <c r="I127" s="1768">
        <f t="shared" si="21"/>
        <v>0</v>
      </c>
      <c r="J127" s="1807"/>
      <c r="K127" s="1816"/>
      <c r="L127" s="1866"/>
    </row>
    <row r="128" spans="1:12" ht="13.5" collapsed="1" thickBot="1" x14ac:dyDescent="0.3">
      <c r="A128" s="3166" t="s">
        <v>1209</v>
      </c>
      <c r="B128" s="3167"/>
      <c r="C128" s="1855"/>
      <c r="D128" s="1748">
        <v>0</v>
      </c>
      <c r="E128" s="1748">
        <v>0</v>
      </c>
      <c r="F128" s="1748">
        <v>0</v>
      </c>
      <c r="G128" s="1748">
        <v>0</v>
      </c>
      <c r="H128" s="1748">
        <f t="shared" ref="H128" si="35">SUM(H125:H127)</f>
        <v>0</v>
      </c>
      <c r="I128" s="1749">
        <f t="shared" si="21"/>
        <v>0</v>
      </c>
      <c r="J128" s="1856">
        <f>'Výdaje kapitol celkem'!CY22</f>
        <v>0</v>
      </c>
      <c r="K128" s="1816">
        <f>+J128-H128</f>
        <v>0</v>
      </c>
      <c r="L128" s="1866"/>
    </row>
    <row r="129" spans="1:12" hidden="1" outlineLevel="1" x14ac:dyDescent="0.25">
      <c r="A129" s="1844" t="s">
        <v>218</v>
      </c>
      <c r="B129" s="1826">
        <v>5139</v>
      </c>
      <c r="C129" s="1824"/>
      <c r="D129" s="1753"/>
      <c r="E129" s="1753"/>
      <c r="F129" s="1753"/>
      <c r="G129" s="1753"/>
      <c r="H129" s="1753"/>
      <c r="I129" s="1747">
        <f t="shared" si="21"/>
        <v>0</v>
      </c>
      <c r="J129" s="1807"/>
      <c r="K129" s="1816"/>
      <c r="L129" s="1866"/>
    </row>
    <row r="130" spans="1:12" hidden="1" outlineLevel="1" x14ac:dyDescent="0.25">
      <c r="A130" s="1843" t="s">
        <v>218</v>
      </c>
      <c r="B130" s="1823">
        <v>5139</v>
      </c>
      <c r="C130" s="1821"/>
      <c r="D130" s="1769"/>
      <c r="E130" s="1769"/>
      <c r="F130" s="1769"/>
      <c r="G130" s="1769"/>
      <c r="H130" s="1769"/>
      <c r="I130" s="1767">
        <f t="shared" si="21"/>
        <v>0</v>
      </c>
      <c r="J130" s="1807"/>
      <c r="K130" s="1816"/>
      <c r="L130" s="1866"/>
    </row>
    <row r="131" spans="1:12" hidden="1" outlineLevel="1" x14ac:dyDescent="0.25">
      <c r="A131" s="1843" t="s">
        <v>218</v>
      </c>
      <c r="B131" s="1823">
        <v>5139</v>
      </c>
      <c r="C131" s="1819"/>
      <c r="D131" s="1769"/>
      <c r="E131" s="1769"/>
      <c r="F131" s="1769"/>
      <c r="G131" s="1769"/>
      <c r="H131" s="1769"/>
      <c r="I131" s="1768">
        <f t="shared" si="21"/>
        <v>0</v>
      </c>
      <c r="J131" s="1807"/>
      <c r="K131" s="1816"/>
      <c r="L131" s="1866"/>
    </row>
    <row r="132" spans="1:12" ht="13.5" collapsed="1" thickBot="1" x14ac:dyDescent="0.3">
      <c r="A132" s="3166" t="s">
        <v>249</v>
      </c>
      <c r="B132" s="3167"/>
      <c r="C132" s="1855"/>
      <c r="D132" s="1748">
        <v>0</v>
      </c>
      <c r="E132" s="1748">
        <v>0</v>
      </c>
      <c r="F132" s="1748">
        <v>0</v>
      </c>
      <c r="G132" s="1748">
        <v>0</v>
      </c>
      <c r="H132" s="1748">
        <f t="shared" ref="H132" si="36">SUM(H129:H131)</f>
        <v>0</v>
      </c>
      <c r="I132" s="1749">
        <f t="shared" si="21"/>
        <v>0</v>
      </c>
      <c r="J132" s="1856">
        <f>'Výdaje kapitol celkem'!CS22</f>
        <v>0</v>
      </c>
      <c r="K132" s="1816">
        <f>+J132-H132</f>
        <v>0</v>
      </c>
      <c r="L132" s="1866"/>
    </row>
    <row r="133" spans="1:12" hidden="1" outlineLevel="1" x14ac:dyDescent="0.25">
      <c r="A133" s="1844" t="s">
        <v>195</v>
      </c>
      <c r="B133" s="1826">
        <v>5139</v>
      </c>
      <c r="C133" s="1824"/>
      <c r="D133" s="1753"/>
      <c r="E133" s="1753"/>
      <c r="F133" s="1753"/>
      <c r="G133" s="1753"/>
      <c r="H133" s="1753"/>
      <c r="I133" s="1747">
        <f t="shared" si="21"/>
        <v>0</v>
      </c>
      <c r="J133" s="1807"/>
      <c r="K133" s="1816"/>
      <c r="L133" s="1866"/>
    </row>
    <row r="134" spans="1:12" hidden="1" outlineLevel="1" x14ac:dyDescent="0.25">
      <c r="A134" s="1843" t="s">
        <v>195</v>
      </c>
      <c r="B134" s="1823">
        <v>5139</v>
      </c>
      <c r="C134" s="1819"/>
      <c r="D134" s="1769"/>
      <c r="E134" s="1769"/>
      <c r="F134" s="1769"/>
      <c r="G134" s="1769"/>
      <c r="H134" s="1769"/>
      <c r="I134" s="1768">
        <f t="shared" si="21"/>
        <v>0</v>
      </c>
      <c r="J134" s="1807"/>
      <c r="K134" s="1816"/>
      <c r="L134" s="1866"/>
    </row>
    <row r="135" spans="1:12" ht="13.5" collapsed="1" thickBot="1" x14ac:dyDescent="0.3">
      <c r="A135" s="3166" t="s">
        <v>685</v>
      </c>
      <c r="B135" s="3167"/>
      <c r="C135" s="1855"/>
      <c r="D135" s="1748">
        <v>0</v>
      </c>
      <c r="E135" s="1748">
        <v>0</v>
      </c>
      <c r="F135" s="1748">
        <v>0</v>
      </c>
      <c r="G135" s="1748">
        <v>0</v>
      </c>
      <c r="H135" s="1748">
        <f t="shared" ref="H135" si="37">SUM(H133:H134)</f>
        <v>0</v>
      </c>
      <c r="I135" s="1749">
        <f t="shared" si="21"/>
        <v>0</v>
      </c>
      <c r="J135" s="1856">
        <f>'Výdaje kapitol celkem'!CP22</f>
        <v>0</v>
      </c>
      <c r="K135" s="1816">
        <f>+J135-H135</f>
        <v>0</v>
      </c>
      <c r="L135" s="1866"/>
    </row>
    <row r="136" spans="1:12" hidden="1" outlineLevel="1" x14ac:dyDescent="0.25">
      <c r="A136" s="1835" t="s">
        <v>499</v>
      </c>
      <c r="B136" s="1809">
        <v>5139</v>
      </c>
      <c r="C136" s="1810"/>
      <c r="D136" s="1744"/>
      <c r="E136" s="1744"/>
      <c r="F136" s="1744"/>
      <c r="G136" s="1744"/>
      <c r="H136" s="1744"/>
      <c r="I136" s="1745">
        <f t="shared" si="21"/>
        <v>0</v>
      </c>
      <c r="J136" s="1807"/>
      <c r="K136" s="1816"/>
      <c r="L136" s="1866"/>
    </row>
    <row r="137" spans="1:12" hidden="1" outlineLevel="1" x14ac:dyDescent="0.25">
      <c r="A137" s="1844" t="s">
        <v>499</v>
      </c>
      <c r="B137" s="1826">
        <v>5139</v>
      </c>
      <c r="C137" s="1824"/>
      <c r="D137" s="1773"/>
      <c r="E137" s="1773"/>
      <c r="F137" s="1773"/>
      <c r="G137" s="1773"/>
      <c r="H137" s="1773"/>
      <c r="I137" s="1751">
        <f t="shared" si="21"/>
        <v>0</v>
      </c>
      <c r="J137" s="1807"/>
      <c r="K137" s="1816"/>
      <c r="L137" s="1866"/>
    </row>
    <row r="138" spans="1:12" ht="13.5" collapsed="1" thickBot="1" x14ac:dyDescent="0.3">
      <c r="A138" s="3166" t="s">
        <v>1210</v>
      </c>
      <c r="B138" s="3167"/>
      <c r="C138" s="1855"/>
      <c r="D138" s="1748">
        <v>0</v>
      </c>
      <c r="E138" s="1748">
        <v>0</v>
      </c>
      <c r="F138" s="1748">
        <v>0</v>
      </c>
      <c r="G138" s="1748">
        <v>0</v>
      </c>
      <c r="H138" s="1748">
        <f t="shared" ref="H138" si="38">SUM(H136:H137)</f>
        <v>0</v>
      </c>
      <c r="I138" s="1749">
        <f t="shared" ref="I138:I164" si="39">+H138-G138</f>
        <v>0</v>
      </c>
      <c r="J138" s="1856">
        <f>'Výdaje kapitol celkem'!CZ22</f>
        <v>0</v>
      </c>
      <c r="K138" s="1816">
        <f>+J138-H138</f>
        <v>0</v>
      </c>
      <c r="L138" s="1866"/>
    </row>
    <row r="139" spans="1:12" hidden="1" outlineLevel="1" x14ac:dyDescent="0.25">
      <c r="A139" s="1835" t="s">
        <v>180</v>
      </c>
      <c r="B139" s="1809">
        <v>5139</v>
      </c>
      <c r="C139" s="1810"/>
      <c r="D139" s="1744"/>
      <c r="E139" s="1744"/>
      <c r="F139" s="1744"/>
      <c r="G139" s="1744"/>
      <c r="H139" s="1744"/>
      <c r="I139" s="1745">
        <f t="shared" si="39"/>
        <v>0</v>
      </c>
      <c r="J139" s="1807"/>
      <c r="K139" s="1816"/>
      <c r="L139" s="1866"/>
    </row>
    <row r="140" spans="1:12" hidden="1" outlineLevel="1" x14ac:dyDescent="0.25">
      <c r="A140" s="1841" t="s">
        <v>180</v>
      </c>
      <c r="B140" s="1818">
        <v>5139</v>
      </c>
      <c r="C140" s="1819"/>
      <c r="D140" s="1771"/>
      <c r="E140" s="1771"/>
      <c r="F140" s="1771"/>
      <c r="G140" s="1771"/>
      <c r="H140" s="1771"/>
      <c r="I140" s="1768">
        <f t="shared" si="39"/>
        <v>0</v>
      </c>
      <c r="J140" s="1807"/>
      <c r="K140" s="1816"/>
      <c r="L140" s="1866"/>
    </row>
    <row r="141" spans="1:12" hidden="1" outlineLevel="1" x14ac:dyDescent="0.25">
      <c r="A141" s="1844" t="s">
        <v>180</v>
      </c>
      <c r="B141" s="1826">
        <v>5139</v>
      </c>
      <c r="C141" s="1824"/>
      <c r="D141" s="1773"/>
      <c r="E141" s="1773"/>
      <c r="F141" s="1773"/>
      <c r="G141" s="1773"/>
      <c r="H141" s="1773"/>
      <c r="I141" s="1751">
        <f t="shared" si="39"/>
        <v>0</v>
      </c>
      <c r="J141" s="1807"/>
      <c r="K141" s="1816"/>
      <c r="L141" s="1866"/>
    </row>
    <row r="142" spans="1:12" ht="13.5" collapsed="1" thickBot="1" x14ac:dyDescent="0.3">
      <c r="A142" s="3166" t="s">
        <v>1211</v>
      </c>
      <c r="B142" s="3167"/>
      <c r="C142" s="1855"/>
      <c r="D142" s="1748">
        <v>0</v>
      </c>
      <c r="E142" s="1748">
        <v>0</v>
      </c>
      <c r="F142" s="1748">
        <v>0</v>
      </c>
      <c r="G142" s="1748">
        <v>0</v>
      </c>
      <c r="H142" s="1748">
        <f t="shared" ref="H142" si="40">SUM(H139:H141)</f>
        <v>0</v>
      </c>
      <c r="I142" s="1749">
        <f t="shared" si="39"/>
        <v>0</v>
      </c>
      <c r="J142" s="1856">
        <f>'Výdaje kapitol celkem'!DC22</f>
        <v>0</v>
      </c>
      <c r="K142" s="1816">
        <f>+J142-H142</f>
        <v>0</v>
      </c>
      <c r="L142" s="1866"/>
    </row>
    <row r="143" spans="1:12" hidden="1" outlineLevel="1" x14ac:dyDescent="0.25">
      <c r="A143" s="1835">
        <v>3729</v>
      </c>
      <c r="B143" s="1809">
        <v>5139</v>
      </c>
      <c r="C143" s="1810"/>
      <c r="D143" s="1744"/>
      <c r="E143" s="1744"/>
      <c r="F143" s="1744"/>
      <c r="G143" s="1744"/>
      <c r="H143" s="1744"/>
      <c r="I143" s="1745">
        <f t="shared" si="39"/>
        <v>0</v>
      </c>
      <c r="J143" s="1807"/>
      <c r="K143" s="1816"/>
      <c r="L143" s="1866"/>
    </row>
    <row r="144" spans="1:12" hidden="1" outlineLevel="1" x14ac:dyDescent="0.25">
      <c r="A144" s="1844">
        <v>3729</v>
      </c>
      <c r="B144" s="1826">
        <v>5139</v>
      </c>
      <c r="C144" s="1824"/>
      <c r="D144" s="1773"/>
      <c r="E144" s="1773"/>
      <c r="F144" s="1773"/>
      <c r="G144" s="1773"/>
      <c r="H144" s="1773"/>
      <c r="I144" s="1751">
        <f t="shared" si="39"/>
        <v>0</v>
      </c>
      <c r="J144" s="1807"/>
      <c r="K144" s="1816"/>
      <c r="L144" s="1866"/>
    </row>
    <row r="145" spans="1:12" ht="13.5" collapsed="1" thickBot="1" x14ac:dyDescent="0.3">
      <c r="A145" s="3166" t="s">
        <v>1212</v>
      </c>
      <c r="B145" s="3167"/>
      <c r="C145" s="1855"/>
      <c r="D145" s="1748">
        <v>0</v>
      </c>
      <c r="E145" s="1748">
        <v>0</v>
      </c>
      <c r="F145" s="1748">
        <v>0</v>
      </c>
      <c r="G145" s="1748">
        <v>0</v>
      </c>
      <c r="H145" s="1748">
        <f t="shared" ref="H145" si="41">SUM(H143:H144)</f>
        <v>0</v>
      </c>
      <c r="I145" s="1749">
        <f t="shared" si="39"/>
        <v>0</v>
      </c>
      <c r="J145" s="1856">
        <f>'Výdaje kapitol celkem'!DF22</f>
        <v>0</v>
      </c>
      <c r="K145" s="1816">
        <f>+J145-H145</f>
        <v>0</v>
      </c>
      <c r="L145" s="1866"/>
    </row>
    <row r="146" spans="1:12" hidden="1" outlineLevel="1" x14ac:dyDescent="0.25">
      <c r="A146" s="1835">
        <v>3744</v>
      </c>
      <c r="B146" s="1809">
        <v>5139</v>
      </c>
      <c r="C146" s="1810"/>
      <c r="D146" s="1744"/>
      <c r="E146" s="1744"/>
      <c r="F146" s="1744"/>
      <c r="G146" s="1744"/>
      <c r="H146" s="1744"/>
      <c r="I146" s="1745">
        <f t="shared" si="39"/>
        <v>0</v>
      </c>
      <c r="J146" s="1807"/>
      <c r="K146" s="1816"/>
      <c r="L146" s="1866"/>
    </row>
    <row r="147" spans="1:12" hidden="1" outlineLevel="1" x14ac:dyDescent="0.25">
      <c r="A147" s="1841">
        <v>3744</v>
      </c>
      <c r="B147" s="1818">
        <v>5139</v>
      </c>
      <c r="C147" s="1819"/>
      <c r="D147" s="1752"/>
      <c r="E147" s="1752"/>
      <c r="F147" s="1752"/>
      <c r="G147" s="1752"/>
      <c r="H147" s="1752"/>
      <c r="I147" s="1767">
        <f t="shared" si="39"/>
        <v>0</v>
      </c>
      <c r="J147" s="1807"/>
      <c r="K147" s="1816"/>
      <c r="L147" s="1866"/>
    </row>
    <row r="148" spans="1:12" hidden="1" outlineLevel="1" x14ac:dyDescent="0.25">
      <c r="A148" s="1844">
        <v>3744</v>
      </c>
      <c r="B148" s="1826">
        <v>5139</v>
      </c>
      <c r="C148" s="1824"/>
      <c r="D148" s="1773"/>
      <c r="E148" s="1773"/>
      <c r="F148" s="1773"/>
      <c r="G148" s="1773"/>
      <c r="H148" s="1773"/>
      <c r="I148" s="1751">
        <f t="shared" si="39"/>
        <v>0</v>
      </c>
      <c r="J148" s="1807"/>
      <c r="K148" s="1816"/>
      <c r="L148" s="1866"/>
    </row>
    <row r="149" spans="1:12" ht="13.5" collapsed="1" thickBot="1" x14ac:dyDescent="0.3">
      <c r="A149" s="3166" t="s">
        <v>1194</v>
      </c>
      <c r="B149" s="3167"/>
      <c r="C149" s="1855"/>
      <c r="D149" s="1748">
        <v>0</v>
      </c>
      <c r="E149" s="1748">
        <v>0</v>
      </c>
      <c r="F149" s="1748">
        <v>0</v>
      </c>
      <c r="G149" s="1748">
        <v>0</v>
      </c>
      <c r="H149" s="1748">
        <f t="shared" ref="H149" si="42">SUM(H146:H148)</f>
        <v>0</v>
      </c>
      <c r="I149" s="1749">
        <f t="shared" si="39"/>
        <v>0</v>
      </c>
      <c r="J149" s="1856">
        <f>'Výdaje kapitol celkem'!DI22</f>
        <v>0</v>
      </c>
      <c r="K149" s="1816">
        <f>+J149-H149</f>
        <v>0</v>
      </c>
      <c r="L149" s="1866"/>
    </row>
    <row r="150" spans="1:12" hidden="1" outlineLevel="1" x14ac:dyDescent="0.25">
      <c r="A150" s="1835" t="s">
        <v>295</v>
      </c>
      <c r="B150" s="1809">
        <v>5139</v>
      </c>
      <c r="C150" s="1810"/>
      <c r="D150" s="1744"/>
      <c r="E150" s="1744"/>
      <c r="F150" s="1744"/>
      <c r="G150" s="1744"/>
      <c r="H150" s="1744"/>
      <c r="I150" s="1745">
        <f t="shared" si="39"/>
        <v>0</v>
      </c>
      <c r="J150" s="1807"/>
      <c r="K150" s="1816"/>
      <c r="L150" s="1866"/>
    </row>
    <row r="151" spans="1:12" hidden="1" outlineLevel="1" x14ac:dyDescent="0.25">
      <c r="A151" s="1844" t="s">
        <v>295</v>
      </c>
      <c r="B151" s="1826">
        <v>5139</v>
      </c>
      <c r="C151" s="1813"/>
      <c r="D151" s="1753"/>
      <c r="E151" s="1753"/>
      <c r="F151" s="1753"/>
      <c r="G151" s="1753"/>
      <c r="H151" s="1753"/>
      <c r="I151" s="1751">
        <f t="shared" si="39"/>
        <v>0</v>
      </c>
      <c r="J151" s="1807"/>
      <c r="K151" s="1816"/>
      <c r="L151" s="1866"/>
    </row>
    <row r="152" spans="1:12" ht="13.5" collapsed="1" thickBot="1" x14ac:dyDescent="0.3">
      <c r="A152" s="3166" t="s">
        <v>1195</v>
      </c>
      <c r="B152" s="3167"/>
      <c r="C152" s="1855"/>
      <c r="D152" s="1748">
        <v>0</v>
      </c>
      <c r="E152" s="1748">
        <v>0</v>
      </c>
      <c r="F152" s="1748">
        <v>0</v>
      </c>
      <c r="G152" s="1748">
        <v>0</v>
      </c>
      <c r="H152" s="1748">
        <f t="shared" ref="H152" si="43">SUM(H150:H151)</f>
        <v>0</v>
      </c>
      <c r="I152" s="1749">
        <f t="shared" si="39"/>
        <v>0</v>
      </c>
      <c r="J152" s="1856">
        <f>'Výdaje kapitol celkem'!DN22</f>
        <v>0</v>
      </c>
      <c r="K152" s="1816">
        <f>+J152-H152</f>
        <v>0</v>
      </c>
      <c r="L152" s="1866"/>
    </row>
    <row r="153" spans="1:12" hidden="1" outlineLevel="1" x14ac:dyDescent="0.25">
      <c r="A153" s="1835" t="s">
        <v>181</v>
      </c>
      <c r="B153" s="1809">
        <v>5139</v>
      </c>
      <c r="C153" s="1810"/>
      <c r="D153" s="1744"/>
      <c r="E153" s="1744"/>
      <c r="F153" s="1744"/>
      <c r="G153" s="1744"/>
      <c r="H153" s="1744"/>
      <c r="I153" s="1745">
        <f t="shared" si="39"/>
        <v>0</v>
      </c>
      <c r="J153" s="1807"/>
      <c r="K153" s="1816"/>
      <c r="L153" s="1866"/>
    </row>
    <row r="154" spans="1:12" hidden="1" outlineLevel="1" x14ac:dyDescent="0.25">
      <c r="A154" s="1844" t="s">
        <v>181</v>
      </c>
      <c r="B154" s="1826">
        <v>5139</v>
      </c>
      <c r="C154" s="1824"/>
      <c r="D154" s="1773"/>
      <c r="E154" s="1773"/>
      <c r="F154" s="1773"/>
      <c r="G154" s="1773"/>
      <c r="H154" s="1773"/>
      <c r="I154" s="1751">
        <f t="shared" si="39"/>
        <v>0</v>
      </c>
      <c r="J154" s="1807"/>
      <c r="K154" s="1816"/>
      <c r="L154" s="1866"/>
    </row>
    <row r="155" spans="1:12" ht="13.5" collapsed="1" thickBot="1" x14ac:dyDescent="0.3">
      <c r="A155" s="3166" t="s">
        <v>1213</v>
      </c>
      <c r="B155" s="3167"/>
      <c r="C155" s="1855"/>
      <c r="D155" s="1748">
        <v>0</v>
      </c>
      <c r="E155" s="1748">
        <v>0</v>
      </c>
      <c r="F155" s="1748">
        <v>0</v>
      </c>
      <c r="G155" s="1748">
        <v>0</v>
      </c>
      <c r="H155" s="1748">
        <f t="shared" ref="H155" si="44">SUM(H153:H154)</f>
        <v>0</v>
      </c>
      <c r="I155" s="1749">
        <f t="shared" si="39"/>
        <v>0</v>
      </c>
      <c r="J155" s="1856">
        <f>'Výdaje kapitol celkem'!DU22</f>
        <v>0</v>
      </c>
      <c r="K155" s="1816">
        <f>+J155-H155</f>
        <v>0</v>
      </c>
      <c r="L155" s="1866"/>
    </row>
    <row r="156" spans="1:12" outlineLevel="1" x14ac:dyDescent="0.25">
      <c r="A156" s="1835">
        <v>3114</v>
      </c>
      <c r="B156" s="1809">
        <v>5139</v>
      </c>
      <c r="C156" s="1810" t="s">
        <v>2305</v>
      </c>
      <c r="D156" s="1744">
        <v>30000</v>
      </c>
      <c r="E156" s="1744">
        <v>30000</v>
      </c>
      <c r="F156" s="1744">
        <v>30000</v>
      </c>
      <c r="G156" s="1744">
        <v>30000</v>
      </c>
      <c r="H156" s="1744">
        <f>+[3]č.p.65!$B$12</f>
        <v>30000</v>
      </c>
      <c r="I156" s="1745">
        <f t="shared" si="39"/>
        <v>0</v>
      </c>
      <c r="J156" s="1807"/>
      <c r="K156" s="1816"/>
      <c r="L156" s="1866"/>
    </row>
    <row r="157" spans="1:12" outlineLevel="1" x14ac:dyDescent="0.25">
      <c r="A157" s="1841">
        <v>3114</v>
      </c>
      <c r="B157" s="1818">
        <v>5139</v>
      </c>
      <c r="C157" s="1819"/>
      <c r="D157" s="1752">
        <v>0</v>
      </c>
      <c r="E157" s="1752">
        <v>0</v>
      </c>
      <c r="F157" s="1752">
        <v>0</v>
      </c>
      <c r="G157" s="1752">
        <v>0</v>
      </c>
      <c r="H157" s="1752">
        <f>+[3]č.p.65!$B$13</f>
        <v>0</v>
      </c>
      <c r="I157" s="1768">
        <f t="shared" si="39"/>
        <v>0</v>
      </c>
      <c r="J157" s="1807"/>
      <c r="K157" s="1816"/>
      <c r="L157" s="1866"/>
    </row>
    <row r="158" spans="1:12" outlineLevel="1" x14ac:dyDescent="0.25">
      <c r="A158" s="1844">
        <v>3114</v>
      </c>
      <c r="B158" s="1826">
        <v>5139</v>
      </c>
      <c r="C158" s="1824"/>
      <c r="D158" s="1753"/>
      <c r="E158" s="1753"/>
      <c r="F158" s="1753"/>
      <c r="G158" s="1753"/>
      <c r="H158" s="1753"/>
      <c r="I158" s="1768">
        <f t="shared" si="39"/>
        <v>0</v>
      </c>
      <c r="J158" s="1807"/>
      <c r="K158" s="1816"/>
      <c r="L158" s="1866"/>
    </row>
    <row r="159" spans="1:12" ht="13.5" thickBot="1" x14ac:dyDescent="0.3">
      <c r="A159" s="3166" t="s">
        <v>211</v>
      </c>
      <c r="B159" s="3167"/>
      <c r="C159" s="1855"/>
      <c r="D159" s="1748">
        <v>30000</v>
      </c>
      <c r="E159" s="1748">
        <v>30000</v>
      </c>
      <c r="F159" s="1748">
        <v>30000</v>
      </c>
      <c r="G159" s="1748">
        <v>30000</v>
      </c>
      <c r="H159" s="1748">
        <f t="shared" ref="H159" si="45">SUM(H156:H158)</f>
        <v>30000</v>
      </c>
      <c r="I159" s="1749">
        <f t="shared" si="39"/>
        <v>0</v>
      </c>
      <c r="J159" s="1856">
        <f>'Výdaje kapitol celkem'!BI22</f>
        <v>30000</v>
      </c>
      <c r="K159" s="1816">
        <f>+J159-H159</f>
        <v>0</v>
      </c>
      <c r="L159" s="1866"/>
    </row>
    <row r="160" spans="1:12" hidden="1" outlineLevel="1" x14ac:dyDescent="0.25">
      <c r="A160" s="1835" t="s">
        <v>197</v>
      </c>
      <c r="B160" s="1809">
        <v>5139</v>
      </c>
      <c r="C160" s="1810"/>
      <c r="D160" s="1744"/>
      <c r="E160" s="1744"/>
      <c r="F160" s="1744"/>
      <c r="G160" s="1744"/>
      <c r="H160" s="1744"/>
      <c r="I160" s="1745">
        <f t="shared" si="39"/>
        <v>0</v>
      </c>
      <c r="J160" s="1807"/>
      <c r="K160" s="1816"/>
      <c r="L160" s="1866"/>
    </row>
    <row r="161" spans="1:12" hidden="1" outlineLevel="1" x14ac:dyDescent="0.25">
      <c r="A161" s="1841" t="s">
        <v>197</v>
      </c>
      <c r="B161" s="1818">
        <v>5139</v>
      </c>
      <c r="C161" s="1819"/>
      <c r="D161" s="1752"/>
      <c r="E161" s="1752"/>
      <c r="F161" s="1752"/>
      <c r="G161" s="1752"/>
      <c r="H161" s="1752"/>
      <c r="I161" s="1767">
        <f t="shared" si="39"/>
        <v>0</v>
      </c>
      <c r="J161" s="1807"/>
      <c r="K161" s="1816"/>
      <c r="L161" s="1866"/>
    </row>
    <row r="162" spans="1:12" hidden="1" outlineLevel="1" x14ac:dyDescent="0.25">
      <c r="A162" s="1836" t="s">
        <v>197</v>
      </c>
      <c r="B162" s="1812">
        <v>5139</v>
      </c>
      <c r="C162" s="1813"/>
      <c r="D162" s="1750"/>
      <c r="E162" s="1750"/>
      <c r="F162" s="1750"/>
      <c r="G162" s="1750"/>
      <c r="H162" s="1750"/>
      <c r="I162" s="1751">
        <f t="shared" si="39"/>
        <v>0</v>
      </c>
      <c r="J162" s="1807"/>
      <c r="K162" s="1816"/>
      <c r="L162" s="1866"/>
    </row>
    <row r="163" spans="1:12" ht="13.5" collapsed="1" thickBot="1" x14ac:dyDescent="0.3">
      <c r="A163" s="3166" t="s">
        <v>1214</v>
      </c>
      <c r="B163" s="3167"/>
      <c r="C163" s="1855"/>
      <c r="D163" s="1748">
        <v>0</v>
      </c>
      <c r="E163" s="1748">
        <v>0</v>
      </c>
      <c r="F163" s="1748">
        <v>0</v>
      </c>
      <c r="G163" s="1748">
        <v>0</v>
      </c>
      <c r="H163" s="1748">
        <f t="shared" ref="H163" si="46">SUM(H160:H162)</f>
        <v>0</v>
      </c>
      <c r="I163" s="1749">
        <f t="shared" si="39"/>
        <v>0</v>
      </c>
      <c r="J163" s="1856">
        <f>'Výdaje kapitol celkem'!CM22</f>
        <v>0</v>
      </c>
      <c r="K163" s="1816">
        <f>+J163-H163</f>
        <v>0</v>
      </c>
      <c r="L163" s="1866"/>
    </row>
    <row r="164" spans="1:12" s="1029" customFormat="1" ht="13.5" thickBot="1" x14ac:dyDescent="0.3">
      <c r="A164" s="3170" t="s">
        <v>731</v>
      </c>
      <c r="B164" s="3171"/>
      <c r="C164" s="3172"/>
      <c r="D164" s="1862">
        <v>2984000</v>
      </c>
      <c r="E164" s="1862">
        <v>3034000</v>
      </c>
      <c r="F164" s="1862">
        <v>3034000</v>
      </c>
      <c r="G164" s="1862">
        <v>3034000</v>
      </c>
      <c r="H164" s="1862">
        <f>+H7+H10+H22+H25+H28+H31+H34+H37+H39+H43+H46+H50+H56+H61+H64+H73+H77+H80+H85+H88+H91+H94+H98+H101+H104+H107+H114+H117+H120+H124+H128+H132+H135+H138+H142+H145+H149+H152+H155+H159+H163+H18+H69+H53+H14</f>
        <v>3041687.17</v>
      </c>
      <c r="I164" s="1863">
        <f t="shared" si="39"/>
        <v>7687.1699999999255</v>
      </c>
      <c r="J164" s="1807"/>
      <c r="K164" s="1827"/>
      <c r="L164" s="1866"/>
    </row>
    <row r="165" spans="1:12" x14ac:dyDescent="0.25">
      <c r="A165" s="1801"/>
      <c r="B165" s="1801"/>
      <c r="C165" s="1801"/>
      <c r="D165" s="1776">
        <v>2984000</v>
      </c>
      <c r="E165" s="1776">
        <v>3034000</v>
      </c>
      <c r="F165" s="1776">
        <v>3034000</v>
      </c>
      <c r="G165" s="1776">
        <v>3034000</v>
      </c>
      <c r="H165" s="1776">
        <f>'Výdaje kapitol celkem'!G22</f>
        <v>3041687.17</v>
      </c>
      <c r="I165" s="1764"/>
      <c r="J165" s="1807"/>
      <c r="K165" s="1803"/>
    </row>
    <row r="166" spans="1:12" s="1031" customFormat="1" x14ac:dyDescent="0.25">
      <c r="A166" s="1829"/>
      <c r="B166" s="1829"/>
      <c r="C166" s="1829" t="s">
        <v>216</v>
      </c>
      <c r="D166" s="1764">
        <v>0</v>
      </c>
      <c r="E166" s="1764">
        <v>0</v>
      </c>
      <c r="F166" s="1764">
        <v>0</v>
      </c>
      <c r="G166" s="1764">
        <v>0</v>
      </c>
      <c r="H166" s="1764">
        <f>+H165-H164</f>
        <v>0</v>
      </c>
      <c r="I166" s="1764"/>
      <c r="J166" s="1807"/>
      <c r="K166" s="1803"/>
      <c r="L166" s="1871"/>
    </row>
    <row r="167" spans="1:12" x14ac:dyDescent="0.25">
      <c r="A167" s="1847" t="s">
        <v>544</v>
      </c>
      <c r="B167" s="1801"/>
      <c r="C167" s="1801"/>
      <c r="D167" s="1776"/>
      <c r="E167" s="1776"/>
      <c r="F167" s="1776"/>
      <c r="G167" s="1776"/>
      <c r="H167" s="1776"/>
      <c r="I167" s="1764"/>
      <c r="J167" s="1807"/>
      <c r="K167" s="1803"/>
    </row>
  </sheetData>
  <sheetProtection algorithmName="SHA-512" hashValue="/5fAqJxqtay2/p4qF5SY4jHJk6zx3vHJYmqT68JN9wL7gOx903YtC5lFrZb59fKHnuVID/h6nS8jOzTNJ/1pbA==" saltValue="6iVIYcWC1pHDzkCyaxJosA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7">
    <mergeCell ref="A2:C2"/>
    <mergeCell ref="A164:C164"/>
    <mergeCell ref="A163:B163"/>
    <mergeCell ref="A159:B159"/>
    <mergeCell ref="A155:B155"/>
    <mergeCell ref="A152:B152"/>
    <mergeCell ref="A149:B149"/>
    <mergeCell ref="A145:B145"/>
    <mergeCell ref="A142:B142"/>
    <mergeCell ref="A138:B138"/>
    <mergeCell ref="A135:B135"/>
    <mergeCell ref="A132:B132"/>
    <mergeCell ref="A128:B128"/>
    <mergeCell ref="A124:B124"/>
    <mergeCell ref="A120:B120"/>
    <mergeCell ref="A117:B117"/>
    <mergeCell ref="A114:B114"/>
    <mergeCell ref="A107:B107"/>
    <mergeCell ref="A104:B104"/>
    <mergeCell ref="A101:B101"/>
    <mergeCell ref="A98:B98"/>
    <mergeCell ref="A94:B94"/>
    <mergeCell ref="A91:B91"/>
    <mergeCell ref="A88:B88"/>
    <mergeCell ref="A85:B85"/>
    <mergeCell ref="A80:B80"/>
    <mergeCell ref="A77:B77"/>
    <mergeCell ref="A73:B73"/>
    <mergeCell ref="A69:B69"/>
    <mergeCell ref="A64:B64"/>
    <mergeCell ref="A61:B61"/>
    <mergeCell ref="A56:B56"/>
    <mergeCell ref="A50:B50"/>
    <mergeCell ref="A46:B46"/>
    <mergeCell ref="A43:B43"/>
    <mergeCell ref="A39:B39"/>
    <mergeCell ref="A53:B53"/>
    <mergeCell ref="A22:B22"/>
    <mergeCell ref="A18:B18"/>
    <mergeCell ref="A10:B10"/>
    <mergeCell ref="A7:B7"/>
    <mergeCell ref="A37:B37"/>
    <mergeCell ref="A34:B34"/>
    <mergeCell ref="A31:B31"/>
    <mergeCell ref="A28:B28"/>
    <mergeCell ref="A25:B25"/>
    <mergeCell ref="A14:B14"/>
  </mergeCells>
  <pageMargins left="0.70866141732283472" right="0.70866141732283472" top="0.19685039370078741" bottom="0.19685039370078741" header="0.31496062992125984" footer="0.31496062992125984"/>
  <pageSetup paperSize="9" scale="85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9" zoomScaleNormal="89" workbookViewId="0">
      <selection activeCell="G55" sqref="G55"/>
    </sheetView>
  </sheetViews>
  <sheetFormatPr defaultColWidth="9" defaultRowHeight="12.75" outlineLevelRow="1" x14ac:dyDescent="0.25"/>
  <cols>
    <col min="1" max="1" width="17.28515625" style="1831" customWidth="1"/>
    <col min="2" max="2" width="5.85546875" style="1831" bestFit="1" customWidth="1"/>
    <col min="3" max="3" width="63.7109375" style="1831" customWidth="1"/>
    <col min="4" max="6" width="10.28515625" style="1777" hidden="1" customWidth="1"/>
    <col min="7" max="7" width="11.42578125" style="1777" customWidth="1"/>
    <col min="8" max="8" width="11.85546875" style="1777" customWidth="1"/>
    <col min="9" max="9" width="9.5703125" style="1778" customWidth="1"/>
    <col min="10" max="10" width="12.85546875" style="1858" bestFit="1" customWidth="1"/>
    <col min="11" max="11" width="11.28515625" style="1833" bestFit="1" customWidth="1"/>
    <col min="12" max="16384" width="9" style="1026"/>
  </cols>
  <sheetData>
    <row r="1" spans="1:12" s="1018" customFormat="1" ht="24" customHeight="1" x14ac:dyDescent="0.25">
      <c r="A1" s="1859" t="s">
        <v>2163</v>
      </c>
      <c r="B1" s="1859"/>
      <c r="C1" s="1759"/>
      <c r="D1" s="1759"/>
      <c r="E1" s="1759"/>
      <c r="F1" s="1759"/>
      <c r="G1" s="1759"/>
      <c r="H1" s="1759"/>
      <c r="I1" s="1760"/>
      <c r="J1" s="1853"/>
      <c r="K1" s="1797"/>
    </row>
    <row r="2" spans="1:12" s="1021" customFormat="1" ht="20.25" customHeight="1" x14ac:dyDescent="0.25">
      <c r="A2" s="3168" t="s">
        <v>1164</v>
      </c>
      <c r="B2" s="3168"/>
      <c r="C2" s="3169"/>
      <c r="D2" s="1761"/>
      <c r="E2" s="1761"/>
      <c r="F2" s="1761"/>
      <c r="G2" s="1761"/>
      <c r="H2" s="1761"/>
      <c r="I2" s="1762"/>
      <c r="J2" s="1854"/>
      <c r="K2" s="1799"/>
    </row>
    <row r="3" spans="1:12" ht="13.5" thickBot="1" x14ac:dyDescent="0.3">
      <c r="A3" s="1801"/>
      <c r="B3" s="1801"/>
      <c r="C3" s="1801"/>
      <c r="D3" s="1763"/>
      <c r="E3" s="1763"/>
      <c r="F3" s="1763"/>
      <c r="G3" s="1763"/>
      <c r="H3" s="1763"/>
      <c r="I3" s="1764"/>
      <c r="J3" s="1807"/>
      <c r="K3" s="1803"/>
    </row>
    <row r="4" spans="1:12" ht="13.5" thickBot="1" x14ac:dyDescent="0.3">
      <c r="A4" s="1804" t="s">
        <v>1</v>
      </c>
      <c r="B4" s="1805" t="s">
        <v>63</v>
      </c>
      <c r="C4" s="1806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/>
      <c r="K4" s="1803" t="s">
        <v>707</v>
      </c>
    </row>
    <row r="5" spans="1:12" outlineLevel="1" x14ac:dyDescent="0.25">
      <c r="A5" s="1835">
        <v>6171</v>
      </c>
      <c r="B5" s="1809">
        <v>5153</v>
      </c>
      <c r="C5" s="1810"/>
      <c r="D5" s="1744">
        <v>0</v>
      </c>
      <c r="E5" s="1744">
        <v>0</v>
      </c>
      <c r="F5" s="1744">
        <v>0</v>
      </c>
      <c r="G5" s="1744">
        <v>0</v>
      </c>
      <c r="H5" s="1744">
        <f>+[2]Správa!$B$12</f>
        <v>0</v>
      </c>
      <c r="I5" s="1745">
        <f>+H5-G5</f>
        <v>0</v>
      </c>
      <c r="J5" s="1807"/>
      <c r="K5" s="1803"/>
    </row>
    <row r="6" spans="1:12" outlineLevel="1" x14ac:dyDescent="0.25">
      <c r="A6" s="1836">
        <v>6171</v>
      </c>
      <c r="B6" s="1812">
        <v>5153</v>
      </c>
      <c r="C6" s="1813">
        <v>0</v>
      </c>
      <c r="D6" s="1746">
        <v>682500</v>
      </c>
      <c r="E6" s="1746">
        <v>682500</v>
      </c>
      <c r="F6" s="1746">
        <v>682500</v>
      </c>
      <c r="G6" s="1746">
        <v>682500</v>
      </c>
      <c r="H6" s="1746">
        <f>+[2]Správa!$B$13</f>
        <v>682500</v>
      </c>
      <c r="I6" s="1747">
        <f t="shared" ref="I6:I36" si="0">+H6-G6</f>
        <v>0</v>
      </c>
      <c r="J6" s="1807"/>
      <c r="K6" s="1803"/>
    </row>
    <row r="7" spans="1:12" outlineLevel="1" x14ac:dyDescent="0.25">
      <c r="A7" s="1836">
        <v>6171</v>
      </c>
      <c r="B7" s="1812">
        <v>5153</v>
      </c>
      <c r="C7" s="1813"/>
      <c r="D7" s="1746"/>
      <c r="E7" s="1746"/>
      <c r="F7" s="1746"/>
      <c r="G7" s="1746"/>
      <c r="H7" s="1746"/>
      <c r="I7" s="1747">
        <f t="shared" si="0"/>
        <v>0</v>
      </c>
      <c r="J7" s="1807"/>
      <c r="K7" s="1803"/>
    </row>
    <row r="8" spans="1:12" s="1029" customFormat="1" ht="13.5" thickBot="1" x14ac:dyDescent="0.3">
      <c r="A8" s="3166" t="s">
        <v>212</v>
      </c>
      <c r="B8" s="3167"/>
      <c r="C8" s="1855"/>
      <c r="D8" s="1748">
        <v>682500</v>
      </c>
      <c r="E8" s="1748">
        <v>682500</v>
      </c>
      <c r="F8" s="1748">
        <v>682500</v>
      </c>
      <c r="G8" s="1748">
        <v>682500</v>
      </c>
      <c r="H8" s="1748">
        <f>SUM(H5:H7)</f>
        <v>682500</v>
      </c>
      <c r="I8" s="1749">
        <f t="shared" si="0"/>
        <v>0</v>
      </c>
      <c r="J8" s="1856">
        <f>'Výdaje kapitol celkem'!Q24</f>
        <v>682500</v>
      </c>
      <c r="K8" s="1816">
        <f>+J8-H8</f>
        <v>0</v>
      </c>
      <c r="L8" s="1028"/>
    </row>
    <row r="9" spans="1:12" outlineLevel="1" x14ac:dyDescent="0.25">
      <c r="A9" s="1835">
        <v>3314</v>
      </c>
      <c r="B9" s="1809">
        <v>5153</v>
      </c>
      <c r="C9" s="1810"/>
      <c r="D9" s="1744">
        <v>9750</v>
      </c>
      <c r="E9" s="1744">
        <v>9750</v>
      </c>
      <c r="F9" s="1744">
        <v>9750</v>
      </c>
      <c r="G9" s="1744">
        <v>9750</v>
      </c>
      <c r="H9" s="1744">
        <f>+[2]Knihovna!$B$12</f>
        <v>9750</v>
      </c>
      <c r="I9" s="1745">
        <f t="shared" si="0"/>
        <v>0</v>
      </c>
      <c r="J9" s="1807"/>
      <c r="K9" s="1816"/>
      <c r="L9" s="1028"/>
    </row>
    <row r="10" spans="1:12" outlineLevel="1" x14ac:dyDescent="0.25">
      <c r="A10" s="1836">
        <v>3314</v>
      </c>
      <c r="B10" s="1812">
        <v>5153</v>
      </c>
      <c r="C10" s="1813">
        <v>0</v>
      </c>
      <c r="D10" s="1746">
        <v>0</v>
      </c>
      <c r="E10" s="1746">
        <v>0</v>
      </c>
      <c r="F10" s="1746">
        <v>0</v>
      </c>
      <c r="G10" s="1746">
        <v>0</v>
      </c>
      <c r="H10" s="1746">
        <f>+[2]Knihovna!$B$13</f>
        <v>0</v>
      </c>
      <c r="I10" s="1751">
        <f t="shared" si="0"/>
        <v>0</v>
      </c>
      <c r="J10" s="1807"/>
      <c r="K10" s="1816"/>
      <c r="L10" s="1028"/>
    </row>
    <row r="11" spans="1:12" s="1029" customFormat="1" ht="13.5" thickBot="1" x14ac:dyDescent="0.3">
      <c r="A11" s="3166" t="s">
        <v>1177</v>
      </c>
      <c r="B11" s="3167"/>
      <c r="C11" s="1855"/>
      <c r="D11" s="1748">
        <v>9750</v>
      </c>
      <c r="E11" s="1748">
        <v>9750</v>
      </c>
      <c r="F11" s="1748">
        <v>9750</v>
      </c>
      <c r="G11" s="1748">
        <v>9750</v>
      </c>
      <c r="H11" s="1748">
        <f>SUM(H9:H10)</f>
        <v>9750</v>
      </c>
      <c r="I11" s="1749">
        <f t="shared" si="0"/>
        <v>0</v>
      </c>
      <c r="J11" s="1856">
        <f>'Výdaje kapitol celkem'!AB24</f>
        <v>9750</v>
      </c>
      <c r="K11" s="1816">
        <f>+J11-H11</f>
        <v>0</v>
      </c>
      <c r="L11" s="1028"/>
    </row>
    <row r="12" spans="1:12" outlineLevel="1" x14ac:dyDescent="0.25">
      <c r="A12" s="1835">
        <v>3612</v>
      </c>
      <c r="B12" s="1809">
        <v>5153</v>
      </c>
      <c r="C12" s="1810"/>
      <c r="D12" s="1744">
        <v>234000</v>
      </c>
      <c r="E12" s="1744">
        <v>234000</v>
      </c>
      <c r="F12" s="1744">
        <v>234000</v>
      </c>
      <c r="G12" s="1744">
        <v>234000</v>
      </c>
      <c r="H12" s="1744">
        <f>+[2]Byty!$B$12</f>
        <v>234000</v>
      </c>
      <c r="I12" s="1745">
        <f t="shared" si="0"/>
        <v>0</v>
      </c>
      <c r="J12" s="1807"/>
      <c r="K12" s="1816"/>
      <c r="L12" s="1028"/>
    </row>
    <row r="13" spans="1:12" outlineLevel="1" x14ac:dyDescent="0.25">
      <c r="A13" s="1836">
        <v>3612</v>
      </c>
      <c r="B13" s="1812">
        <v>5153</v>
      </c>
      <c r="C13" s="1813">
        <v>0</v>
      </c>
      <c r="D13" s="1746">
        <v>0</v>
      </c>
      <c r="E13" s="1746">
        <v>0</v>
      </c>
      <c r="F13" s="1746">
        <v>0</v>
      </c>
      <c r="G13" s="1746">
        <v>0</v>
      </c>
      <c r="H13" s="1746">
        <f>+[2]Byty!$B$13</f>
        <v>0</v>
      </c>
      <c r="I13" s="1747">
        <f t="shared" si="0"/>
        <v>0</v>
      </c>
      <c r="J13" s="1807"/>
      <c r="K13" s="1816"/>
      <c r="L13" s="1028"/>
    </row>
    <row r="14" spans="1:12" s="1029" customFormat="1" ht="13.5" thickBot="1" x14ac:dyDescent="0.3">
      <c r="A14" s="3166" t="s">
        <v>199</v>
      </c>
      <c r="B14" s="3167"/>
      <c r="C14" s="1855"/>
      <c r="D14" s="1748">
        <v>234000</v>
      </c>
      <c r="E14" s="1748">
        <v>234000</v>
      </c>
      <c r="F14" s="1748">
        <v>234000</v>
      </c>
      <c r="G14" s="1748">
        <v>234000</v>
      </c>
      <c r="H14" s="1748">
        <f>SUM(H12:H13)</f>
        <v>234000</v>
      </c>
      <c r="I14" s="1749">
        <f t="shared" si="0"/>
        <v>0</v>
      </c>
      <c r="J14" s="1856">
        <f>'Výdaje kapitol celkem'!AE24</f>
        <v>234000</v>
      </c>
      <c r="K14" s="1816">
        <f>+J14-H14</f>
        <v>0</v>
      </c>
      <c r="L14" s="1028"/>
    </row>
    <row r="15" spans="1:12" outlineLevel="1" x14ac:dyDescent="0.25">
      <c r="A15" s="1841" t="s">
        <v>198</v>
      </c>
      <c r="B15" s="1818">
        <v>5153</v>
      </c>
      <c r="C15" s="1819"/>
      <c r="D15" s="1752">
        <v>1815000</v>
      </c>
      <c r="E15" s="1752">
        <v>1815000</v>
      </c>
      <c r="F15" s="1752">
        <v>1815000</v>
      </c>
      <c r="G15" s="1752">
        <v>1815000</v>
      </c>
      <c r="H15" s="1752">
        <f>+[2]DPS!$B$12</f>
        <v>1815000</v>
      </c>
      <c r="I15" s="1767">
        <f t="shared" si="0"/>
        <v>0</v>
      </c>
      <c r="J15" s="1807"/>
      <c r="K15" s="1816"/>
      <c r="L15" s="1028"/>
    </row>
    <row r="16" spans="1:12" outlineLevel="1" x14ac:dyDescent="0.25">
      <c r="A16" s="1841" t="s">
        <v>198</v>
      </c>
      <c r="B16" s="1818">
        <v>5153</v>
      </c>
      <c r="C16" s="1819">
        <v>0</v>
      </c>
      <c r="D16" s="1752">
        <v>0</v>
      </c>
      <c r="E16" s="1752">
        <v>0</v>
      </c>
      <c r="F16" s="1752">
        <v>0</v>
      </c>
      <c r="G16" s="1752">
        <v>0</v>
      </c>
      <c r="H16" s="1752">
        <f>+[2]DPS!$B$13</f>
        <v>0</v>
      </c>
      <c r="I16" s="1767">
        <f t="shared" si="0"/>
        <v>0</v>
      </c>
      <c r="J16" s="1807"/>
      <c r="K16" s="1816"/>
      <c r="L16" s="1028"/>
    </row>
    <row r="17" spans="1:12" ht="13.5" thickBot="1" x14ac:dyDescent="0.3">
      <c r="A17" s="3166" t="s">
        <v>200</v>
      </c>
      <c r="B17" s="3167"/>
      <c r="C17" s="1855"/>
      <c r="D17" s="1748">
        <v>1815000</v>
      </c>
      <c r="E17" s="1748">
        <v>1815000</v>
      </c>
      <c r="F17" s="1748">
        <v>1815000</v>
      </c>
      <c r="G17" s="1748">
        <v>1815000</v>
      </c>
      <c r="H17" s="1748">
        <f>SUM(H15:H16)</f>
        <v>1815000</v>
      </c>
      <c r="I17" s="1749">
        <f t="shared" si="0"/>
        <v>0</v>
      </c>
      <c r="J17" s="1856">
        <f>'Výdaje kapitol celkem'!AH24</f>
        <v>1815000</v>
      </c>
      <c r="K17" s="1816">
        <f>+J17-H17</f>
        <v>0</v>
      </c>
      <c r="L17" s="1028"/>
    </row>
    <row r="18" spans="1:12" outlineLevel="1" x14ac:dyDescent="0.25">
      <c r="A18" s="1836" t="s">
        <v>1253</v>
      </c>
      <c r="B18" s="1812">
        <v>5153</v>
      </c>
      <c r="C18" s="1813"/>
      <c r="D18" s="1746">
        <v>343200</v>
      </c>
      <c r="E18" s="1746">
        <v>343200</v>
      </c>
      <c r="F18" s="1746">
        <v>343200</v>
      </c>
      <c r="G18" s="1746">
        <v>343200</v>
      </c>
      <c r="H18" s="1746">
        <f>+'[2]Hotel Budka'!$B$12</f>
        <v>343200</v>
      </c>
      <c r="I18" s="1751">
        <f t="shared" si="0"/>
        <v>0</v>
      </c>
      <c r="J18" s="1807"/>
      <c r="K18" s="1816"/>
      <c r="L18" s="1028"/>
    </row>
    <row r="19" spans="1:12" outlineLevel="1" x14ac:dyDescent="0.25">
      <c r="A19" s="1841" t="s">
        <v>1253</v>
      </c>
      <c r="B19" s="1818">
        <v>5153</v>
      </c>
      <c r="C19" s="1819"/>
      <c r="D19" s="1752">
        <v>0</v>
      </c>
      <c r="E19" s="1752">
        <v>0</v>
      </c>
      <c r="F19" s="1752">
        <v>0</v>
      </c>
      <c r="G19" s="1752">
        <v>0</v>
      </c>
      <c r="H19" s="1752">
        <f>+'[2]Hotel Budka'!$B$13</f>
        <v>0</v>
      </c>
      <c r="I19" s="1768">
        <f t="shared" si="0"/>
        <v>0</v>
      </c>
      <c r="J19" s="1807"/>
      <c r="K19" s="1816"/>
      <c r="L19" s="1028"/>
    </row>
    <row r="20" spans="1:12" ht="13.5" thickBot="1" x14ac:dyDescent="0.3">
      <c r="A20" s="3166" t="s">
        <v>1441</v>
      </c>
      <c r="B20" s="3167"/>
      <c r="C20" s="1855"/>
      <c r="D20" s="1748">
        <v>343200</v>
      </c>
      <c r="E20" s="1748">
        <v>343200</v>
      </c>
      <c r="F20" s="1748">
        <v>343200</v>
      </c>
      <c r="G20" s="1748">
        <v>343200</v>
      </c>
      <c r="H20" s="1748">
        <f>SUM(H18:H19)</f>
        <v>343200</v>
      </c>
      <c r="I20" s="1749">
        <f t="shared" si="0"/>
        <v>0</v>
      </c>
      <c r="J20" s="1856">
        <f>'Výdaje kapitol celkem'!AA24</f>
        <v>343200</v>
      </c>
      <c r="K20" s="1816">
        <f>+J20-H20</f>
        <v>0</v>
      </c>
      <c r="L20" s="1028"/>
    </row>
    <row r="21" spans="1:12" outlineLevel="1" x14ac:dyDescent="0.25">
      <c r="A21" s="1836">
        <v>3613</v>
      </c>
      <c r="B21" s="1812">
        <v>5153</v>
      </c>
      <c r="C21" s="1813"/>
      <c r="D21" s="1746">
        <v>975000</v>
      </c>
      <c r="E21" s="1746">
        <v>975000</v>
      </c>
      <c r="F21" s="1746">
        <v>975000</v>
      </c>
      <c r="G21" s="1746">
        <v>975000</v>
      </c>
      <c r="H21" s="1746">
        <f>+[2]Nebyty!$B$12</f>
        <v>975000</v>
      </c>
      <c r="I21" s="1751">
        <f t="shared" si="0"/>
        <v>0</v>
      </c>
      <c r="J21" s="1807"/>
      <c r="K21" s="1816"/>
      <c r="L21" s="1028"/>
    </row>
    <row r="22" spans="1:12" outlineLevel="1" x14ac:dyDescent="0.25">
      <c r="A22" s="1841">
        <v>3613</v>
      </c>
      <c r="B22" s="1818">
        <v>5153</v>
      </c>
      <c r="C22" s="1819"/>
      <c r="D22" s="1752">
        <v>0</v>
      </c>
      <c r="E22" s="1752">
        <v>0</v>
      </c>
      <c r="F22" s="1752">
        <v>0</v>
      </c>
      <c r="G22" s="1752">
        <v>0</v>
      </c>
      <c r="H22" s="1752">
        <f>+[2]Nebyty!$B$13</f>
        <v>0</v>
      </c>
      <c r="I22" s="1768">
        <f t="shared" si="0"/>
        <v>0</v>
      </c>
      <c r="J22" s="1807"/>
      <c r="K22" s="1816"/>
      <c r="L22" s="1028"/>
    </row>
    <row r="23" spans="1:12" ht="13.5" thickBot="1" x14ac:dyDescent="0.3">
      <c r="A23" s="3166" t="s">
        <v>201</v>
      </c>
      <c r="B23" s="3167"/>
      <c r="C23" s="1855"/>
      <c r="D23" s="1748">
        <v>975000</v>
      </c>
      <c r="E23" s="1748">
        <v>975000</v>
      </c>
      <c r="F23" s="1748">
        <v>975000</v>
      </c>
      <c r="G23" s="1748">
        <v>975000</v>
      </c>
      <c r="H23" s="1748">
        <f>SUM(H21:H22)</f>
        <v>975000</v>
      </c>
      <c r="I23" s="1749">
        <f t="shared" si="0"/>
        <v>0</v>
      </c>
      <c r="J23" s="1856">
        <f>'Výdaje kapitol celkem'!AK24</f>
        <v>975000</v>
      </c>
      <c r="K23" s="1816">
        <f>+J23-H23</f>
        <v>0</v>
      </c>
      <c r="L23" s="1028"/>
    </row>
    <row r="24" spans="1:12" outlineLevel="1" x14ac:dyDescent="0.25">
      <c r="A24" s="1836">
        <v>5512</v>
      </c>
      <c r="B24" s="1812">
        <v>5153</v>
      </c>
      <c r="C24" s="1813"/>
      <c r="D24" s="1746">
        <v>123500</v>
      </c>
      <c r="E24" s="1746">
        <v>123500</v>
      </c>
      <c r="F24" s="1746">
        <v>123500</v>
      </c>
      <c r="G24" s="1746">
        <v>123500</v>
      </c>
      <c r="H24" s="1746">
        <f>+[2]Hasiči!$B$12</f>
        <v>123500</v>
      </c>
      <c r="I24" s="1751">
        <f t="shared" si="0"/>
        <v>0</v>
      </c>
      <c r="J24" s="1807"/>
      <c r="K24" s="1816"/>
      <c r="L24" s="1028"/>
    </row>
    <row r="25" spans="1:12" outlineLevel="1" x14ac:dyDescent="0.25">
      <c r="A25" s="1836">
        <v>5512</v>
      </c>
      <c r="B25" s="1812">
        <v>5153</v>
      </c>
      <c r="C25" s="1813"/>
      <c r="D25" s="1746">
        <v>0</v>
      </c>
      <c r="E25" s="1746">
        <v>0</v>
      </c>
      <c r="F25" s="1746">
        <v>0</v>
      </c>
      <c r="G25" s="1746">
        <v>0</v>
      </c>
      <c r="H25" s="1746">
        <f>+[2]Hasiči!$B$13</f>
        <v>0</v>
      </c>
      <c r="I25" s="1751">
        <f t="shared" si="0"/>
        <v>0</v>
      </c>
      <c r="J25" s="1807"/>
      <c r="K25" s="1816"/>
      <c r="L25" s="1028"/>
    </row>
    <row r="26" spans="1:12" ht="13.5" thickBot="1" x14ac:dyDescent="0.3">
      <c r="A26" s="3166" t="s">
        <v>202</v>
      </c>
      <c r="B26" s="3167"/>
      <c r="C26" s="1855"/>
      <c r="D26" s="1748">
        <v>123500</v>
      </c>
      <c r="E26" s="1748">
        <v>123500</v>
      </c>
      <c r="F26" s="1748">
        <v>123500</v>
      </c>
      <c r="G26" s="1748">
        <v>123500</v>
      </c>
      <c r="H26" s="1748">
        <f>SUM(H24:H25)</f>
        <v>123500</v>
      </c>
      <c r="I26" s="1749">
        <f t="shared" si="0"/>
        <v>0</v>
      </c>
      <c r="J26" s="1856">
        <f>'Výdaje kapitol celkem'!AN24</f>
        <v>123500</v>
      </c>
      <c r="K26" s="1816">
        <f>+J26-H26</f>
        <v>0</v>
      </c>
      <c r="L26" s="1028"/>
    </row>
    <row r="27" spans="1:12" hidden="1" outlineLevel="1" x14ac:dyDescent="0.25">
      <c r="A27" s="1835">
        <v>3113</v>
      </c>
      <c r="B27" s="1809">
        <v>5153</v>
      </c>
      <c r="C27" s="1810"/>
      <c r="D27" s="1744">
        <v>0</v>
      </c>
      <c r="E27" s="1744">
        <v>0</v>
      </c>
      <c r="F27" s="1744">
        <v>0</v>
      </c>
      <c r="G27" s="1744">
        <v>0</v>
      </c>
      <c r="H27" s="1744">
        <f>+[2]ZŠ!$B$12</f>
        <v>0</v>
      </c>
      <c r="I27" s="1745">
        <f t="shared" si="0"/>
        <v>0</v>
      </c>
      <c r="J27" s="1807"/>
      <c r="K27" s="1816"/>
      <c r="L27" s="1028"/>
    </row>
    <row r="28" spans="1:12" hidden="1" outlineLevel="1" x14ac:dyDescent="0.25">
      <c r="A28" s="1841">
        <v>3113</v>
      </c>
      <c r="B28" s="1818">
        <v>5153</v>
      </c>
      <c r="C28" s="1819"/>
      <c r="D28" s="1771">
        <v>0</v>
      </c>
      <c r="E28" s="1771">
        <v>0</v>
      </c>
      <c r="F28" s="1771">
        <v>0</v>
      </c>
      <c r="G28" s="1771">
        <v>0</v>
      </c>
      <c r="H28" s="1771">
        <f>+[2]ZŠ!$B$13</f>
        <v>0</v>
      </c>
      <c r="I28" s="1768">
        <f t="shared" si="0"/>
        <v>0</v>
      </c>
      <c r="J28" s="1807"/>
      <c r="K28" s="1816"/>
      <c r="L28" s="1028"/>
    </row>
    <row r="29" spans="1:12" ht="13.5" collapsed="1" thickBot="1" x14ac:dyDescent="0.3">
      <c r="A29" s="3166" t="s">
        <v>1170</v>
      </c>
      <c r="B29" s="3167"/>
      <c r="C29" s="1855"/>
      <c r="D29" s="1748">
        <v>0</v>
      </c>
      <c r="E29" s="1748">
        <v>0</v>
      </c>
      <c r="F29" s="1748">
        <v>0</v>
      </c>
      <c r="G29" s="1748">
        <v>0</v>
      </c>
      <c r="H29" s="1748">
        <f>SUM(H27:H28)</f>
        <v>0</v>
      </c>
      <c r="I29" s="1749">
        <f t="shared" si="0"/>
        <v>0</v>
      </c>
      <c r="J29" s="1856">
        <f>'Výdaje kapitol celkem'!BC24</f>
        <v>0</v>
      </c>
      <c r="K29" s="1816">
        <f>+J29-H29</f>
        <v>0</v>
      </c>
      <c r="L29" s="1028"/>
    </row>
    <row r="30" spans="1:12" hidden="1" outlineLevel="1" x14ac:dyDescent="0.25">
      <c r="A30" s="1835" t="s">
        <v>1540</v>
      </c>
      <c r="B30" s="1809">
        <v>5153</v>
      </c>
      <c r="C30" s="1810"/>
      <c r="D30" s="1744">
        <v>0</v>
      </c>
      <c r="E30" s="1744">
        <v>0</v>
      </c>
      <c r="F30" s="1744">
        <v>0</v>
      </c>
      <c r="G30" s="1744">
        <v>0</v>
      </c>
      <c r="H30" s="1744">
        <v>0</v>
      </c>
      <c r="I30" s="1745">
        <f t="shared" si="0"/>
        <v>0</v>
      </c>
      <c r="J30" s="1807"/>
      <c r="K30" s="1816"/>
      <c r="L30" s="1028"/>
    </row>
    <row r="31" spans="1:12" hidden="1" outlineLevel="1" x14ac:dyDescent="0.25">
      <c r="A31" s="1841" t="s">
        <v>1540</v>
      </c>
      <c r="B31" s="1818">
        <v>5153</v>
      </c>
      <c r="C31" s="1819"/>
      <c r="D31" s="1771">
        <v>0</v>
      </c>
      <c r="E31" s="1771">
        <v>0</v>
      </c>
      <c r="F31" s="1771">
        <v>0</v>
      </c>
      <c r="G31" s="1771">
        <v>0</v>
      </c>
      <c r="H31" s="1771">
        <v>0</v>
      </c>
      <c r="I31" s="1768">
        <f t="shared" si="0"/>
        <v>0</v>
      </c>
      <c r="J31" s="1807"/>
      <c r="K31" s="1816"/>
      <c r="L31" s="1028"/>
    </row>
    <row r="32" spans="1:12" ht="13.5" collapsed="1" thickBot="1" x14ac:dyDescent="0.3">
      <c r="A32" s="3166" t="s">
        <v>1570</v>
      </c>
      <c r="B32" s="3167"/>
      <c r="C32" s="1855"/>
      <c r="D32" s="1748">
        <v>0</v>
      </c>
      <c r="E32" s="1748">
        <v>0</v>
      </c>
      <c r="F32" s="1748">
        <v>0</v>
      </c>
      <c r="G32" s="1748">
        <v>0</v>
      </c>
      <c r="H32" s="1748">
        <f>SUM(H30:H31)</f>
        <v>0</v>
      </c>
      <c r="I32" s="1749">
        <f t="shared" si="0"/>
        <v>0</v>
      </c>
      <c r="J32" s="1856">
        <f>'Výdaje kapitol celkem'!BC27</f>
        <v>0</v>
      </c>
      <c r="K32" s="1816">
        <f>+J32-H32</f>
        <v>0</v>
      </c>
      <c r="L32" s="1028"/>
    </row>
    <row r="33" spans="1:12" outlineLevel="1" x14ac:dyDescent="0.25">
      <c r="A33" s="1835">
        <v>3114</v>
      </c>
      <c r="B33" s="1809">
        <v>5153</v>
      </c>
      <c r="C33" s="1810"/>
      <c r="D33" s="1744">
        <v>195000</v>
      </c>
      <c r="E33" s="1744">
        <v>195000</v>
      </c>
      <c r="F33" s="1744">
        <v>195000</v>
      </c>
      <c r="G33" s="1744">
        <v>195000</v>
      </c>
      <c r="H33" s="1744">
        <f>+[2]č.p.65!$B$12</f>
        <v>195000</v>
      </c>
      <c r="I33" s="1745">
        <f t="shared" si="0"/>
        <v>0</v>
      </c>
      <c r="J33" s="1807"/>
      <c r="K33" s="1816"/>
      <c r="L33" s="1028"/>
    </row>
    <row r="34" spans="1:12" outlineLevel="1" x14ac:dyDescent="0.25">
      <c r="A34" s="1841">
        <v>3114</v>
      </c>
      <c r="B34" s="1818">
        <v>5153</v>
      </c>
      <c r="C34" s="1819"/>
      <c r="D34" s="1771">
        <v>0</v>
      </c>
      <c r="E34" s="1771">
        <v>0</v>
      </c>
      <c r="F34" s="1771">
        <v>0</v>
      </c>
      <c r="G34" s="1771">
        <v>0</v>
      </c>
      <c r="H34" s="1771">
        <f>+[2]č.p.65!$B$13</f>
        <v>0</v>
      </c>
      <c r="I34" s="1768">
        <f t="shared" si="0"/>
        <v>0</v>
      </c>
      <c r="J34" s="1807"/>
      <c r="K34" s="1816"/>
      <c r="L34" s="1028"/>
    </row>
    <row r="35" spans="1:12" ht="13.5" thickBot="1" x14ac:dyDescent="0.3">
      <c r="A35" s="3166" t="s">
        <v>211</v>
      </c>
      <c r="B35" s="3167"/>
      <c r="C35" s="1855"/>
      <c r="D35" s="1748">
        <v>195000</v>
      </c>
      <c r="E35" s="1748">
        <v>195000</v>
      </c>
      <c r="F35" s="1748">
        <v>195000</v>
      </c>
      <c r="G35" s="1748">
        <v>195000</v>
      </c>
      <c r="H35" s="1748">
        <f>SUM(H33:H34)</f>
        <v>195000</v>
      </c>
      <c r="I35" s="1749">
        <f t="shared" si="0"/>
        <v>0</v>
      </c>
      <c r="J35" s="1856">
        <f>'Výdaje kapitol celkem'!BI24</f>
        <v>195000</v>
      </c>
      <c r="K35" s="1816">
        <f>+J35-H35</f>
        <v>0</v>
      </c>
      <c r="L35" s="1028"/>
    </row>
    <row r="36" spans="1:12" s="1029" customFormat="1" ht="13.5" thickBot="1" x14ac:dyDescent="0.3">
      <c r="A36" s="3170" t="s">
        <v>1169</v>
      </c>
      <c r="B36" s="3171"/>
      <c r="C36" s="3172"/>
      <c r="D36" s="1862">
        <v>4377950</v>
      </c>
      <c r="E36" s="1862">
        <v>4377950</v>
      </c>
      <c r="F36" s="1862">
        <v>4377950</v>
      </c>
      <c r="G36" s="1862">
        <v>4377950</v>
      </c>
      <c r="H36" s="1862">
        <f>+H35+H29+H26+H23+H17+H14+H11+H8+H20+H32</f>
        <v>4377950</v>
      </c>
      <c r="I36" s="1863">
        <f t="shared" si="0"/>
        <v>0</v>
      </c>
      <c r="J36" s="1807"/>
      <c r="K36" s="1827"/>
      <c r="L36" s="1028"/>
    </row>
    <row r="37" spans="1:12" x14ac:dyDescent="0.25">
      <c r="A37" s="1801"/>
      <c r="B37" s="1801"/>
      <c r="C37" s="1801"/>
      <c r="D37" s="1776">
        <v>4377950</v>
      </c>
      <c r="E37" s="1776">
        <v>4377950</v>
      </c>
      <c r="F37" s="1776">
        <v>4377950</v>
      </c>
      <c r="G37" s="1776">
        <v>4377950</v>
      </c>
      <c r="H37" s="1776">
        <f>'Výdaje kapitol celkem'!G24</f>
        <v>4377950</v>
      </c>
      <c r="I37" s="1764"/>
      <c r="J37" s="1807"/>
      <c r="K37" s="1803"/>
    </row>
    <row r="38" spans="1:12" s="1031" customFormat="1" x14ac:dyDescent="0.25">
      <c r="A38" s="1829"/>
      <c r="B38" s="1829"/>
      <c r="C38" s="1829" t="s">
        <v>216</v>
      </c>
      <c r="D38" s="1764">
        <v>0</v>
      </c>
      <c r="E38" s="1764">
        <v>0</v>
      </c>
      <c r="F38" s="1764">
        <v>0</v>
      </c>
      <c r="G38" s="1764">
        <v>0</v>
      </c>
      <c r="H38" s="1764">
        <f>+H37-H36</f>
        <v>0</v>
      </c>
      <c r="I38" s="1764"/>
      <c r="J38" s="1807"/>
      <c r="K38" s="1803"/>
    </row>
    <row r="39" spans="1:12" x14ac:dyDescent="0.25">
      <c r="A39" s="1847" t="s">
        <v>544</v>
      </c>
      <c r="B39" s="1801"/>
      <c r="C39" s="1801"/>
      <c r="D39" s="1776"/>
      <c r="E39" s="1776"/>
      <c r="F39" s="1776"/>
      <c r="G39" s="1776"/>
      <c r="H39" s="1776"/>
      <c r="I39" s="1764"/>
      <c r="J39" s="1807"/>
      <c r="K39" s="1803"/>
    </row>
  </sheetData>
  <sheetProtection algorithmName="SHA-512" hashValue="YJnZaqSdzIeepuSE6zBG3LK/39lMuJ3Xefm/Ud7i1ZyP2KxpiGUqovWjFIRuOe/7wCqvX0Eapjpq7fJPnGRurg==" saltValue="/lx9KOeCuVzy36z6T+2Xk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" zoomScale="93" zoomScaleNormal="93" workbookViewId="0">
      <selection activeCell="H5" sqref="H5"/>
    </sheetView>
  </sheetViews>
  <sheetFormatPr defaultColWidth="9" defaultRowHeight="12.75" outlineLevelRow="1" x14ac:dyDescent="0.25"/>
  <cols>
    <col min="1" max="1" width="28" style="1831" customWidth="1"/>
    <col min="2" max="2" width="7" style="1831" customWidth="1"/>
    <col min="3" max="3" width="45.7109375" style="1831" bestFit="1" customWidth="1"/>
    <col min="4" max="6" width="10.28515625" style="1777" hidden="1" customWidth="1"/>
    <col min="7" max="7" width="11.42578125" style="1777" customWidth="1"/>
    <col min="8" max="8" width="11.5703125" style="1777" customWidth="1"/>
    <col min="9" max="9" width="9.28515625" style="1778" customWidth="1"/>
    <col min="10" max="10" width="11.7109375" style="1858" bestFit="1" customWidth="1"/>
    <col min="11" max="11" width="10.5703125" style="1833" bestFit="1" customWidth="1"/>
    <col min="12" max="16384" width="9" style="1026"/>
  </cols>
  <sheetData>
    <row r="1" spans="1:12" s="1018" customFormat="1" ht="24" customHeight="1" x14ac:dyDescent="0.25">
      <c r="A1" s="1859" t="s">
        <v>2163</v>
      </c>
      <c r="B1" s="1859"/>
      <c r="C1" s="1759"/>
      <c r="D1" s="1759"/>
      <c r="E1" s="1759"/>
      <c r="F1" s="1759"/>
      <c r="G1" s="1759"/>
      <c r="H1" s="1759"/>
      <c r="I1" s="1760"/>
      <c r="J1" s="1853"/>
      <c r="K1" s="1797"/>
    </row>
    <row r="2" spans="1:12" s="1021" customFormat="1" ht="20.25" customHeight="1" x14ac:dyDescent="0.25">
      <c r="A2" s="3168" t="s">
        <v>1165</v>
      </c>
      <c r="B2" s="3168"/>
      <c r="C2" s="3169"/>
      <c r="D2" s="1761"/>
      <c r="E2" s="1761"/>
      <c r="F2" s="1761"/>
      <c r="G2" s="1761"/>
      <c r="H2" s="1761"/>
      <c r="I2" s="1762"/>
      <c r="J2" s="1854"/>
      <c r="K2" s="1799"/>
    </row>
    <row r="3" spans="1:12" ht="13.5" thickBot="1" x14ac:dyDescent="0.3">
      <c r="A3" s="1801"/>
      <c r="B3" s="1801"/>
      <c r="C3" s="1801"/>
      <c r="D3" s="1763"/>
      <c r="E3" s="1763"/>
      <c r="F3" s="1763"/>
      <c r="G3" s="1763"/>
      <c r="H3" s="1763"/>
      <c r="I3" s="1764"/>
      <c r="J3" s="1807"/>
      <c r="K3" s="1803"/>
    </row>
    <row r="4" spans="1:12" ht="13.5" thickBot="1" x14ac:dyDescent="0.3">
      <c r="A4" s="1804" t="s">
        <v>1</v>
      </c>
      <c r="B4" s="1805" t="s">
        <v>63</v>
      </c>
      <c r="C4" s="1806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/>
      <c r="K4" s="1803" t="s">
        <v>707</v>
      </c>
    </row>
    <row r="5" spans="1:12" outlineLevel="1" x14ac:dyDescent="0.25">
      <c r="A5" s="1835">
        <v>6171</v>
      </c>
      <c r="B5" s="1809">
        <v>5154</v>
      </c>
      <c r="C5" s="1810"/>
      <c r="D5" s="1744">
        <v>292500</v>
      </c>
      <c r="E5" s="1744">
        <v>292500</v>
      </c>
      <c r="F5" s="1744">
        <v>292500</v>
      </c>
      <c r="G5" s="1744">
        <v>292500</v>
      </c>
      <c r="H5" s="1744">
        <f>+[2]Správa!$B$19</f>
        <v>292500</v>
      </c>
      <c r="I5" s="1745">
        <f>+H5-G5</f>
        <v>0</v>
      </c>
      <c r="J5" s="1807"/>
      <c r="K5" s="1803"/>
    </row>
    <row r="6" spans="1:12" outlineLevel="1" x14ac:dyDescent="0.25">
      <c r="A6" s="1836">
        <v>6171</v>
      </c>
      <c r="B6" s="1812">
        <v>5154</v>
      </c>
      <c r="C6" s="1813"/>
      <c r="D6" s="1746">
        <v>591500</v>
      </c>
      <c r="E6" s="1746">
        <v>591500</v>
      </c>
      <c r="F6" s="1746">
        <v>591500</v>
      </c>
      <c r="G6" s="1746">
        <v>591500</v>
      </c>
      <c r="H6" s="1746">
        <f>+[2]Správa!$B$20</f>
        <v>591500</v>
      </c>
      <c r="I6" s="1747">
        <f t="shared" ref="I6:I66" si="0">+H6-G6</f>
        <v>0</v>
      </c>
      <c r="J6" s="1807"/>
      <c r="K6" s="1803"/>
    </row>
    <row r="7" spans="1:12" outlineLevel="1" x14ac:dyDescent="0.25">
      <c r="A7" s="1836">
        <v>6171</v>
      </c>
      <c r="B7" s="1812">
        <v>5154</v>
      </c>
      <c r="C7" s="1813"/>
      <c r="D7" s="1746"/>
      <c r="E7" s="1746"/>
      <c r="F7" s="1746"/>
      <c r="G7" s="1746"/>
      <c r="H7" s="1746"/>
      <c r="I7" s="1747">
        <f t="shared" si="0"/>
        <v>0</v>
      </c>
      <c r="J7" s="1807"/>
      <c r="K7" s="1803"/>
    </row>
    <row r="8" spans="1:12" s="1029" customFormat="1" ht="13.5" thickBot="1" x14ac:dyDescent="0.3">
      <c r="A8" s="3166" t="s">
        <v>212</v>
      </c>
      <c r="B8" s="3167"/>
      <c r="C8" s="1855"/>
      <c r="D8" s="1748">
        <v>884000</v>
      </c>
      <c r="E8" s="1748">
        <v>884000</v>
      </c>
      <c r="F8" s="1748">
        <v>884000</v>
      </c>
      <c r="G8" s="1748">
        <v>884000</v>
      </c>
      <c r="H8" s="1748">
        <f>SUM(H5:H7)</f>
        <v>884000</v>
      </c>
      <c r="I8" s="1749">
        <f t="shared" si="0"/>
        <v>0</v>
      </c>
      <c r="J8" s="1856">
        <f>'Výdaje kapitol celkem'!Q25</f>
        <v>884000</v>
      </c>
      <c r="K8" s="1816">
        <f>+J8-H8</f>
        <v>0</v>
      </c>
      <c r="L8" s="1028"/>
    </row>
    <row r="9" spans="1:12" outlineLevel="1" x14ac:dyDescent="0.25">
      <c r="A9" s="1835">
        <v>3314</v>
      </c>
      <c r="B9" s="1809">
        <v>5154</v>
      </c>
      <c r="C9" s="1810"/>
      <c r="D9" s="1744">
        <v>230100</v>
      </c>
      <c r="E9" s="1744">
        <v>230100</v>
      </c>
      <c r="F9" s="1744">
        <v>230100</v>
      </c>
      <c r="G9" s="1744">
        <v>230100</v>
      </c>
      <c r="H9" s="1744">
        <f>+[2]Knihovna!$B$19</f>
        <v>230100</v>
      </c>
      <c r="I9" s="1745">
        <f t="shared" si="0"/>
        <v>0</v>
      </c>
      <c r="J9" s="1807"/>
      <c r="K9" s="1816"/>
      <c r="L9" s="1028"/>
    </row>
    <row r="10" spans="1:12" outlineLevel="1" x14ac:dyDescent="0.25">
      <c r="A10" s="1836">
        <v>3314</v>
      </c>
      <c r="B10" s="1812">
        <v>5154</v>
      </c>
      <c r="C10" s="1813"/>
      <c r="D10" s="1746">
        <v>0</v>
      </c>
      <c r="E10" s="1746">
        <v>0</v>
      </c>
      <c r="F10" s="1746">
        <v>0</v>
      </c>
      <c r="G10" s="1746">
        <v>0</v>
      </c>
      <c r="H10" s="1746">
        <f>+[2]Knihovna!$B$20</f>
        <v>0</v>
      </c>
      <c r="I10" s="1751">
        <f t="shared" si="0"/>
        <v>0</v>
      </c>
      <c r="J10" s="1807"/>
      <c r="K10" s="1816"/>
      <c r="L10" s="1028"/>
    </row>
    <row r="11" spans="1:12" s="1029" customFormat="1" ht="13.5" thickBot="1" x14ac:dyDescent="0.3">
      <c r="A11" s="3166" t="s">
        <v>1177</v>
      </c>
      <c r="B11" s="3167"/>
      <c r="C11" s="1855"/>
      <c r="D11" s="1748">
        <v>230100</v>
      </c>
      <c r="E11" s="1748">
        <v>230100</v>
      </c>
      <c r="F11" s="1748">
        <v>230100</v>
      </c>
      <c r="G11" s="1748">
        <v>230100</v>
      </c>
      <c r="H11" s="1748">
        <f>SUM(H9:H10)</f>
        <v>230100</v>
      </c>
      <c r="I11" s="1749">
        <f t="shared" si="0"/>
        <v>0</v>
      </c>
      <c r="J11" s="1856">
        <f>'Výdaje kapitol celkem'!AB25</f>
        <v>230100</v>
      </c>
      <c r="K11" s="1816">
        <f>+J11-H11</f>
        <v>0</v>
      </c>
      <c r="L11" s="1028"/>
    </row>
    <row r="12" spans="1:12" outlineLevel="1" x14ac:dyDescent="0.25">
      <c r="A12" s="1835">
        <v>3612</v>
      </c>
      <c r="B12" s="1809">
        <v>5154</v>
      </c>
      <c r="C12" s="1810"/>
      <c r="D12" s="1744">
        <v>195000</v>
      </c>
      <c r="E12" s="1744">
        <v>195000</v>
      </c>
      <c r="F12" s="1744">
        <v>195000</v>
      </c>
      <c r="G12" s="1744">
        <v>195000</v>
      </c>
      <c r="H12" s="1744">
        <f>+[2]Byty!$B$19</f>
        <v>195000</v>
      </c>
      <c r="I12" s="1745">
        <f t="shared" si="0"/>
        <v>0</v>
      </c>
      <c r="J12" s="1807"/>
      <c r="K12" s="1816"/>
      <c r="L12" s="1028"/>
    </row>
    <row r="13" spans="1:12" outlineLevel="1" x14ac:dyDescent="0.25">
      <c r="A13" s="1836">
        <v>3612</v>
      </c>
      <c r="B13" s="1812">
        <v>5154</v>
      </c>
      <c r="C13" s="1813"/>
      <c r="D13" s="1746">
        <v>0</v>
      </c>
      <c r="E13" s="1746">
        <v>0</v>
      </c>
      <c r="F13" s="1746">
        <v>0</v>
      </c>
      <c r="G13" s="1746">
        <v>0</v>
      </c>
      <c r="H13" s="1746">
        <f>+[2]Byty!$B$20</f>
        <v>0</v>
      </c>
      <c r="I13" s="1747">
        <f t="shared" si="0"/>
        <v>0</v>
      </c>
      <c r="J13" s="1807"/>
      <c r="K13" s="1816"/>
      <c r="L13" s="1028"/>
    </row>
    <row r="14" spans="1:12" s="1029" customFormat="1" ht="13.5" thickBot="1" x14ac:dyDescent="0.3">
      <c r="A14" s="3166" t="s">
        <v>199</v>
      </c>
      <c r="B14" s="3167"/>
      <c r="C14" s="1855"/>
      <c r="D14" s="1748">
        <v>195000</v>
      </c>
      <c r="E14" s="1748">
        <v>195000</v>
      </c>
      <c r="F14" s="1748">
        <v>195000</v>
      </c>
      <c r="G14" s="1748">
        <v>195000</v>
      </c>
      <c r="H14" s="1748">
        <f>SUM(H12:H13)</f>
        <v>195000</v>
      </c>
      <c r="I14" s="1749">
        <f t="shared" si="0"/>
        <v>0</v>
      </c>
      <c r="J14" s="1856">
        <f>'Výdaje kapitol celkem'!AE25</f>
        <v>195000</v>
      </c>
      <c r="K14" s="1816">
        <f>+J14-H14</f>
        <v>0</v>
      </c>
      <c r="L14" s="1028"/>
    </row>
    <row r="15" spans="1:12" outlineLevel="1" x14ac:dyDescent="0.25">
      <c r="A15" s="1841" t="s">
        <v>198</v>
      </c>
      <c r="B15" s="1818">
        <v>5154</v>
      </c>
      <c r="C15" s="1819"/>
      <c r="D15" s="1752">
        <v>585000</v>
      </c>
      <c r="E15" s="1752">
        <v>585000</v>
      </c>
      <c r="F15" s="1752">
        <v>585000</v>
      </c>
      <c r="G15" s="1752">
        <v>585000</v>
      </c>
      <c r="H15" s="1752">
        <f>+[2]DPS!$B$19</f>
        <v>585000</v>
      </c>
      <c r="I15" s="1767">
        <f t="shared" si="0"/>
        <v>0</v>
      </c>
      <c r="J15" s="1807"/>
      <c r="K15" s="1816"/>
      <c r="L15" s="1028"/>
    </row>
    <row r="16" spans="1:12" outlineLevel="1" x14ac:dyDescent="0.25">
      <c r="A16" s="1841" t="s">
        <v>198</v>
      </c>
      <c r="B16" s="1818">
        <v>5154</v>
      </c>
      <c r="C16" s="1819"/>
      <c r="D16" s="1752">
        <v>0</v>
      </c>
      <c r="E16" s="1752">
        <v>0</v>
      </c>
      <c r="F16" s="1752">
        <v>0</v>
      </c>
      <c r="G16" s="1752">
        <v>0</v>
      </c>
      <c r="H16" s="1752">
        <f>+[2]DPS!$B$20</f>
        <v>0</v>
      </c>
      <c r="I16" s="1767">
        <f t="shared" si="0"/>
        <v>0</v>
      </c>
      <c r="J16" s="1807"/>
      <c r="K16" s="1816"/>
      <c r="L16" s="1028"/>
    </row>
    <row r="17" spans="1:12" ht="13.5" thickBot="1" x14ac:dyDescent="0.3">
      <c r="A17" s="3166" t="s">
        <v>200</v>
      </c>
      <c r="B17" s="3167"/>
      <c r="C17" s="1855"/>
      <c r="D17" s="1748">
        <v>585000</v>
      </c>
      <c r="E17" s="1748">
        <v>585000</v>
      </c>
      <c r="F17" s="1748">
        <v>585000</v>
      </c>
      <c r="G17" s="1748">
        <v>585000</v>
      </c>
      <c r="H17" s="1748">
        <f>SUM(H15:H16)</f>
        <v>585000</v>
      </c>
      <c r="I17" s="1749">
        <f t="shared" si="0"/>
        <v>0</v>
      </c>
      <c r="J17" s="1856">
        <f>'Výdaje kapitol celkem'!AH25</f>
        <v>585000</v>
      </c>
      <c r="K17" s="1816">
        <f>+J17-H17</f>
        <v>0</v>
      </c>
      <c r="L17" s="1028"/>
    </row>
    <row r="18" spans="1:12" outlineLevel="1" x14ac:dyDescent="0.25">
      <c r="A18" s="1836">
        <v>3613</v>
      </c>
      <c r="B18" s="1812">
        <v>5154</v>
      </c>
      <c r="C18" s="1813"/>
      <c r="D18" s="1746">
        <v>260000</v>
      </c>
      <c r="E18" s="1746">
        <v>260000</v>
      </c>
      <c r="F18" s="1746">
        <v>260000</v>
      </c>
      <c r="G18" s="1746">
        <v>260000</v>
      </c>
      <c r="H18" s="1746">
        <f>+'[2]Hotel Budka'!$B$19</f>
        <v>260000</v>
      </c>
      <c r="I18" s="1751">
        <f t="shared" si="0"/>
        <v>0</v>
      </c>
      <c r="J18" s="1807"/>
      <c r="K18" s="1816"/>
      <c r="L18" s="1028"/>
    </row>
    <row r="19" spans="1:12" outlineLevel="1" x14ac:dyDescent="0.25">
      <c r="A19" s="1841">
        <v>3613</v>
      </c>
      <c r="B19" s="1818">
        <v>5154</v>
      </c>
      <c r="C19" s="1819"/>
      <c r="D19" s="1752">
        <v>0</v>
      </c>
      <c r="E19" s="1752">
        <v>0</v>
      </c>
      <c r="F19" s="1752">
        <v>0</v>
      </c>
      <c r="G19" s="1752">
        <v>0</v>
      </c>
      <c r="H19" s="1752">
        <f>+'[2]Hotel Budka'!$B$20</f>
        <v>0</v>
      </c>
      <c r="I19" s="1768">
        <f t="shared" si="0"/>
        <v>0</v>
      </c>
      <c r="J19" s="1807"/>
      <c r="K19" s="1816"/>
      <c r="L19" s="1028"/>
    </row>
    <row r="20" spans="1:12" ht="13.5" thickBot="1" x14ac:dyDescent="0.3">
      <c r="A20" s="3166" t="s">
        <v>1441</v>
      </c>
      <c r="B20" s="3167"/>
      <c r="C20" s="1855"/>
      <c r="D20" s="1748">
        <v>260000</v>
      </c>
      <c r="E20" s="1748">
        <v>260000</v>
      </c>
      <c r="F20" s="1748">
        <v>260000</v>
      </c>
      <c r="G20" s="1748">
        <v>260000</v>
      </c>
      <c r="H20" s="1748">
        <f>SUM(H18:H19)</f>
        <v>260000</v>
      </c>
      <c r="I20" s="1749">
        <f t="shared" si="0"/>
        <v>0</v>
      </c>
      <c r="J20" s="1856">
        <f>'Výdaje kapitol celkem'!AA25</f>
        <v>260000</v>
      </c>
      <c r="K20" s="1816">
        <f>+J20-H20</f>
        <v>0</v>
      </c>
      <c r="L20" s="1028"/>
    </row>
    <row r="21" spans="1:12" outlineLevel="1" x14ac:dyDescent="0.25">
      <c r="A21" s="1836">
        <v>3613</v>
      </c>
      <c r="B21" s="1812">
        <v>5154</v>
      </c>
      <c r="C21" s="1813"/>
      <c r="D21" s="1746">
        <v>605800</v>
      </c>
      <c r="E21" s="1746">
        <v>605800</v>
      </c>
      <c r="F21" s="1746">
        <v>605800</v>
      </c>
      <c r="G21" s="1746">
        <v>605800</v>
      </c>
      <c r="H21" s="1746">
        <f>+[2]Nebyty!$B$19</f>
        <v>605800</v>
      </c>
      <c r="I21" s="1751">
        <f t="shared" si="0"/>
        <v>0</v>
      </c>
      <c r="J21" s="1807"/>
      <c r="K21" s="1816"/>
      <c r="L21" s="1028"/>
    </row>
    <row r="22" spans="1:12" outlineLevel="1" x14ac:dyDescent="0.25">
      <c r="A22" s="1841">
        <v>3613</v>
      </c>
      <c r="B22" s="1818">
        <v>5154</v>
      </c>
      <c r="C22" s="1819"/>
      <c r="D22" s="1752">
        <v>0</v>
      </c>
      <c r="E22" s="1752">
        <v>0</v>
      </c>
      <c r="F22" s="1752">
        <v>0</v>
      </c>
      <c r="G22" s="1752">
        <v>0</v>
      </c>
      <c r="H22" s="1752">
        <f>+[2]Nebyty!$B$20</f>
        <v>0</v>
      </c>
      <c r="I22" s="1768">
        <f t="shared" si="0"/>
        <v>0</v>
      </c>
      <c r="J22" s="1807"/>
      <c r="K22" s="1816"/>
      <c r="L22" s="1028"/>
    </row>
    <row r="23" spans="1:12" ht="13.5" thickBot="1" x14ac:dyDescent="0.3">
      <c r="A23" s="3166" t="s">
        <v>201</v>
      </c>
      <c r="B23" s="3167"/>
      <c r="C23" s="1855"/>
      <c r="D23" s="1748">
        <v>605800</v>
      </c>
      <c r="E23" s="1748">
        <v>605800</v>
      </c>
      <c r="F23" s="1748">
        <v>605800</v>
      </c>
      <c r="G23" s="1748">
        <v>605800</v>
      </c>
      <c r="H23" s="1748">
        <f>SUM(H21:H22)</f>
        <v>605800</v>
      </c>
      <c r="I23" s="1749">
        <f t="shared" si="0"/>
        <v>0</v>
      </c>
      <c r="J23" s="1856">
        <f>'Výdaje kapitol celkem'!AK25</f>
        <v>605800</v>
      </c>
      <c r="K23" s="1816">
        <f>+J23-H23</f>
        <v>0</v>
      </c>
      <c r="L23" s="1028"/>
    </row>
    <row r="24" spans="1:12" outlineLevel="1" x14ac:dyDescent="0.25">
      <c r="A24" s="1836">
        <v>5512</v>
      </c>
      <c r="B24" s="1812">
        <v>5154</v>
      </c>
      <c r="C24" s="1813"/>
      <c r="D24" s="1746">
        <v>106400</v>
      </c>
      <c r="E24" s="1746">
        <v>106400</v>
      </c>
      <c r="F24" s="1746">
        <v>106400</v>
      </c>
      <c r="G24" s="1746">
        <v>106400</v>
      </c>
      <c r="H24" s="1746">
        <f>+[2]Hasiči!$B$19</f>
        <v>106400</v>
      </c>
      <c r="I24" s="1751">
        <f t="shared" si="0"/>
        <v>0</v>
      </c>
      <c r="J24" s="1807"/>
      <c r="K24" s="1816"/>
      <c r="L24" s="1028"/>
    </row>
    <row r="25" spans="1:12" outlineLevel="1" x14ac:dyDescent="0.25">
      <c r="A25" s="1836">
        <v>5512</v>
      </c>
      <c r="B25" s="1812">
        <v>5154</v>
      </c>
      <c r="C25" s="1813"/>
      <c r="D25" s="1746">
        <v>0</v>
      </c>
      <c r="E25" s="1746">
        <v>0</v>
      </c>
      <c r="F25" s="1746">
        <v>0</v>
      </c>
      <c r="G25" s="1746">
        <v>0</v>
      </c>
      <c r="H25" s="1746">
        <f>+[2]Hasiči!$B$20</f>
        <v>0</v>
      </c>
      <c r="I25" s="1751">
        <f t="shared" si="0"/>
        <v>0</v>
      </c>
      <c r="J25" s="1807"/>
      <c r="K25" s="1816"/>
      <c r="L25" s="1028"/>
    </row>
    <row r="26" spans="1:12" ht="13.5" thickBot="1" x14ac:dyDescent="0.3">
      <c r="A26" s="3166" t="s">
        <v>202</v>
      </c>
      <c r="B26" s="3167"/>
      <c r="C26" s="1855"/>
      <c r="D26" s="1748">
        <v>106400</v>
      </c>
      <c r="E26" s="1748">
        <v>106400</v>
      </c>
      <c r="F26" s="1748">
        <v>106400</v>
      </c>
      <c r="G26" s="1748">
        <v>106400</v>
      </c>
      <c r="H26" s="1748">
        <f>SUM(H24:H25)</f>
        <v>106400</v>
      </c>
      <c r="I26" s="1749">
        <f t="shared" si="0"/>
        <v>0</v>
      </c>
      <c r="J26" s="1856">
        <f>'Výdaje kapitol celkem'!AN25</f>
        <v>106400</v>
      </c>
      <c r="K26" s="1816">
        <f>+J26-H26</f>
        <v>0</v>
      </c>
      <c r="L26" s="1028"/>
    </row>
    <row r="27" spans="1:12" hidden="1" outlineLevel="1" x14ac:dyDescent="0.25">
      <c r="A27" s="1835">
        <v>3429</v>
      </c>
      <c r="B27" s="1809">
        <v>5154</v>
      </c>
      <c r="C27" s="1810"/>
      <c r="D27" s="1744">
        <v>0</v>
      </c>
      <c r="E27" s="1744">
        <v>0</v>
      </c>
      <c r="F27" s="1744">
        <v>0</v>
      </c>
      <c r="G27" s="1744">
        <v>0</v>
      </c>
      <c r="H27" s="1744">
        <f>+[2]TESKO!$B$5</f>
        <v>0</v>
      </c>
      <c r="I27" s="1745">
        <f t="shared" si="0"/>
        <v>0</v>
      </c>
      <c r="J27" s="1807"/>
      <c r="K27" s="1816"/>
      <c r="L27" s="1028"/>
    </row>
    <row r="28" spans="1:12" hidden="1" outlineLevel="1" x14ac:dyDescent="0.25">
      <c r="A28" s="1841">
        <v>3429</v>
      </c>
      <c r="B28" s="1818">
        <v>5154</v>
      </c>
      <c r="C28" s="1819"/>
      <c r="D28" s="1771">
        <v>0</v>
      </c>
      <c r="E28" s="1771">
        <v>0</v>
      </c>
      <c r="F28" s="1771">
        <v>0</v>
      </c>
      <c r="G28" s="1771">
        <v>0</v>
      </c>
      <c r="H28" s="1771">
        <f>+[2]TESKO!$B$6</f>
        <v>0</v>
      </c>
      <c r="I28" s="1768">
        <f t="shared" si="0"/>
        <v>0</v>
      </c>
      <c r="J28" s="1807"/>
      <c r="K28" s="1816"/>
      <c r="L28" s="1028"/>
    </row>
    <row r="29" spans="1:12" ht="13.5" collapsed="1" thickBot="1" x14ac:dyDescent="0.3">
      <c r="A29" s="3166" t="s">
        <v>1171</v>
      </c>
      <c r="B29" s="3167"/>
      <c r="C29" s="1855"/>
      <c r="D29" s="1748">
        <v>0</v>
      </c>
      <c r="E29" s="1748">
        <v>0</v>
      </c>
      <c r="F29" s="1748">
        <v>0</v>
      </c>
      <c r="G29" s="1748">
        <v>0</v>
      </c>
      <c r="H29" s="1748">
        <f>SUM(H27:H28)</f>
        <v>0</v>
      </c>
      <c r="I29" s="1749">
        <f t="shared" si="0"/>
        <v>0</v>
      </c>
      <c r="J29" s="1856">
        <f>'Výdaje kapitol celkem'!AP25</f>
        <v>0</v>
      </c>
      <c r="K29" s="1816">
        <f>+J29-H29</f>
        <v>0</v>
      </c>
      <c r="L29" s="1028"/>
    </row>
    <row r="30" spans="1:12" hidden="1" outlineLevel="1" x14ac:dyDescent="0.25">
      <c r="A30" s="1835">
        <v>3412</v>
      </c>
      <c r="B30" s="1809">
        <v>5154</v>
      </c>
      <c r="C30" s="1810"/>
      <c r="D30" s="1744">
        <v>0</v>
      </c>
      <c r="E30" s="1744">
        <v>0</v>
      </c>
      <c r="F30" s="1744">
        <v>0</v>
      </c>
      <c r="G30" s="1744">
        <v>0</v>
      </c>
      <c r="H30" s="1744">
        <f>+[2]Koupaliště!$B$5</f>
        <v>0</v>
      </c>
      <c r="I30" s="1745">
        <f t="shared" si="0"/>
        <v>0</v>
      </c>
      <c r="J30" s="1807"/>
      <c r="K30" s="1816"/>
      <c r="L30" s="1028"/>
    </row>
    <row r="31" spans="1:12" hidden="1" outlineLevel="1" x14ac:dyDescent="0.25">
      <c r="A31" s="1841">
        <v>3412</v>
      </c>
      <c r="B31" s="1818">
        <v>5154</v>
      </c>
      <c r="C31" s="1819"/>
      <c r="D31" s="1752">
        <v>0</v>
      </c>
      <c r="E31" s="1752">
        <v>0</v>
      </c>
      <c r="F31" s="1752">
        <v>0</v>
      </c>
      <c r="G31" s="1752">
        <v>0</v>
      </c>
      <c r="H31" s="1752">
        <f>+[2]Koupaliště!$B$6</f>
        <v>0</v>
      </c>
      <c r="I31" s="1768">
        <f t="shared" si="0"/>
        <v>0</v>
      </c>
      <c r="J31" s="1807"/>
      <c r="K31" s="1816"/>
      <c r="L31" s="1028"/>
    </row>
    <row r="32" spans="1:12" ht="13.5" collapsed="1" thickBot="1" x14ac:dyDescent="0.3">
      <c r="A32" s="3166" t="s">
        <v>624</v>
      </c>
      <c r="B32" s="3167"/>
      <c r="C32" s="1855"/>
      <c r="D32" s="1748">
        <v>0</v>
      </c>
      <c r="E32" s="1748">
        <v>0</v>
      </c>
      <c r="F32" s="1748">
        <v>0</v>
      </c>
      <c r="G32" s="1748">
        <v>0</v>
      </c>
      <c r="H32" s="1748">
        <f>SUM(H30:H31)</f>
        <v>0</v>
      </c>
      <c r="I32" s="1749">
        <f t="shared" si="0"/>
        <v>0</v>
      </c>
      <c r="J32" s="1856">
        <f>'Výdaje kapitol celkem'!AT25</f>
        <v>0</v>
      </c>
      <c r="K32" s="1816">
        <f>+J32-H32</f>
        <v>0</v>
      </c>
      <c r="L32" s="1028"/>
    </row>
    <row r="33" spans="1:12" outlineLevel="1" x14ac:dyDescent="0.25">
      <c r="A33" s="1835">
        <v>3412</v>
      </c>
      <c r="B33" s="1809">
        <v>5154</v>
      </c>
      <c r="C33" s="1337"/>
      <c r="D33" s="1744">
        <v>60000</v>
      </c>
      <c r="E33" s="1744">
        <v>60000</v>
      </c>
      <c r="F33" s="1744">
        <v>60000</v>
      </c>
      <c r="G33" s="1744">
        <v>60000</v>
      </c>
      <c r="H33" s="1744">
        <f>+[2]Hřiště!$B$5</f>
        <v>60000</v>
      </c>
      <c r="I33" s="1745">
        <f t="shared" si="0"/>
        <v>0</v>
      </c>
      <c r="J33" s="1807"/>
      <c r="K33" s="1816"/>
      <c r="L33" s="1028"/>
    </row>
    <row r="34" spans="1:12" outlineLevel="1" x14ac:dyDescent="0.25">
      <c r="A34" s="1841">
        <v>3412</v>
      </c>
      <c r="B34" s="1818">
        <v>5154</v>
      </c>
      <c r="C34" s="1819"/>
      <c r="D34" s="1752">
        <v>0</v>
      </c>
      <c r="E34" s="1752">
        <v>0</v>
      </c>
      <c r="F34" s="1752">
        <v>0</v>
      </c>
      <c r="G34" s="1752">
        <v>0</v>
      </c>
      <c r="H34" s="1752">
        <f>+[2]Hřiště!$B$6</f>
        <v>0</v>
      </c>
      <c r="I34" s="1768">
        <f t="shared" si="0"/>
        <v>0</v>
      </c>
      <c r="J34" s="1807"/>
      <c r="K34" s="1816"/>
      <c r="L34" s="1028"/>
    </row>
    <row r="35" spans="1:12" ht="13.5" thickBot="1" x14ac:dyDescent="0.3">
      <c r="A35" s="3166" t="s">
        <v>1185</v>
      </c>
      <c r="B35" s="3167"/>
      <c r="C35" s="1855"/>
      <c r="D35" s="1748">
        <v>60000</v>
      </c>
      <c r="E35" s="1748">
        <v>60000</v>
      </c>
      <c r="F35" s="1748">
        <v>60000</v>
      </c>
      <c r="G35" s="1748">
        <v>60000</v>
      </c>
      <c r="H35" s="1748">
        <f>SUM(H33:H34)</f>
        <v>60000</v>
      </c>
      <c r="I35" s="1749">
        <f t="shared" si="0"/>
        <v>0</v>
      </c>
      <c r="J35" s="1856">
        <f>'Výdaje kapitol celkem'!AW25</f>
        <v>60000</v>
      </c>
      <c r="K35" s="1816">
        <f>+J35-H35</f>
        <v>0</v>
      </c>
      <c r="L35" s="1028"/>
    </row>
    <row r="36" spans="1:12" hidden="1" outlineLevel="1" x14ac:dyDescent="0.25">
      <c r="A36" s="1835">
        <v>3113</v>
      </c>
      <c r="B36" s="1809">
        <v>5154</v>
      </c>
      <c r="C36" s="1337"/>
      <c r="D36" s="1744">
        <v>0</v>
      </c>
      <c r="E36" s="1744">
        <v>0</v>
      </c>
      <c r="F36" s="1744">
        <v>0</v>
      </c>
      <c r="G36" s="1744">
        <v>0</v>
      </c>
      <c r="H36" s="1744">
        <f>+[2]ZŠ!$B$19</f>
        <v>0</v>
      </c>
      <c r="I36" s="1745">
        <f t="shared" si="0"/>
        <v>0</v>
      </c>
      <c r="J36" s="1807"/>
      <c r="K36" s="1816"/>
      <c r="L36" s="1028"/>
    </row>
    <row r="37" spans="1:12" hidden="1" outlineLevel="1" x14ac:dyDescent="0.25">
      <c r="A37" s="1841">
        <v>3113</v>
      </c>
      <c r="B37" s="1818">
        <v>5154</v>
      </c>
      <c r="C37" s="1337"/>
      <c r="D37" s="1752">
        <v>0</v>
      </c>
      <c r="E37" s="1752">
        <v>0</v>
      </c>
      <c r="F37" s="1752">
        <v>0</v>
      </c>
      <c r="G37" s="1752">
        <v>0</v>
      </c>
      <c r="H37" s="1752">
        <f>+[2]ZŠ!$B$20</f>
        <v>0</v>
      </c>
      <c r="I37" s="1768">
        <f t="shared" si="0"/>
        <v>0</v>
      </c>
      <c r="J37" s="1807"/>
      <c r="K37" s="1816"/>
      <c r="L37" s="1028"/>
    </row>
    <row r="38" spans="1:12" ht="13.5" collapsed="1" thickBot="1" x14ac:dyDescent="0.3">
      <c r="A38" s="3166" t="s">
        <v>1170</v>
      </c>
      <c r="B38" s="3167"/>
      <c r="C38" s="1855"/>
      <c r="D38" s="1748">
        <v>0</v>
      </c>
      <c r="E38" s="1748">
        <v>0</v>
      </c>
      <c r="F38" s="1748">
        <v>0</v>
      </c>
      <c r="G38" s="1748">
        <v>0</v>
      </c>
      <c r="H38" s="1748">
        <f>SUM(H36:H37)</f>
        <v>0</v>
      </c>
      <c r="I38" s="1749">
        <f t="shared" si="0"/>
        <v>0</v>
      </c>
      <c r="J38" s="1856">
        <f>'Výdaje kapitol celkem'!BC25</f>
        <v>0</v>
      </c>
      <c r="K38" s="1816">
        <f>+J38-H38</f>
        <v>0</v>
      </c>
      <c r="L38" s="1028"/>
    </row>
    <row r="39" spans="1:12" hidden="1" outlineLevel="1" x14ac:dyDescent="0.25">
      <c r="A39" s="1835" t="s">
        <v>1540</v>
      </c>
      <c r="B39" s="1809">
        <v>5154</v>
      </c>
      <c r="C39" s="1810"/>
      <c r="D39" s="1744">
        <v>0</v>
      </c>
      <c r="E39" s="1744">
        <v>0</v>
      </c>
      <c r="F39" s="1744">
        <v>0</v>
      </c>
      <c r="G39" s="1744">
        <v>0</v>
      </c>
      <c r="H39" s="1744">
        <f>+[2]SŠ!$B$19</f>
        <v>0</v>
      </c>
      <c r="I39" s="1745">
        <f t="shared" si="0"/>
        <v>0</v>
      </c>
      <c r="J39" s="1807"/>
      <c r="K39" s="1816"/>
      <c r="L39" s="1028"/>
    </row>
    <row r="40" spans="1:12" hidden="1" outlineLevel="1" x14ac:dyDescent="0.25">
      <c r="A40" s="1841" t="s">
        <v>1540</v>
      </c>
      <c r="B40" s="1818">
        <v>5154</v>
      </c>
      <c r="C40" s="1819"/>
      <c r="D40" s="1752">
        <v>0</v>
      </c>
      <c r="E40" s="1752">
        <v>0</v>
      </c>
      <c r="F40" s="1752">
        <v>0</v>
      </c>
      <c r="G40" s="1752">
        <v>0</v>
      </c>
      <c r="H40" s="1752">
        <f>+[2]SŠ!$B$20</f>
        <v>0</v>
      </c>
      <c r="I40" s="1768">
        <f t="shared" si="0"/>
        <v>0</v>
      </c>
      <c r="J40" s="1807"/>
      <c r="K40" s="1816"/>
      <c r="L40" s="1028"/>
    </row>
    <row r="41" spans="1:12" ht="13.5" collapsed="1" thickBot="1" x14ac:dyDescent="0.3">
      <c r="A41" s="3166" t="s">
        <v>1542</v>
      </c>
      <c r="B41" s="3167"/>
      <c r="C41" s="1855"/>
      <c r="D41" s="1748">
        <v>0</v>
      </c>
      <c r="E41" s="1748">
        <v>0</v>
      </c>
      <c r="F41" s="1748">
        <v>0</v>
      </c>
      <c r="G41" s="1748">
        <v>0</v>
      </c>
      <c r="H41" s="1748">
        <f>SUM(H39:H40)</f>
        <v>0</v>
      </c>
      <c r="I41" s="1749">
        <f t="shared" si="0"/>
        <v>0</v>
      </c>
      <c r="J41" s="1856"/>
      <c r="K41" s="1816">
        <f>+J41-H41</f>
        <v>0</v>
      </c>
      <c r="L41" s="1028"/>
    </row>
    <row r="42" spans="1:12" outlineLevel="1" x14ac:dyDescent="0.25">
      <c r="A42" s="1835">
        <v>3114</v>
      </c>
      <c r="B42" s="1809">
        <v>5154</v>
      </c>
      <c r="C42" s="1810"/>
      <c r="D42" s="1744">
        <v>195000</v>
      </c>
      <c r="E42" s="1744">
        <v>195000</v>
      </c>
      <c r="F42" s="1744">
        <v>195000</v>
      </c>
      <c r="G42" s="1744">
        <v>195000</v>
      </c>
      <c r="H42" s="1744">
        <f>+[2]č.p.65!$B$19</f>
        <v>195000</v>
      </c>
      <c r="I42" s="1745">
        <f t="shared" si="0"/>
        <v>0</v>
      </c>
      <c r="J42" s="1807"/>
      <c r="K42" s="1816"/>
      <c r="L42" s="1028"/>
    </row>
    <row r="43" spans="1:12" outlineLevel="1" x14ac:dyDescent="0.25">
      <c r="A43" s="1841">
        <v>3114</v>
      </c>
      <c r="B43" s="1818">
        <v>5154</v>
      </c>
      <c r="C43" s="1819"/>
      <c r="D43" s="1752">
        <v>0</v>
      </c>
      <c r="E43" s="1752">
        <v>0</v>
      </c>
      <c r="F43" s="1752">
        <v>0</v>
      </c>
      <c r="G43" s="1752">
        <v>0</v>
      </c>
      <c r="H43" s="1752">
        <f>+[2]č.p.65!$B$20</f>
        <v>0</v>
      </c>
      <c r="I43" s="1768">
        <f t="shared" si="0"/>
        <v>0</v>
      </c>
      <c r="J43" s="1807"/>
      <c r="K43" s="1816"/>
      <c r="L43" s="1028"/>
    </row>
    <row r="44" spans="1:12" ht="13.5" thickBot="1" x14ac:dyDescent="0.3">
      <c r="A44" s="3166" t="s">
        <v>211</v>
      </c>
      <c r="B44" s="3167"/>
      <c r="C44" s="1855"/>
      <c r="D44" s="1748">
        <v>195000</v>
      </c>
      <c r="E44" s="1748">
        <v>195000</v>
      </c>
      <c r="F44" s="1748">
        <v>195000</v>
      </c>
      <c r="G44" s="1748">
        <v>195000</v>
      </c>
      <c r="H44" s="1748">
        <f>SUM(H42:H43)</f>
        <v>195000</v>
      </c>
      <c r="I44" s="1749">
        <f t="shared" si="0"/>
        <v>0</v>
      </c>
      <c r="J44" s="1860">
        <f>'Výdaje kapitol celkem'!BI24</f>
        <v>195000</v>
      </c>
      <c r="K44" s="1861">
        <f>+J44-H44</f>
        <v>0</v>
      </c>
      <c r="L44" s="1028"/>
    </row>
    <row r="45" spans="1:12" outlineLevel="1" x14ac:dyDescent="0.25">
      <c r="A45" s="1835">
        <v>3631</v>
      </c>
      <c r="B45" s="1809">
        <v>5154</v>
      </c>
      <c r="C45" s="1810"/>
      <c r="D45" s="1744">
        <v>2000000</v>
      </c>
      <c r="E45" s="1744">
        <v>2000000</v>
      </c>
      <c r="F45" s="1744">
        <v>2000000</v>
      </c>
      <c r="G45" s="1744">
        <v>2000000</v>
      </c>
      <c r="H45" s="1744">
        <f>+[4]VO!$B$13</f>
        <v>2000000</v>
      </c>
      <c r="I45" s="1745">
        <f t="shared" si="0"/>
        <v>0</v>
      </c>
      <c r="J45" s="1807"/>
      <c r="K45" s="1816"/>
      <c r="L45" s="1028"/>
    </row>
    <row r="46" spans="1:12" outlineLevel="1" x14ac:dyDescent="0.25">
      <c r="A46" s="1841">
        <v>3631</v>
      </c>
      <c r="B46" s="1818">
        <v>5154</v>
      </c>
      <c r="C46" s="1819"/>
      <c r="D46" s="1752">
        <v>30000</v>
      </c>
      <c r="E46" s="1752">
        <v>30000</v>
      </c>
      <c r="F46" s="1752">
        <v>30000</v>
      </c>
      <c r="G46" s="1752">
        <v>30000</v>
      </c>
      <c r="H46" s="1752">
        <f>+[4]VO!$B$14</f>
        <v>30000</v>
      </c>
      <c r="I46" s="1768">
        <f t="shared" si="0"/>
        <v>0</v>
      </c>
      <c r="J46" s="1807"/>
      <c r="K46" s="1816"/>
      <c r="L46" s="1028"/>
    </row>
    <row r="47" spans="1:12" outlineLevel="1" x14ac:dyDescent="0.25">
      <c r="A47" s="1841">
        <v>3631</v>
      </c>
      <c r="B47" s="1818">
        <v>5154</v>
      </c>
      <c r="C47" s="1819"/>
      <c r="D47" s="1771"/>
      <c r="E47" s="1771"/>
      <c r="F47" s="1771"/>
      <c r="G47" s="1771"/>
      <c r="H47" s="1771"/>
      <c r="I47" s="1768">
        <f t="shared" si="0"/>
        <v>0</v>
      </c>
      <c r="J47" s="1807"/>
      <c r="K47" s="1816"/>
      <c r="L47" s="1028"/>
    </row>
    <row r="48" spans="1:12" ht="13.5" thickBot="1" x14ac:dyDescent="0.3">
      <c r="A48" s="3166" t="s">
        <v>1172</v>
      </c>
      <c r="B48" s="3167"/>
      <c r="C48" s="1855"/>
      <c r="D48" s="1748">
        <v>2030000</v>
      </c>
      <c r="E48" s="1748">
        <v>2030000</v>
      </c>
      <c r="F48" s="1748">
        <v>2030000</v>
      </c>
      <c r="G48" s="1748">
        <v>2030000</v>
      </c>
      <c r="H48" s="1748">
        <f>SUM(H45:H47)</f>
        <v>2030000</v>
      </c>
      <c r="I48" s="1749">
        <f t="shared" si="0"/>
        <v>0</v>
      </c>
      <c r="J48" s="1856">
        <f>'Výdaje kapitol celkem'!CC25</f>
        <v>2030000</v>
      </c>
      <c r="K48" s="1816">
        <f>+J48-H48</f>
        <v>0</v>
      </c>
      <c r="L48" s="1028"/>
    </row>
    <row r="49" spans="1:12" outlineLevel="1" x14ac:dyDescent="0.25">
      <c r="A49" s="1835">
        <v>2212</v>
      </c>
      <c r="B49" s="1809">
        <v>5154</v>
      </c>
      <c r="C49" s="1810" t="s">
        <v>2264</v>
      </c>
      <c r="D49" s="1744">
        <v>80000</v>
      </c>
      <c r="E49" s="1744">
        <v>80000</v>
      </c>
      <c r="F49" s="1744">
        <v>80000</v>
      </c>
      <c r="G49" s="1744">
        <v>80000</v>
      </c>
      <c r="H49" s="1744">
        <f>+[4]Silnice!$B$12</f>
        <v>80000</v>
      </c>
      <c r="I49" s="1745">
        <f t="shared" si="0"/>
        <v>0</v>
      </c>
      <c r="J49" s="1807"/>
      <c r="K49" s="1816"/>
      <c r="L49" s="1028"/>
    </row>
    <row r="50" spans="1:12" outlineLevel="1" x14ac:dyDescent="0.25">
      <c r="A50" s="1841">
        <v>2212</v>
      </c>
      <c r="B50" s="1818">
        <v>5154</v>
      </c>
      <c r="C50" s="1819" t="s">
        <v>2265</v>
      </c>
      <c r="D50" s="1771">
        <v>100000</v>
      </c>
      <c r="E50" s="1771">
        <v>100000</v>
      </c>
      <c r="F50" s="1771">
        <v>100000</v>
      </c>
      <c r="G50" s="1771">
        <v>100000</v>
      </c>
      <c r="H50" s="1771">
        <f>+[4]Silnice!$B$13</f>
        <v>100000</v>
      </c>
      <c r="I50" s="1768">
        <f t="shared" si="0"/>
        <v>0</v>
      </c>
      <c r="J50" s="1807"/>
      <c r="K50" s="1816"/>
      <c r="L50" s="1028"/>
    </row>
    <row r="51" spans="1:12" outlineLevel="1" x14ac:dyDescent="0.25">
      <c r="A51" s="1841">
        <v>2212</v>
      </c>
      <c r="B51" s="1818">
        <v>5154</v>
      </c>
      <c r="C51" s="1819" t="s">
        <v>2266</v>
      </c>
      <c r="D51" s="1771">
        <v>25000</v>
      </c>
      <c r="E51" s="1771">
        <v>25000</v>
      </c>
      <c r="F51" s="1771">
        <v>25000</v>
      </c>
      <c r="G51" s="1771">
        <v>25000</v>
      </c>
      <c r="H51" s="1771">
        <f>+[4]Silnice!$B$14</f>
        <v>25000</v>
      </c>
      <c r="I51" s="1768">
        <f t="shared" si="0"/>
        <v>0</v>
      </c>
      <c r="J51" s="1807"/>
      <c r="K51" s="1816"/>
      <c r="L51" s="1028"/>
    </row>
    <row r="52" spans="1:12" ht="13.5" thickBot="1" x14ac:dyDescent="0.3">
      <c r="A52" s="3166" t="s">
        <v>1173</v>
      </c>
      <c r="B52" s="3167"/>
      <c r="C52" s="1855"/>
      <c r="D52" s="1748">
        <v>205000</v>
      </c>
      <c r="E52" s="1748">
        <v>205000</v>
      </c>
      <c r="F52" s="1748">
        <v>205000</v>
      </c>
      <c r="G52" s="1748">
        <v>205000</v>
      </c>
      <c r="H52" s="1748">
        <f>SUM(H49:H51)</f>
        <v>205000</v>
      </c>
      <c r="I52" s="1749">
        <f t="shared" si="0"/>
        <v>0</v>
      </c>
      <c r="J52" s="1856">
        <f>'Výdaje kapitol celkem'!CF25</f>
        <v>205000</v>
      </c>
      <c r="K52" s="1816">
        <f>+J52-H52</f>
        <v>0</v>
      </c>
      <c r="L52" s="1028"/>
    </row>
    <row r="53" spans="1:12" outlineLevel="1" x14ac:dyDescent="0.25">
      <c r="A53" s="1835">
        <v>2221</v>
      </c>
      <c r="B53" s="1809">
        <v>5154</v>
      </c>
      <c r="C53" s="1810"/>
      <c r="D53" s="1744">
        <v>50000</v>
      </c>
      <c r="E53" s="1744">
        <v>50000</v>
      </c>
      <c r="F53" s="1744">
        <v>50000</v>
      </c>
      <c r="G53" s="1744">
        <v>50000</v>
      </c>
      <c r="H53" s="1744">
        <f>+[5]Doprava!$B$5</f>
        <v>50000</v>
      </c>
      <c r="I53" s="1745">
        <f t="shared" si="0"/>
        <v>0</v>
      </c>
      <c r="J53" s="1807"/>
      <c r="K53" s="1816"/>
      <c r="L53" s="1028"/>
    </row>
    <row r="54" spans="1:12" outlineLevel="1" x14ac:dyDescent="0.25">
      <c r="A54" s="1841">
        <v>2221</v>
      </c>
      <c r="B54" s="1818">
        <v>5154</v>
      </c>
      <c r="C54" s="1819"/>
      <c r="D54" s="1771"/>
      <c r="E54" s="1771"/>
      <c r="F54" s="1771"/>
      <c r="G54" s="1771"/>
      <c r="H54" s="1771"/>
      <c r="I54" s="1768">
        <f t="shared" si="0"/>
        <v>0</v>
      </c>
      <c r="J54" s="1807"/>
      <c r="K54" s="1816"/>
      <c r="L54" s="1028"/>
    </row>
    <row r="55" spans="1:12" ht="13.5" thickBot="1" x14ac:dyDescent="0.3">
      <c r="A55" s="3166" t="s">
        <v>1573</v>
      </c>
      <c r="B55" s="3167"/>
      <c r="C55" s="1855"/>
      <c r="D55" s="1748">
        <v>50000</v>
      </c>
      <c r="E55" s="1748">
        <v>50000</v>
      </c>
      <c r="F55" s="1748">
        <v>50000</v>
      </c>
      <c r="G55" s="1748">
        <v>50000</v>
      </c>
      <c r="H55" s="1748">
        <f>SUM(H53:H54)</f>
        <v>50000</v>
      </c>
      <c r="I55" s="1749">
        <f t="shared" si="0"/>
        <v>0</v>
      </c>
      <c r="J55" s="1856">
        <f>'Výdaje kapitol celkem'!CI25</f>
        <v>50000</v>
      </c>
      <c r="K55" s="1816">
        <f>+J55-H55</f>
        <v>0</v>
      </c>
      <c r="L55" s="1028"/>
    </row>
    <row r="56" spans="1:12" outlineLevel="1" x14ac:dyDescent="0.25">
      <c r="A56" s="1835">
        <v>2310</v>
      </c>
      <c r="B56" s="1809">
        <v>5154</v>
      </c>
      <c r="C56" s="1810"/>
      <c r="D56" s="1744">
        <v>430000</v>
      </c>
      <c r="E56" s="1744">
        <v>430000</v>
      </c>
      <c r="F56" s="1744">
        <v>430000</v>
      </c>
      <c r="G56" s="1744">
        <v>430000</v>
      </c>
      <c r="H56" s="1744">
        <f>+[4]Vodovod!$B$5</f>
        <v>430000</v>
      </c>
      <c r="I56" s="1745">
        <f t="shared" si="0"/>
        <v>0</v>
      </c>
      <c r="J56" s="1807"/>
      <c r="K56" s="1816"/>
      <c r="L56" s="1028"/>
    </row>
    <row r="57" spans="1:12" outlineLevel="1" x14ac:dyDescent="0.25">
      <c r="A57" s="1841">
        <v>2310</v>
      </c>
      <c r="B57" s="1818">
        <v>5154</v>
      </c>
      <c r="C57" s="1819"/>
      <c r="D57" s="1771"/>
      <c r="E57" s="1771"/>
      <c r="F57" s="1771"/>
      <c r="G57" s="1771"/>
      <c r="H57" s="1771"/>
      <c r="I57" s="1768">
        <f t="shared" si="0"/>
        <v>0</v>
      </c>
      <c r="J57" s="1807"/>
      <c r="K57" s="1816"/>
      <c r="L57" s="1028"/>
    </row>
    <row r="58" spans="1:12" ht="13.5" thickBot="1" x14ac:dyDescent="0.3">
      <c r="A58" s="3166" t="s">
        <v>210</v>
      </c>
      <c r="B58" s="3167"/>
      <c r="C58" s="1855"/>
      <c r="D58" s="1748">
        <v>430000</v>
      </c>
      <c r="E58" s="1748">
        <v>430000</v>
      </c>
      <c r="F58" s="1748">
        <v>430000</v>
      </c>
      <c r="G58" s="1748">
        <v>430000</v>
      </c>
      <c r="H58" s="1748">
        <f>SUM(H56:H57)</f>
        <v>430000</v>
      </c>
      <c r="I58" s="1749">
        <f t="shared" si="0"/>
        <v>0</v>
      </c>
      <c r="J58" s="1856">
        <f>'Výdaje kapitol celkem'!CJ25</f>
        <v>430000</v>
      </c>
      <c r="K58" s="1816">
        <f>+J58-H58</f>
        <v>0</v>
      </c>
      <c r="L58" s="1028"/>
    </row>
    <row r="59" spans="1:12" outlineLevel="1" x14ac:dyDescent="0.25">
      <c r="A59" s="1835" t="s">
        <v>178</v>
      </c>
      <c r="B59" s="1809">
        <v>5154</v>
      </c>
      <c r="C59" s="1810" t="s">
        <v>2280</v>
      </c>
      <c r="D59" s="1744">
        <v>80000</v>
      </c>
      <c r="E59" s="1744">
        <v>80000</v>
      </c>
      <c r="F59" s="1744">
        <v>80000</v>
      </c>
      <c r="G59" s="1744">
        <v>80000</v>
      </c>
      <c r="H59" s="1744">
        <f>+[4]Kanalizace!$B$5</f>
        <v>80000</v>
      </c>
      <c r="I59" s="1745">
        <f t="shared" si="0"/>
        <v>0</v>
      </c>
      <c r="J59" s="1807"/>
      <c r="K59" s="1816"/>
      <c r="L59" s="1028"/>
    </row>
    <row r="60" spans="1:12" hidden="1" outlineLevel="1" x14ac:dyDescent="0.25">
      <c r="A60" s="1841" t="s">
        <v>178</v>
      </c>
      <c r="B60" s="1818">
        <v>5154</v>
      </c>
      <c r="C60" s="1819"/>
      <c r="D60" s="1771"/>
      <c r="E60" s="1771"/>
      <c r="F60" s="1771"/>
      <c r="G60" s="1771"/>
      <c r="H60" s="1771"/>
      <c r="I60" s="1768">
        <f t="shared" si="0"/>
        <v>0</v>
      </c>
      <c r="J60" s="1807"/>
      <c r="K60" s="1816"/>
      <c r="L60" s="1028"/>
    </row>
    <row r="61" spans="1:12" outlineLevel="1" x14ac:dyDescent="0.25">
      <c r="A61" s="1841" t="s">
        <v>178</v>
      </c>
      <c r="B61" s="1818">
        <v>5154</v>
      </c>
      <c r="C61" s="1819"/>
      <c r="D61" s="1771"/>
      <c r="E61" s="1771"/>
      <c r="F61" s="1771"/>
      <c r="G61" s="1771"/>
      <c r="H61" s="1771"/>
      <c r="I61" s="1768">
        <f t="shared" si="0"/>
        <v>0</v>
      </c>
      <c r="J61" s="1807"/>
      <c r="K61" s="1816"/>
      <c r="L61" s="1028"/>
    </row>
    <row r="62" spans="1:12" ht="13.5" thickBot="1" x14ac:dyDescent="0.3">
      <c r="A62" s="3166" t="s">
        <v>1215</v>
      </c>
      <c r="B62" s="3167"/>
      <c r="C62" s="1855"/>
      <c r="D62" s="1748">
        <v>80000</v>
      </c>
      <c r="E62" s="1748">
        <v>80000</v>
      </c>
      <c r="F62" s="1748">
        <v>80000</v>
      </c>
      <c r="G62" s="1748">
        <v>80000</v>
      </c>
      <c r="H62" s="1748">
        <f>SUM(H59:H61)</f>
        <v>80000</v>
      </c>
      <c r="I62" s="1749">
        <f t="shared" si="0"/>
        <v>0</v>
      </c>
      <c r="J62" s="1856">
        <f>'Výdaje kapitol celkem'!CP25</f>
        <v>80000</v>
      </c>
      <c r="K62" s="1816">
        <f>+J62-H62</f>
        <v>0</v>
      </c>
      <c r="L62" s="1028"/>
    </row>
    <row r="63" spans="1:12" hidden="1" outlineLevel="1" x14ac:dyDescent="0.25">
      <c r="A63" s="1835" t="s">
        <v>181</v>
      </c>
      <c r="B63" s="1809">
        <v>5154</v>
      </c>
      <c r="C63" s="1810"/>
      <c r="D63" s="1744">
        <v>0</v>
      </c>
      <c r="E63" s="1744">
        <v>0</v>
      </c>
      <c r="F63" s="1744">
        <v>0</v>
      </c>
      <c r="G63" s="1744">
        <v>0</v>
      </c>
      <c r="H63" s="1744">
        <v>0</v>
      </c>
      <c r="I63" s="1745">
        <f t="shared" si="0"/>
        <v>0</v>
      </c>
      <c r="J63" s="1807"/>
      <c r="K63" s="1816"/>
      <c r="L63" s="1028"/>
    </row>
    <row r="64" spans="1:12" hidden="1" outlineLevel="1" x14ac:dyDescent="0.25">
      <c r="A64" s="1841" t="s">
        <v>181</v>
      </c>
      <c r="B64" s="1818">
        <v>5154</v>
      </c>
      <c r="C64" s="1819"/>
      <c r="D64" s="1771"/>
      <c r="E64" s="1771"/>
      <c r="F64" s="1771"/>
      <c r="G64" s="1771"/>
      <c r="H64" s="1771"/>
      <c r="I64" s="1768">
        <f t="shared" si="0"/>
        <v>0</v>
      </c>
      <c r="J64" s="1807"/>
      <c r="K64" s="1816"/>
      <c r="L64" s="1028"/>
    </row>
    <row r="65" spans="1:12" ht="13.5" collapsed="1" thickBot="1" x14ac:dyDescent="0.3">
      <c r="A65" s="3166" t="s">
        <v>1174</v>
      </c>
      <c r="B65" s="3167"/>
      <c r="C65" s="1855"/>
      <c r="D65" s="1748">
        <v>0</v>
      </c>
      <c r="E65" s="1748">
        <v>0</v>
      </c>
      <c r="F65" s="1748">
        <v>0</v>
      </c>
      <c r="G65" s="1748">
        <v>0</v>
      </c>
      <c r="H65" s="1748">
        <f>SUM(H63:H64)</f>
        <v>0</v>
      </c>
      <c r="I65" s="1749">
        <f t="shared" si="0"/>
        <v>0</v>
      </c>
      <c r="J65" s="1856">
        <f>'Výdaje kapitol celkem'!DU25</f>
        <v>0</v>
      </c>
      <c r="K65" s="1816">
        <f>+J65-H65</f>
        <v>0</v>
      </c>
      <c r="L65" s="1028"/>
    </row>
    <row r="66" spans="1:12" s="1029" customFormat="1" ht="13.5" thickBot="1" x14ac:dyDescent="0.3">
      <c r="A66" s="3173" t="s">
        <v>1168</v>
      </c>
      <c r="B66" s="3174"/>
      <c r="C66" s="3175"/>
      <c r="D66" s="1755">
        <v>5916300</v>
      </c>
      <c r="E66" s="1755">
        <v>5916300</v>
      </c>
      <c r="F66" s="1755">
        <v>5916300</v>
      </c>
      <c r="G66" s="1755">
        <v>5916300</v>
      </c>
      <c r="H66" s="1755">
        <f>+H65+H62+H58+H55+H52+H48+H41+H38+H32+H29+H26+H23+H17+H14+H11+H8+H35+H20+H44</f>
        <v>5916300</v>
      </c>
      <c r="I66" s="1756">
        <f t="shared" si="0"/>
        <v>0</v>
      </c>
      <c r="J66" s="1807"/>
      <c r="K66" s="1827"/>
      <c r="L66" s="1028"/>
    </row>
    <row r="67" spans="1:12" x14ac:dyDescent="0.25">
      <c r="A67" s="1801"/>
      <c r="B67" s="1801"/>
      <c r="C67" s="1801"/>
      <c r="D67" s="1776">
        <v>5916300</v>
      </c>
      <c r="E67" s="1776">
        <v>5916300</v>
      </c>
      <c r="F67" s="1776">
        <v>5916300</v>
      </c>
      <c r="G67" s="1776">
        <v>5916300</v>
      </c>
      <c r="H67" s="1776">
        <f>'Výdaje kapitol celkem'!G25</f>
        <v>5916300</v>
      </c>
      <c r="I67" s="1764"/>
      <c r="J67" s="1807"/>
      <c r="K67" s="1803"/>
    </row>
    <row r="68" spans="1:12" s="1031" customFormat="1" x14ac:dyDescent="0.25">
      <c r="A68" s="1829"/>
      <c r="B68" s="1829"/>
      <c r="C68" s="1829" t="s">
        <v>216</v>
      </c>
      <c r="D68" s="1764">
        <v>0</v>
      </c>
      <c r="E68" s="1764">
        <v>0</v>
      </c>
      <c r="F68" s="1764">
        <v>0</v>
      </c>
      <c r="G68" s="1764">
        <v>0</v>
      </c>
      <c r="H68" s="1764">
        <f>+H67-H66</f>
        <v>0</v>
      </c>
      <c r="I68" s="1764"/>
      <c r="J68" s="1807"/>
      <c r="K68" s="1803"/>
    </row>
    <row r="69" spans="1:12" x14ac:dyDescent="0.25">
      <c r="A69" s="1847" t="s">
        <v>544</v>
      </c>
      <c r="B69" s="1801"/>
      <c r="C69" s="1801"/>
      <c r="D69" s="1776"/>
      <c r="E69" s="1776"/>
      <c r="F69" s="1776"/>
      <c r="G69" s="1776"/>
      <c r="H69" s="1776"/>
      <c r="I69" s="1764"/>
      <c r="J69" s="1807"/>
      <c r="K69" s="1803"/>
    </row>
  </sheetData>
  <sheetProtection algorithmName="SHA-512" hashValue="pgsxT+KveQkzax/Pe/OtW42uJBt8o5SyN8KkdnTfL5/cTObhbNQj8pveaqCoaALEigPKPSP9tdQntFs29+BqOQ==" saltValue="b0ZdZndia4xwUDnz1d5L7Q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35" zoomScale="88" zoomScaleNormal="88" workbookViewId="0">
      <selection activeCell="I64" sqref="I64"/>
    </sheetView>
  </sheetViews>
  <sheetFormatPr defaultColWidth="9" defaultRowHeight="13.5" outlineLevelRow="1" x14ac:dyDescent="0.25"/>
  <cols>
    <col min="1" max="1" width="15.28515625" style="320" customWidth="1"/>
    <col min="2" max="2" width="9.7109375" style="320" customWidth="1"/>
    <col min="3" max="3" width="57.7109375" style="320" customWidth="1"/>
    <col min="4" max="4" width="9.85546875" style="322" hidden="1" customWidth="1"/>
    <col min="5" max="6" width="10" style="322" hidden="1" customWidth="1"/>
    <col min="7" max="7" width="11.42578125" style="322" customWidth="1"/>
    <col min="8" max="8" width="11.28515625" style="322" customWidth="1"/>
    <col min="9" max="9" width="8.28515625" style="323" customWidth="1"/>
    <col min="10" max="10" width="9.85546875" style="1858" customWidth="1"/>
    <col min="11" max="11" width="10" style="1852" bestFit="1" customWidth="1"/>
    <col min="12" max="16384" width="9" style="967"/>
  </cols>
  <sheetData>
    <row r="1" spans="1:12" s="980" customFormat="1" ht="24" customHeight="1" x14ac:dyDescent="0.3">
      <c r="A1" s="108" t="s">
        <v>2163</v>
      </c>
      <c r="B1" s="108"/>
      <c r="C1" s="1795"/>
      <c r="D1" s="1738"/>
      <c r="E1" s="1738"/>
      <c r="F1" s="1738"/>
      <c r="G1" s="1738"/>
      <c r="H1" s="1738"/>
      <c r="I1" s="1739"/>
      <c r="J1" s="1853"/>
      <c r="K1" s="1848"/>
    </row>
    <row r="2" spans="1:12" s="1009" customFormat="1" ht="20.25" customHeight="1" x14ac:dyDescent="0.3">
      <c r="A2" s="3176" t="s">
        <v>712</v>
      </c>
      <c r="B2" s="3176"/>
      <c r="C2" s="3177"/>
      <c r="D2" s="1740"/>
      <c r="E2" s="1740"/>
      <c r="F2" s="1740"/>
      <c r="G2" s="1740"/>
      <c r="H2" s="1740"/>
      <c r="I2" s="1741"/>
      <c r="J2" s="1854"/>
      <c r="K2" s="1849"/>
    </row>
    <row r="3" spans="1:12" ht="14.25" thickBot="1" x14ac:dyDescent="0.3">
      <c r="A3" s="109"/>
      <c r="B3" s="109"/>
      <c r="C3" s="109"/>
      <c r="D3" s="334"/>
      <c r="E3" s="334"/>
      <c r="F3" s="334"/>
      <c r="G3" s="334"/>
      <c r="H3" s="334"/>
      <c r="I3" s="283"/>
      <c r="J3" s="1807"/>
      <c r="K3" s="1725"/>
    </row>
    <row r="4" spans="1:12" ht="26.25" thickBot="1" x14ac:dyDescent="0.3">
      <c r="A4" s="1804" t="s">
        <v>1</v>
      </c>
      <c r="B4" s="1805" t="s">
        <v>63</v>
      </c>
      <c r="C4" s="1806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 t="s">
        <v>762</v>
      </c>
      <c r="K4" s="1725" t="s">
        <v>707</v>
      </c>
    </row>
    <row r="5" spans="1:12" outlineLevel="1" x14ac:dyDescent="0.25">
      <c r="A5" s="1835">
        <v>6409</v>
      </c>
      <c r="B5" s="1809">
        <v>5164</v>
      </c>
      <c r="C5" s="1810" t="s">
        <v>1711</v>
      </c>
      <c r="D5" s="1744"/>
      <c r="E5" s="1744"/>
      <c r="F5" s="1744"/>
      <c r="G5" s="1744"/>
      <c r="H5" s="1744"/>
      <c r="I5" s="1745">
        <f>+H5-G5</f>
        <v>0</v>
      </c>
      <c r="J5" s="1807"/>
      <c r="K5" s="1725"/>
    </row>
    <row r="6" spans="1:12" outlineLevel="1" x14ac:dyDescent="0.25">
      <c r="A6" s="1836">
        <v>6409</v>
      </c>
      <c r="B6" s="1812">
        <f>+B5</f>
        <v>5164</v>
      </c>
      <c r="C6" s="1813"/>
      <c r="D6" s="1746">
        <v>0</v>
      </c>
      <c r="E6" s="1746">
        <v>0</v>
      </c>
      <c r="F6" s="1746">
        <v>0</v>
      </c>
      <c r="G6" s="1746">
        <v>0</v>
      </c>
      <c r="H6" s="1746">
        <f>+'[4]Všeob. pokladna'!$B$13</f>
        <v>0</v>
      </c>
      <c r="I6" s="1747">
        <f t="shared" ref="I6:I59" si="0">+H6-G6</f>
        <v>0</v>
      </c>
      <c r="J6" s="1807"/>
      <c r="K6" s="1725"/>
    </row>
    <row r="7" spans="1:12" s="969" customFormat="1" ht="14.25" thickBot="1" x14ac:dyDescent="0.3">
      <c r="A7" s="3166" t="s">
        <v>1216</v>
      </c>
      <c r="B7" s="3167"/>
      <c r="C7" s="1855"/>
      <c r="D7" s="1748">
        <v>0</v>
      </c>
      <c r="E7" s="1748">
        <v>0</v>
      </c>
      <c r="F7" s="1748">
        <v>0</v>
      </c>
      <c r="G7" s="1748">
        <v>0</v>
      </c>
      <c r="H7" s="1748">
        <f t="shared" ref="H7" si="1">SUM(H5:H6)</f>
        <v>0</v>
      </c>
      <c r="I7" s="1749">
        <f t="shared" si="0"/>
        <v>0</v>
      </c>
      <c r="J7" s="1856">
        <f>'Výdaje kapitol celkem'!L30</f>
        <v>0</v>
      </c>
      <c r="K7" s="303">
        <f>+J7-H7</f>
        <v>0</v>
      </c>
      <c r="L7" s="972"/>
    </row>
    <row r="8" spans="1:12" outlineLevel="1" x14ac:dyDescent="0.25">
      <c r="A8" s="1835">
        <v>6112</v>
      </c>
      <c r="B8" s="1809">
        <f>+B31</f>
        <v>5164</v>
      </c>
      <c r="C8" s="1810" t="s">
        <v>2438</v>
      </c>
      <c r="D8" s="1744">
        <v>17000</v>
      </c>
      <c r="E8" s="1744">
        <v>17000</v>
      </c>
      <c r="F8" s="1744">
        <v>17000</v>
      </c>
      <c r="G8" s="1744">
        <v>17000</v>
      </c>
      <c r="H8" s="1744">
        <f>+[3]Zastupitelé!$B$38</f>
        <v>17000</v>
      </c>
      <c r="I8" s="1745">
        <f t="shared" si="0"/>
        <v>0</v>
      </c>
      <c r="J8" s="1807"/>
      <c r="K8" s="303"/>
    </row>
    <row r="9" spans="1:12" outlineLevel="1" x14ac:dyDescent="0.25">
      <c r="A9" s="1836">
        <v>6112</v>
      </c>
      <c r="B9" s="1812">
        <f>+B8</f>
        <v>5164</v>
      </c>
      <c r="C9" s="1813"/>
      <c r="D9" s="1746">
        <v>0</v>
      </c>
      <c r="E9" s="1746">
        <v>0</v>
      </c>
      <c r="F9" s="1746">
        <v>0</v>
      </c>
      <c r="G9" s="1746">
        <v>0</v>
      </c>
      <c r="H9" s="1746">
        <f>+[3]Zastupitelé!$B$39</f>
        <v>0</v>
      </c>
      <c r="I9" s="1747">
        <f t="shared" si="0"/>
        <v>0</v>
      </c>
      <c r="J9" s="1807"/>
      <c r="K9" s="303"/>
    </row>
    <row r="10" spans="1:12" s="969" customFormat="1" ht="14.25" thickBot="1" x14ac:dyDescent="0.3">
      <c r="A10" s="3166" t="s">
        <v>1205</v>
      </c>
      <c r="B10" s="3167"/>
      <c r="C10" s="1855"/>
      <c r="D10" s="1748">
        <v>17000</v>
      </c>
      <c r="E10" s="1748">
        <v>17000</v>
      </c>
      <c r="F10" s="1748">
        <v>17000</v>
      </c>
      <c r="G10" s="1748">
        <v>17000</v>
      </c>
      <c r="H10" s="1748">
        <f t="shared" ref="H10" si="2">SUM(H8:H9)</f>
        <v>17000</v>
      </c>
      <c r="I10" s="1749">
        <f t="shared" si="0"/>
        <v>0</v>
      </c>
      <c r="J10" s="1856">
        <f>'Výdaje kapitol celkem'!N30</f>
        <v>17000</v>
      </c>
      <c r="K10" s="303">
        <f>+J10-H10</f>
        <v>0</v>
      </c>
      <c r="L10" s="972"/>
    </row>
    <row r="11" spans="1:12" outlineLevel="1" x14ac:dyDescent="0.25">
      <c r="A11" s="1835">
        <v>3314</v>
      </c>
      <c r="B11" s="1809">
        <f>+B30</f>
        <v>5164</v>
      </c>
      <c r="C11" s="1810"/>
      <c r="D11" s="1744">
        <v>192000</v>
      </c>
      <c r="E11" s="1744">
        <v>192000</v>
      </c>
      <c r="F11" s="1744">
        <v>192000</v>
      </c>
      <c r="G11" s="1744">
        <v>192000</v>
      </c>
      <c r="H11" s="1744">
        <f>+[3]Knihovna!$B$41</f>
        <v>192000</v>
      </c>
      <c r="I11" s="1745">
        <f t="shared" si="0"/>
        <v>0</v>
      </c>
      <c r="J11" s="1807"/>
      <c r="K11" s="303"/>
    </row>
    <row r="12" spans="1:12" outlineLevel="1" x14ac:dyDescent="0.25">
      <c r="A12" s="1836">
        <v>3314</v>
      </c>
      <c r="B12" s="1812">
        <v>5164</v>
      </c>
      <c r="C12" s="1813"/>
      <c r="D12" s="1746">
        <v>0</v>
      </c>
      <c r="E12" s="1746">
        <v>0</v>
      </c>
      <c r="F12" s="1746">
        <v>0</v>
      </c>
      <c r="G12" s="1746">
        <v>0</v>
      </c>
      <c r="H12" s="1746">
        <f>+[3]Knihovna!$B$42</f>
        <v>0</v>
      </c>
      <c r="I12" s="1747">
        <f t="shared" si="0"/>
        <v>0</v>
      </c>
      <c r="J12" s="1807"/>
      <c r="K12" s="303"/>
    </row>
    <row r="13" spans="1:12" s="969" customFormat="1" ht="14.25" thickBot="1" x14ac:dyDescent="0.3">
      <c r="A13" s="3166" t="s">
        <v>1177</v>
      </c>
      <c r="B13" s="3167"/>
      <c r="C13" s="1855"/>
      <c r="D13" s="1748">
        <v>192000</v>
      </c>
      <c r="E13" s="1748">
        <v>192000</v>
      </c>
      <c r="F13" s="1748">
        <v>192000</v>
      </c>
      <c r="G13" s="1748">
        <v>192000</v>
      </c>
      <c r="H13" s="1748">
        <f t="shared" ref="H13" si="3">SUM(H11:H12)</f>
        <v>192000</v>
      </c>
      <c r="I13" s="1749">
        <f t="shared" si="0"/>
        <v>0</v>
      </c>
      <c r="J13" s="1856">
        <f>'Výdaje kapitol celkem'!AB30</f>
        <v>192000</v>
      </c>
      <c r="K13" s="303">
        <f>+J13-H13</f>
        <v>0</v>
      </c>
      <c r="L13" s="972"/>
    </row>
    <row r="14" spans="1:12" outlineLevel="1" x14ac:dyDescent="0.25">
      <c r="A14" s="1835">
        <v>3399</v>
      </c>
      <c r="B14" s="1809">
        <f>+B9</f>
        <v>5164</v>
      </c>
      <c r="C14" s="1810" t="s">
        <v>2439</v>
      </c>
      <c r="D14" s="1744">
        <v>0</v>
      </c>
      <c r="E14" s="1744">
        <v>0</v>
      </c>
      <c r="F14" s="1744">
        <v>0</v>
      </c>
      <c r="G14" s="1744">
        <v>0</v>
      </c>
      <c r="H14" s="1744">
        <f>+[3]Kultura!$B$22</f>
        <v>0</v>
      </c>
      <c r="I14" s="1745">
        <f t="shared" si="0"/>
        <v>0</v>
      </c>
      <c r="J14" s="1807"/>
      <c r="K14" s="303"/>
    </row>
    <row r="15" spans="1:12" outlineLevel="1" x14ac:dyDescent="0.25">
      <c r="A15" s="1836">
        <v>3399</v>
      </c>
      <c r="B15" s="1812">
        <f>+B14</f>
        <v>5164</v>
      </c>
      <c r="C15" s="1813" t="s">
        <v>2299</v>
      </c>
      <c r="D15" s="1746">
        <v>80000</v>
      </c>
      <c r="E15" s="1746">
        <v>80000</v>
      </c>
      <c r="F15" s="1746">
        <v>80000</v>
      </c>
      <c r="G15" s="1746">
        <v>80000</v>
      </c>
      <c r="H15" s="1746">
        <f>+[3]Kultura!$B$23</f>
        <v>80000</v>
      </c>
      <c r="I15" s="1747">
        <f t="shared" si="0"/>
        <v>0</v>
      </c>
      <c r="J15" s="1807"/>
      <c r="K15" s="303"/>
    </row>
    <row r="16" spans="1:12" outlineLevel="1" x14ac:dyDescent="0.25">
      <c r="A16" s="1836">
        <v>3399</v>
      </c>
      <c r="B16" s="1812">
        <f>+B15</f>
        <v>5164</v>
      </c>
      <c r="C16" s="1813"/>
      <c r="D16" s="1746"/>
      <c r="E16" s="1746"/>
      <c r="F16" s="1746"/>
      <c r="G16" s="1746"/>
      <c r="H16" s="1746"/>
      <c r="I16" s="1747">
        <f t="shared" si="0"/>
        <v>0</v>
      </c>
      <c r="J16" s="1807"/>
      <c r="K16" s="303"/>
    </row>
    <row r="17" spans="1:12" s="969" customFormat="1" ht="14.25" thickBot="1" x14ac:dyDescent="0.3">
      <c r="A17" s="3166" t="s">
        <v>1202</v>
      </c>
      <c r="B17" s="3167"/>
      <c r="C17" s="1855"/>
      <c r="D17" s="1748">
        <v>80000</v>
      </c>
      <c r="E17" s="1748">
        <v>80000</v>
      </c>
      <c r="F17" s="1748">
        <v>80000</v>
      </c>
      <c r="G17" s="1748">
        <v>80000</v>
      </c>
      <c r="H17" s="1748">
        <f t="shared" ref="H17" si="4">SUM(H14:H16)</f>
        <v>80000</v>
      </c>
      <c r="I17" s="1749">
        <f t="shared" si="0"/>
        <v>0</v>
      </c>
      <c r="J17" s="1856">
        <f>'Výdaje kapitol celkem'!AD30</f>
        <v>80000</v>
      </c>
      <c r="K17" s="303">
        <f>+J17-H17</f>
        <v>0</v>
      </c>
      <c r="L17" s="972"/>
    </row>
    <row r="18" spans="1:12" hidden="1" outlineLevel="1" x14ac:dyDescent="0.25">
      <c r="A18" s="1835">
        <v>3612</v>
      </c>
      <c r="B18" s="1809">
        <f>+B16</f>
        <v>5164</v>
      </c>
      <c r="C18" s="1810" t="s">
        <v>1712</v>
      </c>
      <c r="D18" s="1744"/>
      <c r="E18" s="1744"/>
      <c r="F18" s="1744"/>
      <c r="G18" s="1744"/>
      <c r="H18" s="1744"/>
      <c r="I18" s="1745">
        <f t="shared" si="0"/>
        <v>0</v>
      </c>
      <c r="J18" s="1807"/>
      <c r="K18" s="303"/>
      <c r="L18" s="972"/>
    </row>
    <row r="19" spans="1:12" hidden="1" outlineLevel="1" x14ac:dyDescent="0.25">
      <c r="A19" s="1836">
        <v>3612</v>
      </c>
      <c r="B19" s="1812">
        <f>+B18</f>
        <v>5164</v>
      </c>
      <c r="C19" s="1813"/>
      <c r="D19" s="1746">
        <v>0</v>
      </c>
      <c r="E19" s="1746">
        <v>0</v>
      </c>
      <c r="F19" s="1746">
        <v>0</v>
      </c>
      <c r="G19" s="1746">
        <v>0</v>
      </c>
      <c r="H19" s="1746">
        <f>+[4]Byty!$B$19</f>
        <v>0</v>
      </c>
      <c r="I19" s="1747">
        <f t="shared" si="0"/>
        <v>0</v>
      </c>
      <c r="J19" s="1807"/>
      <c r="K19" s="303"/>
      <c r="L19" s="972"/>
    </row>
    <row r="20" spans="1:12" s="969" customFormat="1" ht="14.25" collapsed="1" thickBot="1" x14ac:dyDescent="0.3">
      <c r="A20" s="3166" t="s">
        <v>1217</v>
      </c>
      <c r="B20" s="3167"/>
      <c r="C20" s="1855"/>
      <c r="D20" s="1748">
        <v>0</v>
      </c>
      <c r="E20" s="1748">
        <v>0</v>
      </c>
      <c r="F20" s="1748">
        <v>0</v>
      </c>
      <c r="G20" s="1748">
        <v>0</v>
      </c>
      <c r="H20" s="1748">
        <f t="shared" ref="H20" si="5">SUM(H18:H19)</f>
        <v>0</v>
      </c>
      <c r="I20" s="1749">
        <f t="shared" si="0"/>
        <v>0</v>
      </c>
      <c r="J20" s="1856">
        <f>'Výdaje kapitol celkem'!AE30</f>
        <v>0</v>
      </c>
      <c r="K20" s="303">
        <f>+J20-H20</f>
        <v>0</v>
      </c>
      <c r="L20" s="972"/>
    </row>
    <row r="21" spans="1:12" hidden="1" outlineLevel="1" x14ac:dyDescent="0.25">
      <c r="A21" s="1835">
        <v>3412</v>
      </c>
      <c r="B21" s="1809">
        <f>+B11</f>
        <v>5164</v>
      </c>
      <c r="C21" s="1810" t="s">
        <v>1713</v>
      </c>
      <c r="D21" s="1744">
        <v>0</v>
      </c>
      <c r="E21" s="1744">
        <v>0</v>
      </c>
      <c r="F21" s="1744">
        <v>0</v>
      </c>
      <c r="G21" s="1744">
        <v>0</v>
      </c>
      <c r="H21" s="1744">
        <f>+[4]koupaliště!$B$5</f>
        <v>0</v>
      </c>
      <c r="I21" s="1745">
        <f t="shared" si="0"/>
        <v>0</v>
      </c>
      <c r="J21" s="1807"/>
      <c r="K21" s="303"/>
      <c r="L21" s="972"/>
    </row>
    <row r="22" spans="1:12" hidden="1" outlineLevel="1" x14ac:dyDescent="0.25">
      <c r="A22" s="1836">
        <v>3412</v>
      </c>
      <c r="B22" s="1812">
        <f>+B21</f>
        <v>5164</v>
      </c>
      <c r="C22" s="1813"/>
      <c r="D22" s="1746">
        <v>0</v>
      </c>
      <c r="E22" s="1746">
        <v>0</v>
      </c>
      <c r="F22" s="1746">
        <v>0</v>
      </c>
      <c r="G22" s="1746">
        <v>0</v>
      </c>
      <c r="H22" s="1746">
        <f>+[4]koupaliště!$B$6</f>
        <v>0</v>
      </c>
      <c r="I22" s="1747">
        <f t="shared" si="0"/>
        <v>0</v>
      </c>
      <c r="J22" s="1807"/>
      <c r="K22" s="303"/>
      <c r="L22" s="972"/>
    </row>
    <row r="23" spans="1:12" s="969" customFormat="1" ht="14.25" collapsed="1" thickBot="1" x14ac:dyDescent="0.3">
      <c r="A23" s="3166" t="s">
        <v>1180</v>
      </c>
      <c r="B23" s="3167"/>
      <c r="C23" s="1855"/>
      <c r="D23" s="1748">
        <v>0</v>
      </c>
      <c r="E23" s="1748">
        <v>0</v>
      </c>
      <c r="F23" s="1748">
        <v>0</v>
      </c>
      <c r="G23" s="1748">
        <v>0</v>
      </c>
      <c r="H23" s="1748">
        <f t="shared" ref="H23" si="6">SUM(H21:H22)</f>
        <v>0</v>
      </c>
      <c r="I23" s="1749">
        <f t="shared" si="0"/>
        <v>0</v>
      </c>
      <c r="J23" s="1856">
        <f>'Výdaje kapitol celkem'!AT30</f>
        <v>0</v>
      </c>
      <c r="K23" s="303">
        <f>+J23-H23</f>
        <v>0</v>
      </c>
      <c r="L23" s="972"/>
    </row>
    <row r="24" spans="1:12" hidden="1" outlineLevel="1" x14ac:dyDescent="0.25">
      <c r="A24" s="1835" t="s">
        <v>1181</v>
      </c>
      <c r="B24" s="1809">
        <f>+B14</f>
        <v>5164</v>
      </c>
      <c r="C24" s="1810"/>
      <c r="D24" s="1744">
        <v>0</v>
      </c>
      <c r="E24" s="1744">
        <v>0</v>
      </c>
      <c r="F24" s="1744">
        <v>0</v>
      </c>
      <c r="G24" s="1744">
        <v>0</v>
      </c>
      <c r="H24" s="1744">
        <f>+[4]Hřiště!$B$5</f>
        <v>0</v>
      </c>
      <c r="I24" s="1745">
        <f t="shared" si="0"/>
        <v>0</v>
      </c>
      <c r="J24" s="1807"/>
      <c r="K24" s="303"/>
    </row>
    <row r="25" spans="1:12" hidden="1" outlineLevel="1" x14ac:dyDescent="0.25">
      <c r="A25" s="1836" t="s">
        <v>1181</v>
      </c>
      <c r="B25" s="1812">
        <f>+B24</f>
        <v>5164</v>
      </c>
      <c r="C25" s="1813"/>
      <c r="D25" s="1746">
        <v>0</v>
      </c>
      <c r="E25" s="1746">
        <v>0</v>
      </c>
      <c r="F25" s="1746">
        <v>0</v>
      </c>
      <c r="G25" s="1746">
        <v>0</v>
      </c>
      <c r="H25" s="1746">
        <f>+[4]Hřiště!$B$6</f>
        <v>0</v>
      </c>
      <c r="I25" s="1747">
        <f t="shared" si="0"/>
        <v>0</v>
      </c>
      <c r="J25" s="1807"/>
      <c r="K25" s="303">
        <f>+J25-H25</f>
        <v>0</v>
      </c>
    </row>
    <row r="26" spans="1:12" s="969" customFormat="1" ht="14.25" collapsed="1" thickBot="1" x14ac:dyDescent="0.3">
      <c r="A26" s="3166" t="s">
        <v>1182</v>
      </c>
      <c r="B26" s="3167"/>
      <c r="C26" s="1855"/>
      <c r="D26" s="1748">
        <v>0</v>
      </c>
      <c r="E26" s="1748">
        <v>0</v>
      </c>
      <c r="F26" s="1748">
        <v>0</v>
      </c>
      <c r="G26" s="1748">
        <v>0</v>
      </c>
      <c r="H26" s="1748">
        <f t="shared" ref="H26" si="7">SUM(H24:H25)</f>
        <v>0</v>
      </c>
      <c r="I26" s="1749">
        <f t="shared" si="0"/>
        <v>0</v>
      </c>
      <c r="J26" s="1856">
        <f>'Výdaje kapitol celkem'!AW30</f>
        <v>0</v>
      </c>
      <c r="K26" s="303">
        <f>+J26-H26</f>
        <v>0</v>
      </c>
      <c r="L26" s="972"/>
    </row>
    <row r="27" spans="1:12" outlineLevel="1" x14ac:dyDescent="0.25">
      <c r="A27" s="1835" t="s">
        <v>1183</v>
      </c>
      <c r="B27" s="1809">
        <v>5164</v>
      </c>
      <c r="C27" s="1810" t="s">
        <v>1714</v>
      </c>
      <c r="D27" s="1744">
        <v>16208</v>
      </c>
      <c r="E27" s="1744">
        <v>16208</v>
      </c>
      <c r="F27" s="1744">
        <v>16208</v>
      </c>
      <c r="G27" s="1744">
        <v>16208</v>
      </c>
      <c r="H27" s="1744">
        <f>+[4]Spolky!$B$5</f>
        <v>16208</v>
      </c>
      <c r="I27" s="1745">
        <f t="shared" si="0"/>
        <v>0</v>
      </c>
      <c r="J27" s="1807"/>
      <c r="K27" s="303"/>
      <c r="L27" s="972"/>
    </row>
    <row r="28" spans="1:12" outlineLevel="1" x14ac:dyDescent="0.25">
      <c r="A28" s="1836" t="s">
        <v>1183</v>
      </c>
      <c r="B28" s="1812">
        <f>+B27</f>
        <v>5164</v>
      </c>
      <c r="C28" s="1813"/>
      <c r="D28" s="1746">
        <v>0</v>
      </c>
      <c r="E28" s="1746">
        <v>0</v>
      </c>
      <c r="F28" s="1746">
        <v>0</v>
      </c>
      <c r="G28" s="1746">
        <v>0</v>
      </c>
      <c r="H28" s="1746">
        <f>+[4]Spolky!$B$6</f>
        <v>0</v>
      </c>
      <c r="I28" s="1747">
        <f t="shared" si="0"/>
        <v>0</v>
      </c>
      <c r="J28" s="1807"/>
      <c r="K28" s="303"/>
      <c r="L28" s="972"/>
    </row>
    <row r="29" spans="1:12" s="969" customFormat="1" ht="14.25" thickBot="1" x14ac:dyDescent="0.3">
      <c r="A29" s="3166" t="s">
        <v>1184</v>
      </c>
      <c r="B29" s="3167"/>
      <c r="C29" s="1855"/>
      <c r="D29" s="1748">
        <v>16208</v>
      </c>
      <c r="E29" s="1748">
        <v>16208</v>
      </c>
      <c r="F29" s="1748">
        <v>16208</v>
      </c>
      <c r="G29" s="1748">
        <v>16208</v>
      </c>
      <c r="H29" s="1748">
        <f t="shared" ref="H29" si="8">SUM(H27:H28)</f>
        <v>16208</v>
      </c>
      <c r="I29" s="1749">
        <f t="shared" si="0"/>
        <v>0</v>
      </c>
      <c r="J29" s="1856">
        <f>'Výdaje kapitol celkem'!AZ30</f>
        <v>16208</v>
      </c>
      <c r="K29" s="303">
        <f>+J29-H29</f>
        <v>0</v>
      </c>
      <c r="L29" s="972"/>
    </row>
    <row r="30" spans="1:12" outlineLevel="1" x14ac:dyDescent="0.25">
      <c r="A30" s="1835">
        <v>3113</v>
      </c>
      <c r="B30" s="1809">
        <v>5164</v>
      </c>
      <c r="C30" s="1810" t="s">
        <v>1976</v>
      </c>
      <c r="D30" s="1744">
        <v>900000</v>
      </c>
      <c r="E30" s="1744">
        <v>900000</v>
      </c>
      <c r="F30" s="1744">
        <v>900000</v>
      </c>
      <c r="G30" s="1744">
        <v>900000</v>
      </c>
      <c r="H30" s="1744">
        <f>+[2]ZŠ!$B$26</f>
        <v>900000</v>
      </c>
      <c r="I30" s="1745">
        <f t="shared" si="0"/>
        <v>0</v>
      </c>
      <c r="J30" s="1807"/>
      <c r="K30" s="303"/>
      <c r="L30" s="972"/>
    </row>
    <row r="31" spans="1:12" outlineLevel="1" x14ac:dyDescent="0.25">
      <c r="A31" s="1836">
        <v>3113</v>
      </c>
      <c r="B31" s="1812">
        <f>+B30</f>
        <v>5164</v>
      </c>
      <c r="C31" s="1813"/>
      <c r="D31" s="1746">
        <v>0</v>
      </c>
      <c r="E31" s="1746">
        <v>0</v>
      </c>
      <c r="F31" s="1746">
        <v>0</v>
      </c>
      <c r="G31" s="1746">
        <v>0</v>
      </c>
      <c r="H31" s="1746">
        <f>+[2]ZŠ!$B$27</f>
        <v>0</v>
      </c>
      <c r="I31" s="1747">
        <f t="shared" si="0"/>
        <v>0</v>
      </c>
      <c r="J31" s="1807"/>
      <c r="K31" s="303"/>
      <c r="L31" s="972"/>
    </row>
    <row r="32" spans="1:12" s="969" customFormat="1" ht="14.25" thickBot="1" x14ac:dyDescent="0.3">
      <c r="A32" s="3166" t="s">
        <v>204</v>
      </c>
      <c r="B32" s="3167"/>
      <c r="C32" s="1855"/>
      <c r="D32" s="1748">
        <v>900000</v>
      </c>
      <c r="E32" s="1748">
        <v>900000</v>
      </c>
      <c r="F32" s="1748">
        <v>900000</v>
      </c>
      <c r="G32" s="1748">
        <v>900000</v>
      </c>
      <c r="H32" s="1748">
        <f t="shared" ref="H32" si="9">SUM(H30:H31)</f>
        <v>900000</v>
      </c>
      <c r="I32" s="1749">
        <f t="shared" si="0"/>
        <v>0</v>
      </c>
      <c r="J32" s="1856">
        <f>'Výdaje kapitol celkem'!BC30</f>
        <v>900000</v>
      </c>
      <c r="K32" s="303">
        <f>+J32-H32</f>
        <v>0</v>
      </c>
      <c r="L32" s="972"/>
    </row>
    <row r="33" spans="1:12" s="969" customFormat="1" hidden="1" outlineLevel="1" x14ac:dyDescent="0.25">
      <c r="A33" s="1835" t="s">
        <v>1540</v>
      </c>
      <c r="B33" s="1809">
        <v>5164</v>
      </c>
      <c r="C33" s="1810"/>
      <c r="D33" s="1744">
        <v>0</v>
      </c>
      <c r="E33" s="1744">
        <v>0</v>
      </c>
      <c r="F33" s="1744">
        <v>0</v>
      </c>
      <c r="G33" s="1744">
        <v>0</v>
      </c>
      <c r="H33" s="1744">
        <f>+[2]SŠ!$B$26</f>
        <v>0</v>
      </c>
      <c r="I33" s="1745">
        <f t="shared" si="0"/>
        <v>0</v>
      </c>
      <c r="J33" s="1807"/>
      <c r="K33" s="303"/>
      <c r="L33" s="972"/>
    </row>
    <row r="34" spans="1:12" s="969" customFormat="1" hidden="1" outlineLevel="1" x14ac:dyDescent="0.25">
      <c r="A34" s="1836" t="s">
        <v>1540</v>
      </c>
      <c r="B34" s="1812">
        <f>+B33</f>
        <v>5164</v>
      </c>
      <c r="C34" s="1813"/>
      <c r="D34" s="1746">
        <v>0</v>
      </c>
      <c r="E34" s="1746">
        <v>0</v>
      </c>
      <c r="F34" s="1746">
        <v>0</v>
      </c>
      <c r="G34" s="1746">
        <v>0</v>
      </c>
      <c r="H34" s="1746">
        <f>+[2]SŠ!$B$27</f>
        <v>0</v>
      </c>
      <c r="I34" s="1747">
        <f t="shared" si="0"/>
        <v>0</v>
      </c>
      <c r="J34" s="1807"/>
      <c r="K34" s="303"/>
      <c r="L34" s="972"/>
    </row>
    <row r="35" spans="1:12" s="969" customFormat="1" ht="14.25" collapsed="1" thickBot="1" x14ac:dyDescent="0.3">
      <c r="A35" s="3166" t="s">
        <v>1542</v>
      </c>
      <c r="B35" s="3167"/>
      <c r="C35" s="1855"/>
      <c r="D35" s="1748">
        <v>0</v>
      </c>
      <c r="E35" s="1748">
        <v>0</v>
      </c>
      <c r="F35" s="1748">
        <v>0</v>
      </c>
      <c r="G35" s="1748">
        <v>0</v>
      </c>
      <c r="H35" s="1748">
        <f t="shared" ref="H35" si="10">SUM(H33:H34)</f>
        <v>0</v>
      </c>
      <c r="I35" s="1749">
        <f t="shared" si="0"/>
        <v>0</v>
      </c>
      <c r="J35" s="1856">
        <f>'Výdaje kapitol celkem'!BC33</f>
        <v>0</v>
      </c>
      <c r="K35" s="303">
        <f>+J35-H35</f>
        <v>0</v>
      </c>
      <c r="L35" s="972"/>
    </row>
    <row r="36" spans="1:12" hidden="1" outlineLevel="1" x14ac:dyDescent="0.25">
      <c r="A36" s="1835">
        <v>3631</v>
      </c>
      <c r="B36" s="1809">
        <f>+B16</f>
        <v>5164</v>
      </c>
      <c r="C36" s="1810" t="s">
        <v>1715</v>
      </c>
      <c r="D36" s="1744"/>
      <c r="E36" s="1744"/>
      <c r="F36" s="1744"/>
      <c r="G36" s="1744"/>
      <c r="H36" s="1744"/>
      <c r="I36" s="1745">
        <f t="shared" si="0"/>
        <v>0</v>
      </c>
      <c r="J36" s="1807"/>
      <c r="K36" s="303"/>
      <c r="L36" s="972"/>
    </row>
    <row r="37" spans="1:12" hidden="1" outlineLevel="1" x14ac:dyDescent="0.25">
      <c r="A37" s="1836">
        <v>3631</v>
      </c>
      <c r="B37" s="1812">
        <f>+B36</f>
        <v>5164</v>
      </c>
      <c r="C37" s="1813"/>
      <c r="D37" s="1750">
        <v>0</v>
      </c>
      <c r="E37" s="1750">
        <v>0</v>
      </c>
      <c r="F37" s="1750">
        <v>0</v>
      </c>
      <c r="G37" s="1750">
        <v>0</v>
      </c>
      <c r="H37" s="1750">
        <f>+[4]Silnice!$B$21</f>
        <v>0</v>
      </c>
      <c r="I37" s="1751">
        <f t="shared" si="0"/>
        <v>0</v>
      </c>
      <c r="J37" s="1807"/>
      <c r="K37" s="303"/>
      <c r="L37" s="972"/>
    </row>
    <row r="38" spans="1:12" ht="14.25" collapsed="1" thickBot="1" x14ac:dyDescent="0.3">
      <c r="A38" s="3166" t="s">
        <v>629</v>
      </c>
      <c r="B38" s="3167"/>
      <c r="C38" s="1855"/>
      <c r="D38" s="1748">
        <v>0</v>
      </c>
      <c r="E38" s="1748">
        <v>0</v>
      </c>
      <c r="F38" s="1748">
        <v>0</v>
      </c>
      <c r="G38" s="1748">
        <v>0</v>
      </c>
      <c r="H38" s="1748">
        <f>SUM(H36:H37)</f>
        <v>0</v>
      </c>
      <c r="I38" s="1749">
        <f t="shared" si="0"/>
        <v>0</v>
      </c>
      <c r="J38" s="1856">
        <f>+'Výdaje kapitol celkem'!CC30</f>
        <v>0</v>
      </c>
      <c r="K38" s="303">
        <f>+J38-H38</f>
        <v>0</v>
      </c>
      <c r="L38" s="972"/>
    </row>
    <row r="39" spans="1:12" hidden="1" outlineLevel="1" x14ac:dyDescent="0.25">
      <c r="A39" s="1835" t="s">
        <v>714</v>
      </c>
      <c r="B39" s="1809">
        <f>+B19</f>
        <v>5164</v>
      </c>
      <c r="C39" s="1810"/>
      <c r="D39" s="1744"/>
      <c r="E39" s="1744"/>
      <c r="F39" s="1744"/>
      <c r="G39" s="1744"/>
      <c r="H39" s="1744"/>
      <c r="I39" s="1745">
        <f t="shared" si="0"/>
        <v>0</v>
      </c>
      <c r="J39" s="1807"/>
      <c r="K39" s="303"/>
      <c r="L39" s="972"/>
    </row>
    <row r="40" spans="1:12" hidden="1" outlineLevel="1" x14ac:dyDescent="0.25">
      <c r="A40" s="1836" t="s">
        <v>714</v>
      </c>
      <c r="B40" s="1812">
        <f>+B39</f>
        <v>5164</v>
      </c>
      <c r="C40" s="1813"/>
      <c r="D40" s="1750"/>
      <c r="E40" s="1750"/>
      <c r="F40" s="1750"/>
      <c r="G40" s="1750"/>
      <c r="H40" s="1750"/>
      <c r="I40" s="1751">
        <f t="shared" si="0"/>
        <v>0</v>
      </c>
      <c r="J40" s="1807"/>
      <c r="K40" s="303"/>
      <c r="L40" s="972"/>
    </row>
    <row r="41" spans="1:12" ht="14.25" collapsed="1" thickBot="1" x14ac:dyDescent="0.3">
      <c r="A41" s="3166" t="s">
        <v>1218</v>
      </c>
      <c r="B41" s="3167"/>
      <c r="C41" s="1855"/>
      <c r="D41" s="1748">
        <v>0</v>
      </c>
      <c r="E41" s="1748">
        <v>0</v>
      </c>
      <c r="F41" s="1748">
        <v>0</v>
      </c>
      <c r="G41" s="1748">
        <v>0</v>
      </c>
      <c r="H41" s="1748">
        <f t="shared" ref="H41" si="11">SUM(H39:H40)</f>
        <v>0</v>
      </c>
      <c r="I41" s="1749">
        <f t="shared" si="0"/>
        <v>0</v>
      </c>
      <c r="J41" s="1856"/>
      <c r="K41" s="303">
        <f>+J41-H41</f>
        <v>0</v>
      </c>
      <c r="L41" s="972"/>
    </row>
    <row r="42" spans="1:12" outlineLevel="1" x14ac:dyDescent="0.25">
      <c r="A42" s="1835">
        <v>2212</v>
      </c>
      <c r="B42" s="1809">
        <f>+B40</f>
        <v>5164</v>
      </c>
      <c r="C42" s="1338" t="s">
        <v>2440</v>
      </c>
      <c r="D42" s="1744">
        <v>1500</v>
      </c>
      <c r="E42" s="1744">
        <v>1500</v>
      </c>
      <c r="F42" s="1744">
        <v>1500</v>
      </c>
      <c r="G42" s="1744">
        <v>1500</v>
      </c>
      <c r="H42" s="1744">
        <f>+'[5]Silnice-nájem'!$B$5</f>
        <v>1500</v>
      </c>
      <c r="I42" s="1745">
        <f t="shared" si="0"/>
        <v>0</v>
      </c>
      <c r="J42" s="1807"/>
      <c r="K42" s="303"/>
      <c r="L42" s="972"/>
    </row>
    <row r="43" spans="1:12" outlineLevel="1" x14ac:dyDescent="0.25">
      <c r="A43" s="1836">
        <v>2212</v>
      </c>
      <c r="B43" s="1812">
        <v>5164</v>
      </c>
      <c r="C43" s="1339" t="s">
        <v>1717</v>
      </c>
      <c r="D43" s="1752">
        <v>500</v>
      </c>
      <c r="E43" s="1752">
        <v>500</v>
      </c>
      <c r="F43" s="1752">
        <v>500</v>
      </c>
      <c r="G43" s="1752">
        <v>500</v>
      </c>
      <c r="H43" s="1752">
        <f>+'[5]Silnice-nájem'!$B$6</f>
        <v>500</v>
      </c>
      <c r="I43" s="1747">
        <f t="shared" si="0"/>
        <v>0</v>
      </c>
      <c r="J43" s="1807"/>
      <c r="K43" s="303"/>
      <c r="L43" s="972"/>
    </row>
    <row r="44" spans="1:12" outlineLevel="1" x14ac:dyDescent="0.25">
      <c r="A44" s="1836">
        <v>2212</v>
      </c>
      <c r="B44" s="1812">
        <v>5164</v>
      </c>
      <c r="C44" s="1339" t="s">
        <v>2441</v>
      </c>
      <c r="D44" s="1746">
        <v>3500</v>
      </c>
      <c r="E44" s="1746">
        <v>3500</v>
      </c>
      <c r="F44" s="1746">
        <v>3500</v>
      </c>
      <c r="G44" s="1746">
        <v>3500</v>
      </c>
      <c r="H44" s="1746">
        <f>+'[5]Silnice-nájem'!$B$7</f>
        <v>3500</v>
      </c>
      <c r="I44" s="1747">
        <f t="shared" si="0"/>
        <v>0</v>
      </c>
      <c r="J44" s="1807"/>
      <c r="K44" s="303"/>
      <c r="L44" s="972"/>
    </row>
    <row r="45" spans="1:12" outlineLevel="1" x14ac:dyDescent="0.25">
      <c r="A45" s="1836">
        <v>2212</v>
      </c>
      <c r="B45" s="1812">
        <v>5164</v>
      </c>
      <c r="C45" s="1339" t="s">
        <v>1718</v>
      </c>
      <c r="D45" s="1746">
        <v>1000</v>
      </c>
      <c r="E45" s="1746">
        <v>1000</v>
      </c>
      <c r="F45" s="1746">
        <v>1000</v>
      </c>
      <c r="G45" s="1746">
        <v>1000</v>
      </c>
      <c r="H45" s="1746">
        <f>+'[5]Silnice-nájem'!$B$8</f>
        <v>1000</v>
      </c>
      <c r="I45" s="1747">
        <f t="shared" si="0"/>
        <v>0</v>
      </c>
      <c r="J45" s="1807"/>
      <c r="K45" s="303"/>
      <c r="L45" s="972"/>
    </row>
    <row r="46" spans="1:12" outlineLevel="1" x14ac:dyDescent="0.25">
      <c r="A46" s="1836">
        <v>2212</v>
      </c>
      <c r="B46" s="1812">
        <v>5164</v>
      </c>
      <c r="C46" s="1339" t="s">
        <v>1719</v>
      </c>
      <c r="D46" s="1746">
        <v>13104</v>
      </c>
      <c r="E46" s="1746">
        <v>13104</v>
      </c>
      <c r="F46" s="1746">
        <v>13104</v>
      </c>
      <c r="G46" s="1746">
        <v>13104</v>
      </c>
      <c r="H46" s="1746">
        <f>+'[5]Silnice-nájem'!$B$9</f>
        <v>13104</v>
      </c>
      <c r="I46" s="1747">
        <f t="shared" si="0"/>
        <v>0</v>
      </c>
      <c r="J46" s="1807"/>
      <c r="K46" s="303"/>
      <c r="L46" s="972"/>
    </row>
    <row r="47" spans="1:12" outlineLevel="1" x14ac:dyDescent="0.25">
      <c r="A47" s="1836">
        <v>2212</v>
      </c>
      <c r="B47" s="1812">
        <v>5164</v>
      </c>
      <c r="C47" s="1339" t="s">
        <v>1720</v>
      </c>
      <c r="D47" s="1746">
        <v>225</v>
      </c>
      <c r="E47" s="1746">
        <v>225</v>
      </c>
      <c r="F47" s="1746">
        <v>225</v>
      </c>
      <c r="G47" s="1746">
        <v>10225</v>
      </c>
      <c r="H47" s="1746">
        <f>+'[5]Silnice-nájem'!$B$10</f>
        <v>10225</v>
      </c>
      <c r="I47" s="1747">
        <f t="shared" si="0"/>
        <v>0</v>
      </c>
      <c r="J47" s="1807"/>
      <c r="K47" s="303"/>
      <c r="L47" s="972"/>
    </row>
    <row r="48" spans="1:12" s="969" customFormat="1" outlineLevel="1" x14ac:dyDescent="0.25">
      <c r="A48" s="1836">
        <v>2212</v>
      </c>
      <c r="B48" s="1812">
        <v>5164</v>
      </c>
      <c r="C48" s="1339" t="s">
        <v>1721</v>
      </c>
      <c r="D48" s="1746">
        <v>3900</v>
      </c>
      <c r="E48" s="1746">
        <v>3900</v>
      </c>
      <c r="F48" s="1746">
        <v>3900</v>
      </c>
      <c r="G48" s="1746">
        <v>3900</v>
      </c>
      <c r="H48" s="1746">
        <f>+'[5]Silnice-nájem'!$B$11</f>
        <v>3900</v>
      </c>
      <c r="I48" s="1747">
        <f t="shared" si="0"/>
        <v>0</v>
      </c>
      <c r="J48" s="1807"/>
      <c r="K48" s="303"/>
      <c r="L48" s="972"/>
    </row>
    <row r="49" spans="1:12" outlineLevel="1" x14ac:dyDescent="0.25">
      <c r="A49" s="1836">
        <v>2212</v>
      </c>
      <c r="B49" s="1812">
        <v>5164</v>
      </c>
      <c r="C49" s="1339" t="s">
        <v>1722</v>
      </c>
      <c r="D49" s="1746"/>
      <c r="E49" s="1746"/>
      <c r="F49" s="1746"/>
      <c r="G49" s="1746"/>
      <c r="H49" s="1746"/>
      <c r="I49" s="1747">
        <f t="shared" si="0"/>
        <v>0</v>
      </c>
      <c r="J49" s="1807"/>
      <c r="K49" s="303"/>
      <c r="L49" s="972"/>
    </row>
    <row r="50" spans="1:12" outlineLevel="1" x14ac:dyDescent="0.25">
      <c r="A50" s="1836">
        <v>2212</v>
      </c>
      <c r="B50" s="1812">
        <v>5164</v>
      </c>
      <c r="C50" s="1339" t="s">
        <v>1723</v>
      </c>
      <c r="D50" s="1746"/>
      <c r="E50" s="1746"/>
      <c r="F50" s="1746"/>
      <c r="G50" s="1746"/>
      <c r="H50" s="1746"/>
      <c r="I50" s="1747">
        <f t="shared" si="0"/>
        <v>0</v>
      </c>
      <c r="J50" s="1807"/>
      <c r="K50" s="303"/>
      <c r="L50" s="972"/>
    </row>
    <row r="51" spans="1:12" s="969" customFormat="1" outlineLevel="1" x14ac:dyDescent="0.25">
      <c r="A51" s="1836">
        <v>2212</v>
      </c>
      <c r="B51" s="1812">
        <v>5164</v>
      </c>
      <c r="C51" s="1339" t="s">
        <v>1724</v>
      </c>
      <c r="D51" s="1746">
        <v>100</v>
      </c>
      <c r="E51" s="1746">
        <v>100</v>
      </c>
      <c r="F51" s="1746">
        <v>100</v>
      </c>
      <c r="G51" s="1746">
        <v>100</v>
      </c>
      <c r="H51" s="1746">
        <f>+'[5]Silnice-nájem'!$B$12</f>
        <v>100</v>
      </c>
      <c r="I51" s="1747">
        <f t="shared" si="0"/>
        <v>0</v>
      </c>
      <c r="J51" s="1807"/>
      <c r="K51" s="303"/>
      <c r="L51" s="972"/>
    </row>
    <row r="52" spans="1:12" s="1006" customFormat="1" ht="16.5" outlineLevel="1" x14ac:dyDescent="0.3">
      <c r="A52" s="1836">
        <v>2212</v>
      </c>
      <c r="B52" s="1812">
        <v>5164</v>
      </c>
      <c r="C52" s="1339" t="s">
        <v>1715</v>
      </c>
      <c r="D52" s="1746">
        <v>400</v>
      </c>
      <c r="E52" s="1746">
        <v>400</v>
      </c>
      <c r="F52" s="1746">
        <v>400</v>
      </c>
      <c r="G52" s="1746">
        <v>400</v>
      </c>
      <c r="H52" s="1746">
        <f>+[4]Silnice!$B$20</f>
        <v>400</v>
      </c>
      <c r="I52" s="1747">
        <f t="shared" si="0"/>
        <v>0</v>
      </c>
      <c r="J52" s="1807"/>
      <c r="K52" s="303"/>
      <c r="L52" s="972"/>
    </row>
    <row r="53" spans="1:12" outlineLevel="1" x14ac:dyDescent="0.25">
      <c r="A53" s="1836">
        <v>2212</v>
      </c>
      <c r="B53" s="1812">
        <v>5164</v>
      </c>
      <c r="C53" s="2862" t="s">
        <v>2543</v>
      </c>
      <c r="D53" s="1746">
        <v>0</v>
      </c>
      <c r="E53" s="1746">
        <v>0</v>
      </c>
      <c r="F53" s="1746">
        <v>10176</v>
      </c>
      <c r="G53" s="1746">
        <v>10176</v>
      </c>
      <c r="H53" s="1746">
        <v>10176</v>
      </c>
      <c r="I53" s="1747">
        <f t="shared" si="0"/>
        <v>0</v>
      </c>
      <c r="J53" s="1807"/>
      <c r="K53" s="303"/>
    </row>
    <row r="54" spans="1:12" outlineLevel="1" x14ac:dyDescent="0.25">
      <c r="A54" s="1836"/>
      <c r="B54" s="1812"/>
      <c r="C54" s="1824"/>
      <c r="D54" s="1753"/>
      <c r="E54" s="1753"/>
      <c r="F54" s="1753"/>
      <c r="G54" s="1753"/>
      <c r="H54" s="1753"/>
      <c r="I54" s="1754">
        <f t="shared" si="0"/>
        <v>0</v>
      </c>
      <c r="J54" s="1807"/>
      <c r="K54" s="303"/>
    </row>
    <row r="55" spans="1:12" s="970" customFormat="1" ht="14.25" thickBot="1" x14ac:dyDescent="0.3">
      <c r="A55" s="3166" t="s">
        <v>630</v>
      </c>
      <c r="B55" s="3167"/>
      <c r="C55" s="1855"/>
      <c r="D55" s="1748">
        <v>24229</v>
      </c>
      <c r="E55" s="1748">
        <v>24229</v>
      </c>
      <c r="F55" s="1748">
        <v>34405</v>
      </c>
      <c r="G55" s="1748">
        <v>44405</v>
      </c>
      <c r="H55" s="1748">
        <f>SUM(H42:H54)</f>
        <v>44405</v>
      </c>
      <c r="I55" s="1749">
        <f t="shared" si="0"/>
        <v>0</v>
      </c>
      <c r="J55" s="1856">
        <f>'Výdaje kapitol celkem'!CF30</f>
        <v>44405</v>
      </c>
      <c r="K55" s="303">
        <f>+J55-H55</f>
        <v>0</v>
      </c>
    </row>
    <row r="56" spans="1:12" outlineLevel="1" x14ac:dyDescent="0.25">
      <c r="A56" s="1835" t="s">
        <v>295</v>
      </c>
      <c r="B56" s="1809">
        <f>+B53</f>
        <v>5164</v>
      </c>
      <c r="C56" s="2863"/>
      <c r="D56" s="1744"/>
      <c r="E56" s="1744"/>
      <c r="F56" s="1744"/>
      <c r="G56" s="1744"/>
      <c r="H56" s="1744"/>
      <c r="I56" s="1745">
        <f t="shared" si="0"/>
        <v>0</v>
      </c>
      <c r="J56" s="1807"/>
      <c r="K56" s="303"/>
    </row>
    <row r="57" spans="1:12" ht="24.75" outlineLevel="1" x14ac:dyDescent="0.25">
      <c r="A57" s="1836" t="s">
        <v>295</v>
      </c>
      <c r="B57" s="1812">
        <f>+B56</f>
        <v>5164</v>
      </c>
      <c r="C57" s="1813" t="s">
        <v>1716</v>
      </c>
      <c r="D57" s="1746">
        <v>350000</v>
      </c>
      <c r="E57" s="1746">
        <v>350000</v>
      </c>
      <c r="F57" s="1746">
        <v>350000</v>
      </c>
      <c r="G57" s="1746">
        <v>350000</v>
      </c>
      <c r="H57" s="1746">
        <f>+'[6]Rybníky 3749-2'!$B$16</f>
        <v>350000</v>
      </c>
      <c r="I57" s="1751">
        <f t="shared" si="0"/>
        <v>0</v>
      </c>
      <c r="J57" s="1807"/>
      <c r="K57" s="303"/>
    </row>
    <row r="58" spans="1:12" ht="14.25" outlineLevel="1" thickBot="1" x14ac:dyDescent="0.3">
      <c r="A58" s="3166" t="s">
        <v>1195</v>
      </c>
      <c r="B58" s="3167"/>
      <c r="C58" s="1855"/>
      <c r="D58" s="1748">
        <v>350000</v>
      </c>
      <c r="E58" s="1748">
        <v>350000</v>
      </c>
      <c r="F58" s="1748">
        <v>350000</v>
      </c>
      <c r="G58" s="1748">
        <v>350000</v>
      </c>
      <c r="H58" s="1748">
        <f t="shared" ref="H58" si="12">SUM(H56:H57)</f>
        <v>350000</v>
      </c>
      <c r="I58" s="1749">
        <f t="shared" si="0"/>
        <v>0</v>
      </c>
      <c r="J58" s="1856">
        <f>'Výdaje kapitol celkem'!DN30</f>
        <v>350000</v>
      </c>
      <c r="K58" s="303">
        <f>+J58-H58</f>
        <v>0</v>
      </c>
    </row>
    <row r="59" spans="1:12" ht="14.25" thickBot="1" x14ac:dyDescent="0.3">
      <c r="A59" s="3173" t="s">
        <v>732</v>
      </c>
      <c r="B59" s="3174"/>
      <c r="C59" s="3175"/>
      <c r="D59" s="1755">
        <v>1579437</v>
      </c>
      <c r="E59" s="1755">
        <v>1579437</v>
      </c>
      <c r="F59" s="1755">
        <v>1589613</v>
      </c>
      <c r="G59" s="1755">
        <v>1599613</v>
      </c>
      <c r="H59" s="1755">
        <f>+H58+H55+H41+H20+H17+H10+H32+H13+H7+H23+H38+H26+H29+H35</f>
        <v>1599613</v>
      </c>
      <c r="I59" s="1756">
        <f t="shared" si="0"/>
        <v>0</v>
      </c>
      <c r="J59" s="1807"/>
      <c r="K59" s="1725"/>
    </row>
    <row r="60" spans="1:12" x14ac:dyDescent="0.25">
      <c r="A60" s="1857"/>
      <c r="B60" s="1857"/>
      <c r="C60" s="1857"/>
      <c r="D60" s="1757">
        <v>1579437</v>
      </c>
      <c r="E60" s="1757">
        <v>1579437</v>
      </c>
      <c r="F60" s="1757">
        <v>1589613</v>
      </c>
      <c r="G60" s="1757">
        <v>1599613</v>
      </c>
      <c r="H60" s="1757">
        <f>+'Výdaje kapitol celkem'!G30</f>
        <v>1599613</v>
      </c>
      <c r="I60" s="1758"/>
      <c r="J60" s="1807"/>
      <c r="K60" s="1725"/>
    </row>
    <row r="61" spans="1:12" s="970" customFormat="1" x14ac:dyDescent="0.25">
      <c r="A61" s="180"/>
      <c r="B61" s="180"/>
      <c r="C61" s="180" t="s">
        <v>216</v>
      </c>
      <c r="D61" s="283">
        <v>0</v>
      </c>
      <c r="E61" s="283">
        <v>0</v>
      </c>
      <c r="F61" s="283">
        <v>0</v>
      </c>
      <c r="G61" s="283">
        <v>0</v>
      </c>
      <c r="H61" s="283">
        <f>+H60-H59</f>
        <v>0</v>
      </c>
      <c r="I61" s="283"/>
      <c r="J61" s="1850"/>
      <c r="K61" s="1725"/>
    </row>
    <row r="62" spans="1:12" x14ac:dyDescent="0.25">
      <c r="A62" s="1851" t="s">
        <v>544</v>
      </c>
      <c r="B62" s="109"/>
      <c r="C62" s="109"/>
      <c r="D62" s="190"/>
      <c r="E62" s="190"/>
      <c r="F62" s="190"/>
      <c r="G62" s="190"/>
      <c r="H62" s="190"/>
      <c r="I62" s="283"/>
      <c r="J62" s="1850"/>
      <c r="K62" s="1725"/>
    </row>
    <row r="63" spans="1:12" x14ac:dyDescent="0.25">
      <c r="J63" s="323"/>
    </row>
  </sheetData>
  <sheetProtection algorithmName="SHA-512" hashValue="qtP3XxOFjtw/bxzf6+QHTCSZ1rJcBFdlvOGSmjZkn6+3Kkr6CG50w5/MugVEmNpwWZ9j3pvalV57UiF4Ot+TUQ==" saltValue="e03BXPtX2wjeuXtfi4zCmw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3"/>
  <sheetViews>
    <sheetView topLeftCell="A132" zoomScale="94" zoomScaleNormal="94" workbookViewId="0">
      <selection activeCell="I165" sqref="I165"/>
    </sheetView>
  </sheetViews>
  <sheetFormatPr defaultColWidth="9" defaultRowHeight="12.75" outlineLevelRow="1" x14ac:dyDescent="0.25"/>
  <cols>
    <col min="1" max="1" width="14.28515625" style="1831" customWidth="1"/>
    <col min="2" max="2" width="9.28515625" style="1831" customWidth="1"/>
    <col min="3" max="3" width="67.7109375" style="1831" customWidth="1"/>
    <col min="4" max="6" width="11.28515625" style="1777" hidden="1" customWidth="1"/>
    <col min="7" max="7" width="11.28515625" style="1777" customWidth="1"/>
    <col min="8" max="8" width="11.28515625" style="1777" bestFit="1" customWidth="1"/>
    <col min="9" max="9" width="9.5703125" style="1778" bestFit="1" customWidth="1"/>
    <col min="10" max="10" width="13.85546875" style="1832" customWidth="1"/>
    <col min="11" max="11" width="20.5703125" style="1833" bestFit="1" customWidth="1"/>
    <col min="12" max="16384" width="9" style="1026"/>
  </cols>
  <sheetData>
    <row r="1" spans="1:12" s="1018" customFormat="1" ht="24" customHeight="1" x14ac:dyDescent="0.25">
      <c r="A1" s="1859" t="s">
        <v>2163</v>
      </c>
      <c r="B1" s="1859"/>
      <c r="C1" s="1759"/>
      <c r="D1" s="1759"/>
      <c r="E1" s="1759"/>
      <c r="F1" s="1759"/>
      <c r="G1" s="1759"/>
      <c r="H1" s="1759"/>
      <c r="I1" s="1760"/>
      <c r="J1" s="1796"/>
      <c r="K1" s="1797"/>
    </row>
    <row r="2" spans="1:12" s="1021" customFormat="1" ht="20.25" customHeight="1" x14ac:dyDescent="0.25">
      <c r="A2" s="3168" t="s">
        <v>710</v>
      </c>
      <c r="B2" s="3168"/>
      <c r="C2" s="3169"/>
      <c r="D2" s="1761"/>
      <c r="E2" s="1761"/>
      <c r="F2" s="1761"/>
      <c r="G2" s="1761"/>
      <c r="H2" s="1761"/>
      <c r="I2" s="1762"/>
      <c r="J2" s="1798"/>
      <c r="K2" s="1799"/>
    </row>
    <row r="3" spans="1:12" ht="13.5" thickBot="1" x14ac:dyDescent="0.3">
      <c r="A3" s="1801"/>
      <c r="B3" s="1801"/>
      <c r="C3" s="1801"/>
      <c r="D3" s="1763"/>
      <c r="E3" s="1763"/>
      <c r="F3" s="1763"/>
      <c r="G3" s="1763"/>
      <c r="H3" s="1763"/>
      <c r="I3" s="1764"/>
      <c r="J3" s="1802"/>
      <c r="K3" s="1803"/>
    </row>
    <row r="4" spans="1:12" ht="22.15" customHeight="1" thickBot="1" x14ac:dyDescent="0.3">
      <c r="A4" s="1804" t="s">
        <v>1</v>
      </c>
      <c r="B4" s="1805" t="s">
        <v>63</v>
      </c>
      <c r="C4" s="1806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 t="s">
        <v>762</v>
      </c>
      <c r="K4" s="1803" t="s">
        <v>707</v>
      </c>
    </row>
    <row r="5" spans="1:12" outlineLevel="1" x14ac:dyDescent="0.25">
      <c r="A5" s="1835">
        <v>6409</v>
      </c>
      <c r="B5" s="1809">
        <v>5169</v>
      </c>
      <c r="C5" s="1810" t="s">
        <v>2442</v>
      </c>
      <c r="D5" s="1744">
        <v>50000</v>
      </c>
      <c r="E5" s="1744">
        <v>50000</v>
      </c>
      <c r="F5" s="1744">
        <v>50000</v>
      </c>
      <c r="G5" s="1744">
        <v>50000</v>
      </c>
      <c r="H5" s="1744">
        <f>+'[4]Všeob. pokladna'!$B$26</f>
        <v>50000</v>
      </c>
      <c r="I5" s="1745">
        <f>+H5-G5</f>
        <v>0</v>
      </c>
      <c r="J5" s="1802"/>
      <c r="K5" s="1803"/>
    </row>
    <row r="6" spans="1:12" outlineLevel="1" x14ac:dyDescent="0.25">
      <c r="A6" s="1836">
        <v>6409</v>
      </c>
      <c r="B6" s="1812">
        <v>5169</v>
      </c>
      <c r="C6" s="1813" t="s">
        <v>2443</v>
      </c>
      <c r="D6" s="1746">
        <v>200000</v>
      </c>
      <c r="E6" s="1746">
        <v>200000</v>
      </c>
      <c r="F6" s="1746">
        <v>200000</v>
      </c>
      <c r="G6" s="1746">
        <v>200000</v>
      </c>
      <c r="H6" s="1746">
        <f>+'[4]Všeob. pokladna'!$B$27</f>
        <v>200000</v>
      </c>
      <c r="I6" s="1747">
        <f t="shared" ref="I6:I73" si="0">+H6-G6</f>
        <v>0</v>
      </c>
      <c r="J6" s="1802"/>
      <c r="K6" s="1803"/>
    </row>
    <row r="7" spans="1:12" s="1029" customFormat="1" ht="13.5" thickBot="1" x14ac:dyDescent="0.3">
      <c r="A7" s="3178" t="s">
        <v>1206</v>
      </c>
      <c r="B7" s="3179"/>
      <c r="C7" s="1814"/>
      <c r="D7" s="1765">
        <v>250000</v>
      </c>
      <c r="E7" s="1765">
        <v>250000</v>
      </c>
      <c r="F7" s="1765">
        <v>250000</v>
      </c>
      <c r="G7" s="1765">
        <v>250000</v>
      </c>
      <c r="H7" s="1765">
        <f t="shared" ref="H7" si="1">SUM(H5:H6)</f>
        <v>250000</v>
      </c>
      <c r="I7" s="1766">
        <f t="shared" si="0"/>
        <v>0</v>
      </c>
      <c r="J7" s="1815">
        <f>'Výdaje kapitol celkem'!L34</f>
        <v>250000</v>
      </c>
      <c r="K7" s="1816">
        <f>+J7-H7</f>
        <v>0</v>
      </c>
      <c r="L7" s="1028"/>
    </row>
    <row r="8" spans="1:12" outlineLevel="1" x14ac:dyDescent="0.25">
      <c r="A8" s="1835">
        <v>6112</v>
      </c>
      <c r="B8" s="1809">
        <v>5169</v>
      </c>
      <c r="C8" s="1810" t="s">
        <v>1825</v>
      </c>
      <c r="D8" s="1744">
        <v>0</v>
      </c>
      <c r="E8" s="1744">
        <v>0</v>
      </c>
      <c r="F8" s="1744">
        <v>0</v>
      </c>
      <c r="G8" s="1744">
        <v>0</v>
      </c>
      <c r="H8" s="1744">
        <f>+[3]Zastupitelé!$B$52</f>
        <v>0</v>
      </c>
      <c r="I8" s="1745">
        <f t="shared" si="0"/>
        <v>0</v>
      </c>
      <c r="J8" s="1802"/>
      <c r="K8" s="1816"/>
    </row>
    <row r="9" spans="1:12" outlineLevel="1" x14ac:dyDescent="0.25">
      <c r="A9" s="1836">
        <v>6112</v>
      </c>
      <c r="B9" s="1812">
        <v>5169</v>
      </c>
      <c r="C9" s="1813" t="s">
        <v>1826</v>
      </c>
      <c r="D9" s="1746">
        <v>50000</v>
      </c>
      <c r="E9" s="1746">
        <v>50000</v>
      </c>
      <c r="F9" s="1746">
        <v>50000</v>
      </c>
      <c r="G9" s="1746">
        <v>50000</v>
      </c>
      <c r="H9" s="1746">
        <f>+[3]Zastupitelé!$B$53</f>
        <v>50000</v>
      </c>
      <c r="I9" s="1747">
        <f t="shared" si="0"/>
        <v>0</v>
      </c>
      <c r="J9" s="1802"/>
      <c r="K9" s="1816"/>
    </row>
    <row r="10" spans="1:12" s="1029" customFormat="1" ht="13.5" thickBot="1" x14ac:dyDescent="0.3">
      <c r="A10" s="3178" t="s">
        <v>1205</v>
      </c>
      <c r="B10" s="3179"/>
      <c r="C10" s="1814"/>
      <c r="D10" s="1765">
        <v>50000</v>
      </c>
      <c r="E10" s="1765">
        <v>50000</v>
      </c>
      <c r="F10" s="1765">
        <v>50000</v>
      </c>
      <c r="G10" s="1765">
        <v>50000</v>
      </c>
      <c r="H10" s="1765">
        <f t="shared" ref="H10" si="2">SUM(H8:H9)</f>
        <v>50000</v>
      </c>
      <c r="I10" s="1766">
        <f t="shared" si="0"/>
        <v>0</v>
      </c>
      <c r="J10" s="1815">
        <f>'Výdaje kapitol celkem'!N34</f>
        <v>50000</v>
      </c>
      <c r="K10" s="1816">
        <f>+J10-H10</f>
        <v>0</v>
      </c>
      <c r="L10" s="1028"/>
    </row>
    <row r="11" spans="1:12" outlineLevel="1" x14ac:dyDescent="0.25">
      <c r="A11" s="1835">
        <v>6115</v>
      </c>
      <c r="B11" s="1809">
        <v>5169</v>
      </c>
      <c r="C11" s="1810"/>
      <c r="D11" s="1744">
        <v>0</v>
      </c>
      <c r="E11" s="1744">
        <v>0</v>
      </c>
      <c r="F11" s="1744">
        <v>0</v>
      </c>
      <c r="G11" s="1744">
        <v>0</v>
      </c>
      <c r="H11" s="1744">
        <f>+'[2]Volby_6115 '!$B$26</f>
        <v>10000</v>
      </c>
      <c r="I11" s="1745">
        <f t="shared" ref="I11:I14" si="3">+H11-G11</f>
        <v>10000</v>
      </c>
      <c r="J11" s="1802"/>
      <c r="K11" s="1816"/>
    </row>
    <row r="12" spans="1:12" outlineLevel="1" x14ac:dyDescent="0.25">
      <c r="A12" s="1836">
        <v>6115</v>
      </c>
      <c r="B12" s="1812">
        <v>5169</v>
      </c>
      <c r="C12" s="1813"/>
      <c r="D12" s="1746">
        <v>0</v>
      </c>
      <c r="E12" s="1746">
        <v>0</v>
      </c>
      <c r="F12" s="1746">
        <v>0</v>
      </c>
      <c r="G12" s="1746">
        <v>0</v>
      </c>
      <c r="H12" s="1746">
        <f>+'[2]Volby_6115 '!$B$27</f>
        <v>0</v>
      </c>
      <c r="I12" s="1747">
        <f t="shared" si="3"/>
        <v>0</v>
      </c>
      <c r="J12" s="1802"/>
      <c r="K12" s="1816"/>
    </row>
    <row r="13" spans="1:12" outlineLevel="1" x14ac:dyDescent="0.25">
      <c r="A13" s="1836">
        <v>6115</v>
      </c>
      <c r="B13" s="1812">
        <v>5169</v>
      </c>
      <c r="C13" s="1813"/>
      <c r="D13" s="1746"/>
      <c r="E13" s="1746"/>
      <c r="F13" s="1746"/>
      <c r="G13" s="1746"/>
      <c r="H13" s="1746"/>
      <c r="I13" s="1747">
        <f t="shared" si="3"/>
        <v>0</v>
      </c>
      <c r="J13" s="1802"/>
      <c r="K13" s="1816"/>
    </row>
    <row r="14" spans="1:12" s="1029" customFormat="1" ht="13.5" thickBot="1" x14ac:dyDescent="0.3">
      <c r="A14" s="3178" t="s">
        <v>1204</v>
      </c>
      <c r="B14" s="3179"/>
      <c r="C14" s="1814"/>
      <c r="D14" s="1765">
        <v>0</v>
      </c>
      <c r="E14" s="1765">
        <v>0</v>
      </c>
      <c r="F14" s="1765">
        <v>0</v>
      </c>
      <c r="G14" s="1765">
        <v>0</v>
      </c>
      <c r="H14" s="1765">
        <f t="shared" ref="H14" si="4">SUM(H11:H13)</f>
        <v>10000</v>
      </c>
      <c r="I14" s="1766">
        <f t="shared" si="3"/>
        <v>10000</v>
      </c>
      <c r="J14" s="1815">
        <f>+'Výdaje kapitol celkem'!O34</f>
        <v>10000</v>
      </c>
      <c r="K14" s="1816">
        <f>+J14-H14</f>
        <v>0</v>
      </c>
      <c r="L14" s="1028"/>
    </row>
    <row r="15" spans="1:12" outlineLevel="1" x14ac:dyDescent="0.25">
      <c r="A15" s="1835">
        <v>6117</v>
      </c>
      <c r="B15" s="1809">
        <v>5169</v>
      </c>
      <c r="C15" s="1810"/>
      <c r="D15" s="1744">
        <v>0</v>
      </c>
      <c r="E15" s="1744">
        <v>0</v>
      </c>
      <c r="F15" s="1744">
        <v>0</v>
      </c>
      <c r="G15" s="1744">
        <v>0</v>
      </c>
      <c r="H15" s="1744">
        <f>+[2]Volby_6117!$B$26</f>
        <v>10000</v>
      </c>
      <c r="I15" s="1745">
        <f t="shared" si="0"/>
        <v>10000</v>
      </c>
      <c r="J15" s="1802"/>
      <c r="K15" s="1816"/>
    </row>
    <row r="16" spans="1:12" outlineLevel="1" x14ac:dyDescent="0.25">
      <c r="A16" s="1836">
        <v>6117</v>
      </c>
      <c r="B16" s="1812">
        <v>5169</v>
      </c>
      <c r="C16" s="1813"/>
      <c r="D16" s="1746">
        <v>0</v>
      </c>
      <c r="E16" s="1746">
        <v>0</v>
      </c>
      <c r="F16" s="1746">
        <v>0</v>
      </c>
      <c r="G16" s="1746">
        <v>0</v>
      </c>
      <c r="H16" s="1746">
        <f>+[2]Volby_6117!$B$27</f>
        <v>0</v>
      </c>
      <c r="I16" s="1747">
        <f t="shared" si="0"/>
        <v>0</v>
      </c>
      <c r="J16" s="1802"/>
      <c r="K16" s="1816"/>
    </row>
    <row r="17" spans="1:12" outlineLevel="1" x14ac:dyDescent="0.25">
      <c r="A17" s="1836">
        <v>6117</v>
      </c>
      <c r="B17" s="1812">
        <v>5169</v>
      </c>
      <c r="C17" s="1813"/>
      <c r="D17" s="1746"/>
      <c r="E17" s="1746"/>
      <c r="F17" s="1746"/>
      <c r="G17" s="1746"/>
      <c r="H17" s="1746"/>
      <c r="I17" s="1747">
        <f t="shared" si="0"/>
        <v>0</v>
      </c>
      <c r="J17" s="1802"/>
      <c r="K17" s="1816"/>
    </row>
    <row r="18" spans="1:12" s="1029" customFormat="1" ht="13.5" thickBot="1" x14ac:dyDescent="0.3">
      <c r="A18" s="3178" t="s">
        <v>1204</v>
      </c>
      <c r="B18" s="3179"/>
      <c r="C18" s="1814"/>
      <c r="D18" s="1765">
        <v>0</v>
      </c>
      <c r="E18" s="1765">
        <v>0</v>
      </c>
      <c r="F18" s="1765">
        <v>0</v>
      </c>
      <c r="G18" s="1765">
        <v>0</v>
      </c>
      <c r="H18" s="1765">
        <f t="shared" ref="H18" si="5">SUM(H15:H17)</f>
        <v>10000</v>
      </c>
      <c r="I18" s="1766">
        <f t="shared" si="0"/>
        <v>10000</v>
      </c>
      <c r="J18" s="1815">
        <f>+'Výdaje kapitol celkem'!P34</f>
        <v>10000</v>
      </c>
      <c r="K18" s="1816">
        <f>+J18-H18</f>
        <v>0</v>
      </c>
      <c r="L18" s="1028"/>
    </row>
    <row r="19" spans="1:12" outlineLevel="1" x14ac:dyDescent="0.25">
      <c r="A19" s="1835">
        <v>6171</v>
      </c>
      <c r="B19" s="1809">
        <v>5169</v>
      </c>
      <c r="C19" s="1810" t="s">
        <v>1805</v>
      </c>
      <c r="D19" s="1744">
        <v>5000</v>
      </c>
      <c r="E19" s="1744">
        <v>5000</v>
      </c>
      <c r="F19" s="1744">
        <v>5000</v>
      </c>
      <c r="G19" s="1744">
        <v>5000</v>
      </c>
      <c r="H19" s="1744">
        <f>+[4]Správa!$B$6</f>
        <v>5000</v>
      </c>
      <c r="I19" s="1745">
        <f t="shared" si="0"/>
        <v>0</v>
      </c>
      <c r="J19" s="1802"/>
      <c r="K19" s="1816"/>
    </row>
    <row r="20" spans="1:12" ht="36" outlineLevel="1" x14ac:dyDescent="0.25">
      <c r="A20" s="1837">
        <v>6171</v>
      </c>
      <c r="B20" s="1838">
        <v>5169</v>
      </c>
      <c r="C20" s="1839" t="s">
        <v>1827</v>
      </c>
      <c r="D20" s="1746">
        <v>750000</v>
      </c>
      <c r="E20" s="1746">
        <v>750000</v>
      </c>
      <c r="F20" s="1746">
        <v>750000</v>
      </c>
      <c r="G20" s="1746">
        <v>750000</v>
      </c>
      <c r="H20" s="1746">
        <f>+[3]Správa!$B$61</f>
        <v>750000</v>
      </c>
      <c r="I20" s="1747">
        <f t="shared" si="0"/>
        <v>0</v>
      </c>
      <c r="J20" s="1802"/>
      <c r="K20" s="1816"/>
    </row>
    <row r="21" spans="1:12" outlineLevel="1" x14ac:dyDescent="0.25">
      <c r="A21" s="1836">
        <v>6171</v>
      </c>
      <c r="B21" s="1812">
        <v>5169</v>
      </c>
      <c r="C21" s="1813" t="s">
        <v>1828</v>
      </c>
      <c r="D21" s="1746">
        <v>200000</v>
      </c>
      <c r="E21" s="1746">
        <v>200000</v>
      </c>
      <c r="F21" s="1746">
        <v>200000</v>
      </c>
      <c r="G21" s="1746">
        <v>200000</v>
      </c>
      <c r="H21" s="1746">
        <f>+[3]Správa!$B$62</f>
        <v>200000</v>
      </c>
      <c r="I21" s="1747">
        <f t="shared" si="0"/>
        <v>0</v>
      </c>
      <c r="J21" s="1802"/>
      <c r="K21" s="1816"/>
    </row>
    <row r="22" spans="1:12" outlineLevel="1" x14ac:dyDescent="0.25">
      <c r="A22" s="1836">
        <v>6171</v>
      </c>
      <c r="B22" s="1812">
        <v>5169</v>
      </c>
      <c r="C22" s="1813" t="s">
        <v>1829</v>
      </c>
      <c r="D22" s="1746">
        <v>660000</v>
      </c>
      <c r="E22" s="1746">
        <v>660000</v>
      </c>
      <c r="F22" s="1746">
        <v>660000</v>
      </c>
      <c r="G22" s="1746">
        <v>660000</v>
      </c>
      <c r="H22" s="1746">
        <f>+[3]Správa!$B$63</f>
        <v>660000</v>
      </c>
      <c r="I22" s="1747">
        <f t="shared" si="0"/>
        <v>0</v>
      </c>
      <c r="J22" s="1802"/>
      <c r="K22" s="1816"/>
    </row>
    <row r="23" spans="1:12" outlineLevel="1" x14ac:dyDescent="0.25">
      <c r="A23" s="1836">
        <v>6171</v>
      </c>
      <c r="B23" s="1812">
        <v>5169</v>
      </c>
      <c r="C23" s="1813" t="s">
        <v>2948</v>
      </c>
      <c r="D23" s="1746"/>
      <c r="E23" s="1746"/>
      <c r="F23" s="1746"/>
      <c r="G23" s="1746"/>
      <c r="H23" s="1746">
        <f>+[3]Správa!$B$64</f>
        <v>340000</v>
      </c>
      <c r="I23" s="1747">
        <f t="shared" si="0"/>
        <v>340000</v>
      </c>
      <c r="J23" s="1802"/>
      <c r="K23" s="1816"/>
    </row>
    <row r="24" spans="1:12" s="1029" customFormat="1" ht="13.5" thickBot="1" x14ac:dyDescent="0.3">
      <c r="A24" s="3178" t="s">
        <v>212</v>
      </c>
      <c r="B24" s="3179"/>
      <c r="C24" s="1814"/>
      <c r="D24" s="1765">
        <v>1615000</v>
      </c>
      <c r="E24" s="1765">
        <v>1615000</v>
      </c>
      <c r="F24" s="1765">
        <v>1615000</v>
      </c>
      <c r="G24" s="1765">
        <v>1615000</v>
      </c>
      <c r="H24" s="1765">
        <f t="shared" ref="H24" si="6">SUM(H19:H23)</f>
        <v>1955000</v>
      </c>
      <c r="I24" s="1766">
        <f t="shared" si="0"/>
        <v>340000</v>
      </c>
      <c r="J24" s="1815">
        <f>'Výdaje kapitol celkem'!Q34</f>
        <v>1955000</v>
      </c>
      <c r="K24" s="1816">
        <f>+J24-H24</f>
        <v>0</v>
      </c>
      <c r="L24" s="1028"/>
    </row>
    <row r="25" spans="1:12" outlineLevel="1" x14ac:dyDescent="0.25">
      <c r="A25" s="1835">
        <v>4351</v>
      </c>
      <c r="B25" s="1809">
        <v>5169</v>
      </c>
      <c r="C25" s="1810"/>
      <c r="D25" s="1744">
        <v>18000</v>
      </c>
      <c r="E25" s="1744">
        <v>18000</v>
      </c>
      <c r="F25" s="1744">
        <v>18000</v>
      </c>
      <c r="G25" s="1744">
        <v>18000</v>
      </c>
      <c r="H25" s="1744">
        <f>+'[3]Pečovatelská služba'!$B$53</f>
        <v>18000</v>
      </c>
      <c r="I25" s="1745">
        <f t="shared" si="0"/>
        <v>0</v>
      </c>
      <c r="J25" s="1802"/>
      <c r="K25" s="1816"/>
      <c r="L25" s="1028"/>
    </row>
    <row r="26" spans="1:12" outlineLevel="1" x14ac:dyDescent="0.25">
      <c r="A26" s="1836">
        <v>4351</v>
      </c>
      <c r="B26" s="1812">
        <v>5169</v>
      </c>
      <c r="C26" s="1813"/>
      <c r="D26" s="1746"/>
      <c r="E26" s="1746"/>
      <c r="F26" s="1746"/>
      <c r="G26" s="1746"/>
      <c r="H26" s="1746"/>
      <c r="I26" s="1751">
        <f t="shared" si="0"/>
        <v>0</v>
      </c>
      <c r="J26" s="1802"/>
      <c r="K26" s="1816"/>
      <c r="L26" s="1028"/>
    </row>
    <row r="27" spans="1:12" s="1029" customFormat="1" ht="13.5" thickBot="1" x14ac:dyDescent="0.3">
      <c r="A27" s="3178" t="s">
        <v>213</v>
      </c>
      <c r="B27" s="3179"/>
      <c r="C27" s="1814"/>
      <c r="D27" s="1765">
        <v>18000</v>
      </c>
      <c r="E27" s="1765">
        <v>18000</v>
      </c>
      <c r="F27" s="1765">
        <v>18000</v>
      </c>
      <c r="G27" s="1765">
        <v>18000</v>
      </c>
      <c r="H27" s="1765">
        <f t="shared" ref="H27" si="7">SUM(H25:H26)</f>
        <v>18000</v>
      </c>
      <c r="I27" s="1766">
        <f t="shared" si="0"/>
        <v>0</v>
      </c>
      <c r="J27" s="1815">
        <f>'Výdaje kapitol celkem'!V34</f>
        <v>18000</v>
      </c>
      <c r="K27" s="1816">
        <f>+J27-H27</f>
        <v>0</v>
      </c>
      <c r="L27" s="1028"/>
    </row>
    <row r="28" spans="1:12" outlineLevel="1" x14ac:dyDescent="0.25">
      <c r="A28" s="1835">
        <v>5213</v>
      </c>
      <c r="B28" s="1809">
        <v>5169</v>
      </c>
      <c r="C28" s="1810" t="s">
        <v>2894</v>
      </c>
      <c r="D28" s="1744">
        <v>0</v>
      </c>
      <c r="E28" s="1744">
        <v>0</v>
      </c>
      <c r="F28" s="1744">
        <v>0</v>
      </c>
      <c r="G28" s="1744">
        <v>1000000</v>
      </c>
      <c r="H28" s="1744">
        <f>+'[2]Krizové situace-5213'!$B$5</f>
        <v>1000000</v>
      </c>
      <c r="I28" s="1745">
        <f t="shared" si="0"/>
        <v>0</v>
      </c>
      <c r="J28" s="1802"/>
      <c r="K28" s="1816"/>
      <c r="L28" s="1028"/>
    </row>
    <row r="29" spans="1:12" outlineLevel="1" x14ac:dyDescent="0.25">
      <c r="A29" s="1836">
        <v>5213</v>
      </c>
      <c r="B29" s="1812">
        <v>5169</v>
      </c>
      <c r="C29" s="1813" t="s">
        <v>2925</v>
      </c>
      <c r="D29" s="1746"/>
      <c r="E29" s="1746"/>
      <c r="F29" s="1746"/>
      <c r="G29" s="1746">
        <v>0</v>
      </c>
      <c r="H29" s="1746">
        <f>+'[2]Krizové situace-5213'!$B$6+'[6]Krizové situace 5213'!$B$5</f>
        <v>60000</v>
      </c>
      <c r="I29" s="1751">
        <f t="shared" si="0"/>
        <v>60000</v>
      </c>
      <c r="J29" s="1802"/>
      <c r="K29" s="1816"/>
      <c r="L29" s="1028"/>
    </row>
    <row r="30" spans="1:12" s="1029" customFormat="1" ht="13.5" thickBot="1" x14ac:dyDescent="0.3">
      <c r="A30" s="3178" t="s">
        <v>2872</v>
      </c>
      <c r="B30" s="3179"/>
      <c r="C30" s="1814"/>
      <c r="D30" s="1765">
        <v>600000</v>
      </c>
      <c r="E30" s="1765">
        <v>600000</v>
      </c>
      <c r="F30" s="1765">
        <v>600000</v>
      </c>
      <c r="G30" s="1765">
        <v>1000000</v>
      </c>
      <c r="H30" s="1765">
        <f t="shared" ref="H30" si="8">SUM(H28:H29)</f>
        <v>1060000</v>
      </c>
      <c r="I30" s="1766">
        <f t="shared" si="0"/>
        <v>60000</v>
      </c>
      <c r="J30" s="1815">
        <f>+'Výdaje kapitol celkem'!J34</f>
        <v>1060000</v>
      </c>
      <c r="K30" s="1816">
        <f>+J30-H30</f>
        <v>0</v>
      </c>
      <c r="L30" s="1028"/>
    </row>
    <row r="31" spans="1:12" outlineLevel="1" x14ac:dyDescent="0.25">
      <c r="A31" s="1835" t="s">
        <v>2352</v>
      </c>
      <c r="B31" s="1809">
        <v>5169</v>
      </c>
      <c r="C31" s="1810"/>
      <c r="D31" s="1744">
        <v>600000</v>
      </c>
      <c r="E31" s="1744">
        <v>600000</v>
      </c>
      <c r="F31" s="1744">
        <v>600000</v>
      </c>
      <c r="G31" s="1744">
        <v>600000</v>
      </c>
      <c r="H31" s="1744">
        <f>+'[3]Senior taxi'!$B$5</f>
        <v>600000</v>
      </c>
      <c r="I31" s="1745">
        <f t="shared" si="0"/>
        <v>0</v>
      </c>
      <c r="J31" s="1802"/>
      <c r="K31" s="1816"/>
      <c r="L31" s="1028"/>
    </row>
    <row r="32" spans="1:12" outlineLevel="1" x14ac:dyDescent="0.25">
      <c r="A32" s="1836" t="s">
        <v>2352</v>
      </c>
      <c r="B32" s="1812">
        <v>5169</v>
      </c>
      <c r="C32" s="1813"/>
      <c r="D32" s="1746"/>
      <c r="E32" s="1746"/>
      <c r="F32" s="1746"/>
      <c r="G32" s="1746"/>
      <c r="H32" s="1746"/>
      <c r="I32" s="1751">
        <f t="shared" si="0"/>
        <v>0</v>
      </c>
      <c r="J32" s="1802"/>
      <c r="K32" s="1816"/>
      <c r="L32" s="1028"/>
    </row>
    <row r="33" spans="1:12" s="1029" customFormat="1" ht="13.5" thickBot="1" x14ac:dyDescent="0.3">
      <c r="A33" s="3178" t="s">
        <v>2351</v>
      </c>
      <c r="B33" s="3179"/>
      <c r="C33" s="1814"/>
      <c r="D33" s="1765">
        <v>600000</v>
      </c>
      <c r="E33" s="1765">
        <v>600000</v>
      </c>
      <c r="F33" s="1765">
        <v>600000</v>
      </c>
      <c r="G33" s="1765">
        <v>600000</v>
      </c>
      <c r="H33" s="1765">
        <f t="shared" ref="H33" si="9">SUM(H31:H32)</f>
        <v>600000</v>
      </c>
      <c r="I33" s="1766">
        <f t="shared" si="0"/>
        <v>0</v>
      </c>
      <c r="J33" s="1815">
        <f>+'Výdaje kapitol celkem'!W34</f>
        <v>600000</v>
      </c>
      <c r="K33" s="1816">
        <f>+J33-H33</f>
        <v>0</v>
      </c>
      <c r="L33" s="1028"/>
    </row>
    <row r="34" spans="1:12" outlineLevel="1" x14ac:dyDescent="0.25">
      <c r="A34" s="1835">
        <v>5311</v>
      </c>
      <c r="B34" s="1809">
        <v>5169</v>
      </c>
      <c r="C34" s="1810"/>
      <c r="D34" s="1744">
        <v>300000</v>
      </c>
      <c r="E34" s="1744">
        <v>300000</v>
      </c>
      <c r="F34" s="1744">
        <v>300000</v>
      </c>
      <c r="G34" s="1744">
        <v>300000</v>
      </c>
      <c r="H34" s="1744">
        <f>+'[3]Agentura SCSA'!$B$5</f>
        <v>300000</v>
      </c>
      <c r="I34" s="1745">
        <f t="shared" si="0"/>
        <v>0</v>
      </c>
      <c r="J34" s="1802"/>
      <c r="K34" s="1816"/>
      <c r="L34" s="1028"/>
    </row>
    <row r="35" spans="1:12" outlineLevel="1" x14ac:dyDescent="0.25">
      <c r="A35" s="1836">
        <v>5311</v>
      </c>
      <c r="B35" s="1812">
        <v>5169</v>
      </c>
      <c r="C35" s="1813"/>
      <c r="D35" s="1746">
        <v>0</v>
      </c>
      <c r="E35" s="1746">
        <v>0</v>
      </c>
      <c r="F35" s="1746">
        <v>0</v>
      </c>
      <c r="G35" s="1746">
        <v>0</v>
      </c>
      <c r="H35" s="1746">
        <v>0</v>
      </c>
      <c r="I35" s="1751">
        <f t="shared" si="0"/>
        <v>0</v>
      </c>
      <c r="J35" s="1802"/>
      <c r="K35" s="1816"/>
      <c r="L35" s="1028"/>
    </row>
    <row r="36" spans="1:12" s="1029" customFormat="1" ht="13.5" thickBot="1" x14ac:dyDescent="0.3">
      <c r="A36" s="3178" t="s">
        <v>1207</v>
      </c>
      <c r="B36" s="3179"/>
      <c r="C36" s="1814"/>
      <c r="D36" s="1765">
        <v>300000</v>
      </c>
      <c r="E36" s="1765">
        <v>300000</v>
      </c>
      <c r="F36" s="1765">
        <v>300000</v>
      </c>
      <c r="G36" s="1765">
        <v>300000</v>
      </c>
      <c r="H36" s="1765">
        <f t="shared" ref="H36" si="10">SUM(H34:H35)</f>
        <v>300000</v>
      </c>
      <c r="I36" s="1766">
        <f t="shared" si="0"/>
        <v>0</v>
      </c>
      <c r="J36" s="1815">
        <f>'Výdaje kapitol celkem'!X34</f>
        <v>300000</v>
      </c>
      <c r="K36" s="1816">
        <f>+J36-H36</f>
        <v>0</v>
      </c>
      <c r="L36" s="1028"/>
    </row>
    <row r="37" spans="1:12" outlineLevel="1" x14ac:dyDescent="0.25">
      <c r="A37" s="1835" t="s">
        <v>196</v>
      </c>
      <c r="B37" s="1809">
        <v>5169</v>
      </c>
      <c r="C37" s="1810" t="s">
        <v>2291</v>
      </c>
      <c r="D37" s="1744">
        <v>30000</v>
      </c>
      <c r="E37" s="1744">
        <v>30000</v>
      </c>
      <c r="F37" s="1744">
        <v>30000</v>
      </c>
      <c r="G37" s="1744">
        <v>30000</v>
      </c>
      <c r="H37" s="1744">
        <f>+'[3]Městská policie'!$B$78</f>
        <v>30000</v>
      </c>
      <c r="I37" s="1745">
        <f t="shared" si="0"/>
        <v>0</v>
      </c>
      <c r="J37" s="1802"/>
      <c r="K37" s="1816"/>
      <c r="L37" s="1028"/>
    </row>
    <row r="38" spans="1:12" outlineLevel="1" x14ac:dyDescent="0.25">
      <c r="A38" s="1836" t="s">
        <v>196</v>
      </c>
      <c r="B38" s="1812">
        <v>5169</v>
      </c>
      <c r="C38" s="1813" t="s">
        <v>2292</v>
      </c>
      <c r="D38" s="1746">
        <v>50000</v>
      </c>
      <c r="E38" s="1746">
        <v>50000</v>
      </c>
      <c r="F38" s="1746">
        <v>50000</v>
      </c>
      <c r="G38" s="1746">
        <v>50000</v>
      </c>
      <c r="H38" s="1746">
        <f>+'[3]Městská policie'!$B$79</f>
        <v>50000</v>
      </c>
      <c r="I38" s="1747">
        <f t="shared" si="0"/>
        <v>0</v>
      </c>
      <c r="J38" s="1802"/>
      <c r="K38" s="1816"/>
      <c r="L38" s="1028"/>
    </row>
    <row r="39" spans="1:12" outlineLevel="1" x14ac:dyDescent="0.25">
      <c r="A39" s="1836" t="s">
        <v>196</v>
      </c>
      <c r="B39" s="1812">
        <v>5169</v>
      </c>
      <c r="C39" s="1813" t="s">
        <v>1830</v>
      </c>
      <c r="D39" s="1746">
        <v>80000</v>
      </c>
      <c r="E39" s="1746">
        <v>80000</v>
      </c>
      <c r="F39" s="1746">
        <v>80000</v>
      </c>
      <c r="G39" s="1746">
        <v>80000</v>
      </c>
      <c r="H39" s="1746">
        <f>+'[3]Městská policie'!$B$80</f>
        <v>80000</v>
      </c>
      <c r="I39" s="1751">
        <f t="shared" si="0"/>
        <v>0</v>
      </c>
      <c r="J39" s="1802"/>
      <c r="K39" s="1816"/>
      <c r="L39" s="1028"/>
    </row>
    <row r="40" spans="1:12" s="1029" customFormat="1" ht="13.5" thickBot="1" x14ac:dyDescent="0.3">
      <c r="A40" s="3178" t="s">
        <v>1176</v>
      </c>
      <c r="B40" s="3179"/>
      <c r="C40" s="1814"/>
      <c r="D40" s="1765">
        <v>160000</v>
      </c>
      <c r="E40" s="1765">
        <v>160000</v>
      </c>
      <c r="F40" s="1765">
        <v>160000</v>
      </c>
      <c r="G40" s="1765">
        <v>160000</v>
      </c>
      <c r="H40" s="1765">
        <f t="shared" ref="H40" si="11">SUM(H37:H39)</f>
        <v>160000</v>
      </c>
      <c r="I40" s="1766">
        <f t="shared" si="0"/>
        <v>0</v>
      </c>
      <c r="J40" s="1815">
        <f>'Výdaje kapitol celkem'!Y34</f>
        <v>160000</v>
      </c>
      <c r="K40" s="1816">
        <f>+J40-H40</f>
        <v>0</v>
      </c>
      <c r="L40" s="1028"/>
    </row>
    <row r="41" spans="1:12" outlineLevel="1" x14ac:dyDescent="0.25">
      <c r="A41" s="1835">
        <v>3319</v>
      </c>
      <c r="B41" s="1809">
        <v>5169</v>
      </c>
      <c r="C41" s="1810" t="s">
        <v>1831</v>
      </c>
      <c r="D41" s="1744">
        <v>50000</v>
      </c>
      <c r="E41" s="1744">
        <v>50000</v>
      </c>
      <c r="F41" s="1744">
        <v>50000</v>
      </c>
      <c r="G41" s="1744">
        <v>50000</v>
      </c>
      <c r="H41" s="1744">
        <f>+[3]Kronika!$B$19</f>
        <v>50000</v>
      </c>
      <c r="I41" s="1745">
        <f t="shared" si="0"/>
        <v>0</v>
      </c>
      <c r="J41" s="1802"/>
      <c r="K41" s="1816"/>
      <c r="L41" s="1028"/>
    </row>
    <row r="42" spans="1:12" outlineLevel="1" x14ac:dyDescent="0.25">
      <c r="A42" s="1836">
        <v>3319</v>
      </c>
      <c r="B42" s="1812">
        <v>5169</v>
      </c>
      <c r="C42" s="1813" t="s">
        <v>1832</v>
      </c>
      <c r="D42" s="1746">
        <v>50000</v>
      </c>
      <c r="E42" s="1746">
        <v>50000</v>
      </c>
      <c r="F42" s="1746">
        <v>50000</v>
      </c>
      <c r="G42" s="1746">
        <v>50000</v>
      </c>
      <c r="H42" s="1746">
        <f>+[3]Kronika!$B$20</f>
        <v>50000</v>
      </c>
      <c r="I42" s="1751">
        <f t="shared" si="0"/>
        <v>0</v>
      </c>
      <c r="J42" s="1802"/>
      <c r="K42" s="1816"/>
      <c r="L42" s="1028"/>
    </row>
    <row r="43" spans="1:12" s="1029" customFormat="1" ht="13.5" thickBot="1" x14ac:dyDescent="0.3">
      <c r="A43" s="3178" t="s">
        <v>1175</v>
      </c>
      <c r="B43" s="3179"/>
      <c r="C43" s="1814"/>
      <c r="D43" s="1765">
        <v>100000</v>
      </c>
      <c r="E43" s="1765">
        <v>100000</v>
      </c>
      <c r="F43" s="1765">
        <v>100000</v>
      </c>
      <c r="G43" s="1765">
        <v>100000</v>
      </c>
      <c r="H43" s="1765">
        <f t="shared" ref="H43" si="12">SUM(H41:H42)</f>
        <v>100000</v>
      </c>
      <c r="I43" s="1766">
        <f t="shared" si="0"/>
        <v>0</v>
      </c>
      <c r="J43" s="1815">
        <f>'Výdaje kapitol celkem'!Z34</f>
        <v>100000</v>
      </c>
      <c r="K43" s="1816">
        <f>+J43-H43</f>
        <v>0</v>
      </c>
      <c r="L43" s="1028"/>
    </row>
    <row r="44" spans="1:12" outlineLevel="1" x14ac:dyDescent="0.25">
      <c r="A44" s="1835">
        <v>3314</v>
      </c>
      <c r="B44" s="1809">
        <v>5169</v>
      </c>
      <c r="C44" s="1810"/>
      <c r="D44" s="1744">
        <v>42000</v>
      </c>
      <c r="E44" s="1744">
        <v>42000</v>
      </c>
      <c r="F44" s="1744">
        <v>42000</v>
      </c>
      <c r="G44" s="1744">
        <v>42000</v>
      </c>
      <c r="H44" s="1744">
        <f>+[3]Knihovna!$B$55</f>
        <v>42000</v>
      </c>
      <c r="I44" s="1745">
        <f t="shared" si="0"/>
        <v>0</v>
      </c>
      <c r="J44" s="1802"/>
      <c r="K44" s="1816"/>
      <c r="L44" s="1028"/>
    </row>
    <row r="45" spans="1:12" outlineLevel="1" x14ac:dyDescent="0.25">
      <c r="A45" s="1836">
        <v>3314</v>
      </c>
      <c r="B45" s="1812">
        <v>5169</v>
      </c>
      <c r="C45" s="1813"/>
      <c r="D45" s="1746">
        <v>15000</v>
      </c>
      <c r="E45" s="1746">
        <v>15000</v>
      </c>
      <c r="F45" s="1746">
        <v>15000</v>
      </c>
      <c r="G45" s="1746">
        <v>15000</v>
      </c>
      <c r="H45" s="1746">
        <f>+[3]Knihovna!$B$56</f>
        <v>15000</v>
      </c>
      <c r="I45" s="1751">
        <f t="shared" si="0"/>
        <v>0</v>
      </c>
      <c r="J45" s="1802"/>
      <c r="K45" s="1816"/>
      <c r="L45" s="1028"/>
    </row>
    <row r="46" spans="1:12" s="1029" customFormat="1" ht="13.5" thickBot="1" x14ac:dyDescent="0.3">
      <c r="A46" s="3178" t="s">
        <v>1177</v>
      </c>
      <c r="B46" s="3179"/>
      <c r="C46" s="1814"/>
      <c r="D46" s="1765">
        <v>57000</v>
      </c>
      <c r="E46" s="1765">
        <v>57000</v>
      </c>
      <c r="F46" s="1765">
        <v>57000</v>
      </c>
      <c r="G46" s="1765">
        <v>57000</v>
      </c>
      <c r="H46" s="1765">
        <f t="shared" ref="H46" si="13">SUM(H44:H45)</f>
        <v>57000</v>
      </c>
      <c r="I46" s="1766">
        <f t="shared" si="0"/>
        <v>0</v>
      </c>
      <c r="J46" s="1815">
        <f>'Výdaje kapitol celkem'!AB34</f>
        <v>57000</v>
      </c>
      <c r="K46" s="1816">
        <f>+J46-H46</f>
        <v>0</v>
      </c>
      <c r="L46" s="1028"/>
    </row>
    <row r="47" spans="1:12" outlineLevel="1" x14ac:dyDescent="0.25">
      <c r="A47" s="1835">
        <v>3349</v>
      </c>
      <c r="B47" s="1809">
        <v>5169</v>
      </c>
      <c r="C47" s="1810" t="s">
        <v>1833</v>
      </c>
      <c r="D47" s="1744">
        <v>500000</v>
      </c>
      <c r="E47" s="1744">
        <v>500000</v>
      </c>
      <c r="F47" s="1744">
        <v>500000</v>
      </c>
      <c r="G47" s="1744">
        <v>500000</v>
      </c>
      <c r="H47" s="1744">
        <f>+'[3]Život Úval'!$B$12</f>
        <v>500000</v>
      </c>
      <c r="I47" s="1745">
        <f t="shared" si="0"/>
        <v>0</v>
      </c>
      <c r="J47" s="1802"/>
      <c r="K47" s="1816"/>
      <c r="L47" s="1028"/>
    </row>
    <row r="48" spans="1:12" outlineLevel="1" x14ac:dyDescent="0.25">
      <c r="A48" s="1840">
        <v>3349</v>
      </c>
      <c r="B48" s="1818">
        <v>5169</v>
      </c>
      <c r="C48" s="1824"/>
      <c r="D48" s="1753">
        <v>0</v>
      </c>
      <c r="E48" s="1753">
        <v>0</v>
      </c>
      <c r="F48" s="1753">
        <v>0</v>
      </c>
      <c r="G48" s="1753">
        <v>0</v>
      </c>
      <c r="H48" s="1753">
        <f>+'[3]Život Úval'!$B$13</f>
        <v>0</v>
      </c>
      <c r="I48" s="1754">
        <f t="shared" si="0"/>
        <v>0</v>
      </c>
      <c r="J48" s="1802"/>
      <c r="K48" s="1816"/>
      <c r="L48" s="1028"/>
    </row>
    <row r="49" spans="1:12" s="1029" customFormat="1" ht="13.5" thickBot="1" x14ac:dyDescent="0.3">
      <c r="A49" s="3178" t="s">
        <v>1203</v>
      </c>
      <c r="B49" s="3179"/>
      <c r="C49" s="1814"/>
      <c r="D49" s="1765">
        <v>500000</v>
      </c>
      <c r="E49" s="1765">
        <v>500000</v>
      </c>
      <c r="F49" s="1765">
        <v>500000</v>
      </c>
      <c r="G49" s="1765">
        <v>500000</v>
      </c>
      <c r="H49" s="1765">
        <f>SUM(H47:H48)</f>
        <v>500000</v>
      </c>
      <c r="I49" s="1766">
        <f t="shared" si="0"/>
        <v>0</v>
      </c>
      <c r="J49" s="1815">
        <f>'Výdaje kapitol celkem'!AC34</f>
        <v>500000</v>
      </c>
      <c r="K49" s="1816">
        <f>+J49-H49</f>
        <v>0</v>
      </c>
      <c r="L49" s="1028"/>
    </row>
    <row r="50" spans="1:12" outlineLevel="1" x14ac:dyDescent="0.25">
      <c r="A50" s="1835">
        <v>3359</v>
      </c>
      <c r="B50" s="1809">
        <v>5169</v>
      </c>
      <c r="C50" s="1810" t="s">
        <v>1834</v>
      </c>
      <c r="D50" s="1744">
        <v>220000</v>
      </c>
      <c r="E50" s="1744">
        <v>220000</v>
      </c>
      <c r="F50" s="1744">
        <v>220000</v>
      </c>
      <c r="G50" s="1744">
        <v>220000</v>
      </c>
      <c r="H50" s="1744">
        <f>+[3]Kultura!$B$29</f>
        <v>220000</v>
      </c>
      <c r="I50" s="1745">
        <f t="shared" si="0"/>
        <v>0</v>
      </c>
      <c r="J50" s="1802"/>
      <c r="K50" s="1816"/>
      <c r="L50" s="1028"/>
    </row>
    <row r="51" spans="1:12" outlineLevel="1" x14ac:dyDescent="0.25">
      <c r="A51" s="1836">
        <v>3359</v>
      </c>
      <c r="B51" s="1812">
        <v>5169</v>
      </c>
      <c r="C51" s="1813" t="s">
        <v>1835</v>
      </c>
      <c r="D51" s="1746">
        <v>100000</v>
      </c>
      <c r="E51" s="1746">
        <v>100000</v>
      </c>
      <c r="F51" s="1746">
        <v>100000</v>
      </c>
      <c r="G51" s="1746">
        <v>100000</v>
      </c>
      <c r="H51" s="1746">
        <f>+[3]Kultura!$B$30</f>
        <v>100000</v>
      </c>
      <c r="I51" s="1747">
        <f t="shared" si="0"/>
        <v>0</v>
      </c>
      <c r="J51" s="1802"/>
      <c r="K51" s="1816"/>
      <c r="L51" s="1028"/>
    </row>
    <row r="52" spans="1:12" outlineLevel="1" x14ac:dyDescent="0.25">
      <c r="A52" s="1836">
        <v>3359</v>
      </c>
      <c r="B52" s="1812">
        <v>5169</v>
      </c>
      <c r="C52" s="1813" t="s">
        <v>1836</v>
      </c>
      <c r="D52" s="1746">
        <v>150000</v>
      </c>
      <c r="E52" s="1746">
        <v>150000</v>
      </c>
      <c r="F52" s="1746">
        <v>150000</v>
      </c>
      <c r="G52" s="1746">
        <v>150000</v>
      </c>
      <c r="H52" s="1746">
        <f>+[3]Kultura!$B$31</f>
        <v>150000</v>
      </c>
      <c r="I52" s="1747">
        <f t="shared" si="0"/>
        <v>0</v>
      </c>
      <c r="J52" s="1802"/>
      <c r="K52" s="1816"/>
      <c r="L52" s="1028"/>
    </row>
    <row r="53" spans="1:12" outlineLevel="1" x14ac:dyDescent="0.25">
      <c r="A53" s="1841">
        <v>3359</v>
      </c>
      <c r="B53" s="1818">
        <v>5169</v>
      </c>
      <c r="C53" s="1819" t="s">
        <v>1837</v>
      </c>
      <c r="D53" s="1752">
        <v>150000</v>
      </c>
      <c r="E53" s="1752">
        <v>150000</v>
      </c>
      <c r="F53" s="1752">
        <v>150000</v>
      </c>
      <c r="G53" s="1752">
        <v>150000</v>
      </c>
      <c r="H53" s="1752">
        <f>+[3]Kultura!$B$32</f>
        <v>150000</v>
      </c>
      <c r="I53" s="1767">
        <f t="shared" si="0"/>
        <v>0</v>
      </c>
      <c r="J53" s="1802"/>
      <c r="K53" s="1816"/>
      <c r="L53" s="1028"/>
    </row>
    <row r="54" spans="1:12" outlineLevel="1" x14ac:dyDescent="0.25">
      <c r="A54" s="1841">
        <v>3359</v>
      </c>
      <c r="B54" s="1818">
        <v>5169</v>
      </c>
      <c r="C54" s="1819" t="s">
        <v>1838</v>
      </c>
      <c r="D54" s="1752">
        <v>120000</v>
      </c>
      <c r="E54" s="1752">
        <v>120000</v>
      </c>
      <c r="F54" s="1752">
        <v>120000</v>
      </c>
      <c r="G54" s="1752">
        <v>120000</v>
      </c>
      <c r="H54" s="1752">
        <f>+[3]Kultura!$B$33</f>
        <v>120000</v>
      </c>
      <c r="I54" s="1767">
        <f t="shared" si="0"/>
        <v>0</v>
      </c>
      <c r="J54" s="1802"/>
      <c r="K54" s="1816"/>
      <c r="L54" s="1028"/>
    </row>
    <row r="55" spans="1:12" outlineLevel="1" x14ac:dyDescent="0.25">
      <c r="A55" s="1841">
        <v>3359</v>
      </c>
      <c r="B55" s="1818">
        <v>5169</v>
      </c>
      <c r="C55" s="1819" t="s">
        <v>1839</v>
      </c>
      <c r="D55" s="1752">
        <v>320000</v>
      </c>
      <c r="E55" s="1752">
        <v>320000</v>
      </c>
      <c r="F55" s="1752">
        <v>320000</v>
      </c>
      <c r="G55" s="1752">
        <v>320000</v>
      </c>
      <c r="H55" s="1752">
        <f>+[3]Kultura!$B$34</f>
        <v>320000</v>
      </c>
      <c r="I55" s="1767">
        <f t="shared" si="0"/>
        <v>0</v>
      </c>
      <c r="J55" s="1802"/>
      <c r="K55" s="1816"/>
      <c r="L55" s="1028"/>
    </row>
    <row r="56" spans="1:12" s="1029" customFormat="1" ht="13.5" thickBot="1" x14ac:dyDescent="0.3">
      <c r="A56" s="3178" t="s">
        <v>1202</v>
      </c>
      <c r="B56" s="3179"/>
      <c r="C56" s="1814"/>
      <c r="D56" s="1765">
        <v>1060000</v>
      </c>
      <c r="E56" s="1765">
        <v>1060000</v>
      </c>
      <c r="F56" s="1765">
        <v>1060000</v>
      </c>
      <c r="G56" s="1765">
        <v>1060000</v>
      </c>
      <c r="H56" s="1765">
        <f t="shared" ref="H56" si="14">SUM(H50:H55)</f>
        <v>1060000</v>
      </c>
      <c r="I56" s="1766">
        <f t="shared" si="0"/>
        <v>0</v>
      </c>
      <c r="J56" s="1815">
        <f>'Výdaje kapitol celkem'!AD34</f>
        <v>1060000</v>
      </c>
      <c r="K56" s="1816">
        <f>+J56-H56</f>
        <v>0</v>
      </c>
      <c r="L56" s="1028"/>
    </row>
    <row r="57" spans="1:12" ht="24.75" outlineLevel="1" x14ac:dyDescent="0.25">
      <c r="A57" s="1835">
        <v>3612</v>
      </c>
      <c r="B57" s="1809">
        <v>5169</v>
      </c>
      <c r="C57" s="1810" t="s">
        <v>2244</v>
      </c>
      <c r="D57" s="1744">
        <v>1170000</v>
      </c>
      <c r="E57" s="1744">
        <v>1170000</v>
      </c>
      <c r="F57" s="1744">
        <v>1170000</v>
      </c>
      <c r="G57" s="1744">
        <v>1170000</v>
      </c>
      <c r="H57" s="1744">
        <f>+[4]Byty!$B$26</f>
        <v>1170000</v>
      </c>
      <c r="I57" s="1745">
        <f t="shared" si="0"/>
        <v>0</v>
      </c>
      <c r="J57" s="1802"/>
      <c r="K57" s="1816"/>
      <c r="L57" s="1028"/>
    </row>
    <row r="58" spans="1:12" ht="24.75" outlineLevel="1" x14ac:dyDescent="0.25">
      <c r="A58" s="1836">
        <v>3612</v>
      </c>
      <c r="B58" s="1812">
        <v>5169</v>
      </c>
      <c r="C58" s="1813" t="s">
        <v>1798</v>
      </c>
      <c r="D58" s="1746">
        <v>250000</v>
      </c>
      <c r="E58" s="1746">
        <v>250000</v>
      </c>
      <c r="F58" s="1746">
        <v>250000</v>
      </c>
      <c r="G58" s="1746">
        <v>250000</v>
      </c>
      <c r="H58" s="1746">
        <f>+[4]Byty!$B$27</f>
        <v>250000</v>
      </c>
      <c r="I58" s="1747">
        <f t="shared" si="0"/>
        <v>0</v>
      </c>
      <c r="J58" s="1802"/>
      <c r="K58" s="1816"/>
      <c r="L58" s="1028"/>
    </row>
    <row r="59" spans="1:12" s="1029" customFormat="1" ht="13.5" thickBot="1" x14ac:dyDescent="0.3">
      <c r="A59" s="3178" t="s">
        <v>199</v>
      </c>
      <c r="B59" s="3179"/>
      <c r="C59" s="1814"/>
      <c r="D59" s="1765">
        <v>1420000</v>
      </c>
      <c r="E59" s="1765">
        <v>1420000</v>
      </c>
      <c r="F59" s="1765">
        <v>1420000</v>
      </c>
      <c r="G59" s="1765">
        <v>1420000</v>
      </c>
      <c r="H59" s="1765">
        <f t="shared" ref="H59" si="15">SUM(H57:H58)</f>
        <v>1420000</v>
      </c>
      <c r="I59" s="1766">
        <f t="shared" si="0"/>
        <v>0</v>
      </c>
      <c r="J59" s="1815">
        <f>'Výdaje kapitol celkem'!AE34</f>
        <v>1420000</v>
      </c>
      <c r="K59" s="1816">
        <f>+J59-H59</f>
        <v>0</v>
      </c>
      <c r="L59" s="1028"/>
    </row>
    <row r="60" spans="1:12" outlineLevel="1" x14ac:dyDescent="0.25">
      <c r="A60" s="1841" t="s">
        <v>198</v>
      </c>
      <c r="B60" s="1818">
        <v>5169</v>
      </c>
      <c r="C60" s="1819" t="s">
        <v>1785</v>
      </c>
      <c r="D60" s="1752">
        <v>120000</v>
      </c>
      <c r="E60" s="1752">
        <v>120000</v>
      </c>
      <c r="F60" s="1752">
        <v>120000</v>
      </c>
      <c r="G60" s="1752">
        <v>120000</v>
      </c>
      <c r="H60" s="1752">
        <f>+[4]DPS!$B$27</f>
        <v>120000</v>
      </c>
      <c r="I60" s="1767">
        <f t="shared" si="0"/>
        <v>0</v>
      </c>
      <c r="J60" s="1802"/>
      <c r="K60" s="1816"/>
      <c r="L60" s="1028"/>
    </row>
    <row r="61" spans="1:12" outlineLevel="1" x14ac:dyDescent="0.25">
      <c r="A61" s="1841" t="s">
        <v>198</v>
      </c>
      <c r="B61" s="1818">
        <v>5169</v>
      </c>
      <c r="C61" s="1819" t="s">
        <v>1786</v>
      </c>
      <c r="D61" s="1752">
        <v>100000</v>
      </c>
      <c r="E61" s="1752">
        <v>100000</v>
      </c>
      <c r="F61" s="1752">
        <v>100000</v>
      </c>
      <c r="G61" s="1752">
        <v>100000</v>
      </c>
      <c r="H61" s="1752">
        <f>+[4]DPS!$B$28</f>
        <v>100000</v>
      </c>
      <c r="I61" s="1767">
        <f t="shared" si="0"/>
        <v>0</v>
      </c>
      <c r="J61" s="1802"/>
      <c r="K61" s="1816"/>
      <c r="L61" s="1028"/>
    </row>
    <row r="62" spans="1:12" ht="13.5" thickBot="1" x14ac:dyDescent="0.3">
      <c r="A62" s="3178" t="s">
        <v>200</v>
      </c>
      <c r="B62" s="3179"/>
      <c r="C62" s="1814"/>
      <c r="D62" s="1765">
        <v>220000</v>
      </c>
      <c r="E62" s="1765">
        <v>220000</v>
      </c>
      <c r="F62" s="1765">
        <v>220000</v>
      </c>
      <c r="G62" s="1765">
        <v>220000</v>
      </c>
      <c r="H62" s="1765">
        <f t="shared" ref="H62" si="16">SUM(H60:H61)</f>
        <v>220000</v>
      </c>
      <c r="I62" s="1766">
        <f t="shared" si="0"/>
        <v>0</v>
      </c>
      <c r="J62" s="1815">
        <f>'Výdaje kapitol celkem'!AH34</f>
        <v>220000</v>
      </c>
      <c r="K62" s="1816">
        <f>+J62-H62</f>
        <v>0</v>
      </c>
      <c r="L62" s="1028"/>
    </row>
    <row r="63" spans="1:12" hidden="1" outlineLevel="1" x14ac:dyDescent="0.25">
      <c r="A63" s="1836" t="s">
        <v>1253</v>
      </c>
      <c r="B63" s="1812">
        <v>5169</v>
      </c>
      <c r="C63" s="1813"/>
      <c r="D63" s="1746">
        <v>0</v>
      </c>
      <c r="E63" s="1746">
        <v>0</v>
      </c>
      <c r="F63" s="1746">
        <v>0</v>
      </c>
      <c r="G63" s="1746">
        <v>0</v>
      </c>
      <c r="H63" s="1746">
        <v>0</v>
      </c>
      <c r="I63" s="1751">
        <f t="shared" si="0"/>
        <v>0</v>
      </c>
      <c r="J63" s="1802"/>
      <c r="K63" s="1816"/>
      <c r="L63" s="1028"/>
    </row>
    <row r="64" spans="1:12" hidden="1" outlineLevel="1" x14ac:dyDescent="0.25">
      <c r="A64" s="1841" t="s">
        <v>1253</v>
      </c>
      <c r="B64" s="1818">
        <v>5169</v>
      </c>
      <c r="C64" s="1819"/>
      <c r="D64" s="1752">
        <v>0</v>
      </c>
      <c r="E64" s="1752">
        <v>0</v>
      </c>
      <c r="F64" s="1752">
        <v>0</v>
      </c>
      <c r="G64" s="1752">
        <v>0</v>
      </c>
      <c r="H64" s="1752">
        <v>0</v>
      </c>
      <c r="I64" s="1768">
        <f t="shared" si="0"/>
        <v>0</v>
      </c>
      <c r="J64" s="1802"/>
      <c r="K64" s="1816"/>
      <c r="L64" s="1028"/>
    </row>
    <row r="65" spans="1:12" hidden="1" outlineLevel="1" x14ac:dyDescent="0.25">
      <c r="A65" s="1842" t="s">
        <v>1253</v>
      </c>
      <c r="B65" s="1818">
        <v>5169</v>
      </c>
      <c r="C65" s="1821"/>
      <c r="D65" s="1769">
        <v>0</v>
      </c>
      <c r="E65" s="1769">
        <v>0</v>
      </c>
      <c r="F65" s="1769">
        <v>0</v>
      </c>
      <c r="G65" s="1769">
        <v>0</v>
      </c>
      <c r="H65" s="1769">
        <v>0</v>
      </c>
      <c r="I65" s="1770">
        <f t="shared" si="0"/>
        <v>0</v>
      </c>
      <c r="J65" s="1802"/>
      <c r="K65" s="1816"/>
      <c r="L65" s="1028"/>
    </row>
    <row r="66" spans="1:12" ht="13.5" collapsed="1" thickBot="1" x14ac:dyDescent="0.3">
      <c r="A66" s="3178" t="s">
        <v>1442</v>
      </c>
      <c r="B66" s="3179"/>
      <c r="C66" s="1814"/>
      <c r="D66" s="1765">
        <v>0</v>
      </c>
      <c r="E66" s="1765">
        <v>0</v>
      </c>
      <c r="F66" s="1765">
        <v>0</v>
      </c>
      <c r="G66" s="1765">
        <v>0</v>
      </c>
      <c r="H66" s="1765">
        <f t="shared" ref="H66" si="17">SUM(H63:H64)</f>
        <v>0</v>
      </c>
      <c r="I66" s="1766">
        <f t="shared" si="0"/>
        <v>0</v>
      </c>
      <c r="J66" s="1815">
        <f>'Výdaje kapitol celkem'!AA34</f>
        <v>0</v>
      </c>
      <c r="K66" s="1816">
        <f>+J66-H66</f>
        <v>0</v>
      </c>
      <c r="L66" s="1028"/>
    </row>
    <row r="67" spans="1:12" ht="24.75" outlineLevel="1" x14ac:dyDescent="0.25">
      <c r="A67" s="1836">
        <v>3613</v>
      </c>
      <c r="B67" s="1812">
        <v>5169</v>
      </c>
      <c r="C67" s="1813" t="s">
        <v>1790</v>
      </c>
      <c r="D67" s="1746">
        <v>300000</v>
      </c>
      <c r="E67" s="1746">
        <v>300000</v>
      </c>
      <c r="F67" s="1746">
        <v>300000</v>
      </c>
      <c r="G67" s="1746">
        <v>300000</v>
      </c>
      <c r="H67" s="1746">
        <f>+[4]Nebyty!$B$5</f>
        <v>300000</v>
      </c>
      <c r="I67" s="1751">
        <f t="shared" si="0"/>
        <v>0</v>
      </c>
      <c r="J67" s="1802"/>
      <c r="K67" s="1816"/>
      <c r="L67" s="1028"/>
    </row>
    <row r="68" spans="1:12" outlineLevel="1" x14ac:dyDescent="0.25">
      <c r="A68" s="1841">
        <v>3613</v>
      </c>
      <c r="B68" s="1818">
        <v>5169</v>
      </c>
      <c r="C68" s="1819" t="s">
        <v>1791</v>
      </c>
      <c r="D68" s="1752">
        <v>0</v>
      </c>
      <c r="E68" s="1752">
        <v>0</v>
      </c>
      <c r="F68" s="1752">
        <v>0</v>
      </c>
      <c r="G68" s="1752">
        <v>0</v>
      </c>
      <c r="H68" s="1752">
        <f>+[4]Nebyty!$B$6</f>
        <v>0</v>
      </c>
      <c r="I68" s="1768">
        <f t="shared" si="0"/>
        <v>0</v>
      </c>
      <c r="J68" s="1802"/>
      <c r="K68" s="1816"/>
      <c r="L68" s="1028"/>
    </row>
    <row r="69" spans="1:12" ht="13.5" thickBot="1" x14ac:dyDescent="0.3">
      <c r="A69" s="3178" t="s">
        <v>201</v>
      </c>
      <c r="B69" s="3179"/>
      <c r="C69" s="1814"/>
      <c r="D69" s="1765">
        <v>300000</v>
      </c>
      <c r="E69" s="1765">
        <v>300000</v>
      </c>
      <c r="F69" s="1765">
        <v>300000</v>
      </c>
      <c r="G69" s="1765">
        <v>300000</v>
      </c>
      <c r="H69" s="1765">
        <f t="shared" ref="H69" si="18">SUM(H67:H68)</f>
        <v>300000</v>
      </c>
      <c r="I69" s="1766">
        <f t="shared" si="0"/>
        <v>0</v>
      </c>
      <c r="J69" s="1815">
        <f>'Výdaje kapitol celkem'!AK34</f>
        <v>300000</v>
      </c>
      <c r="K69" s="1816">
        <f>+J69-H69</f>
        <v>0</v>
      </c>
      <c r="L69" s="1028"/>
    </row>
    <row r="70" spans="1:12" outlineLevel="1" x14ac:dyDescent="0.25">
      <c r="A70" s="1836">
        <v>5512</v>
      </c>
      <c r="B70" s="1812">
        <v>5169</v>
      </c>
      <c r="C70" s="1813" t="s">
        <v>1771</v>
      </c>
      <c r="D70" s="1746">
        <v>20000</v>
      </c>
      <c r="E70" s="1746">
        <v>20000</v>
      </c>
      <c r="F70" s="1746">
        <v>20000</v>
      </c>
      <c r="G70" s="1746">
        <v>20000</v>
      </c>
      <c r="H70" s="1746">
        <f>+[4]Hasiči!$B$19</f>
        <v>20000</v>
      </c>
      <c r="I70" s="1751">
        <f t="shared" si="0"/>
        <v>0</v>
      </c>
      <c r="J70" s="1802"/>
      <c r="K70" s="1816"/>
      <c r="L70" s="1028"/>
    </row>
    <row r="71" spans="1:12" outlineLevel="1" x14ac:dyDescent="0.25">
      <c r="A71" s="1841">
        <v>5512</v>
      </c>
      <c r="B71" s="1818">
        <v>5169</v>
      </c>
      <c r="C71" s="1813" t="s">
        <v>1840</v>
      </c>
      <c r="D71" s="1752">
        <v>30000</v>
      </c>
      <c r="E71" s="1752">
        <v>30000</v>
      </c>
      <c r="F71" s="1752">
        <v>30000</v>
      </c>
      <c r="G71" s="1752">
        <v>30000</v>
      </c>
      <c r="H71" s="1752">
        <f>+[3]Hasiči!$B$55</f>
        <v>30000</v>
      </c>
      <c r="I71" s="1768">
        <f t="shared" si="0"/>
        <v>0</v>
      </c>
      <c r="J71" s="1802"/>
      <c r="K71" s="1816"/>
      <c r="L71" s="1028"/>
    </row>
    <row r="72" spans="1:12" hidden="1" outlineLevel="1" x14ac:dyDescent="0.25">
      <c r="A72" s="1841">
        <v>5512</v>
      </c>
      <c r="B72" s="1818">
        <v>5169</v>
      </c>
      <c r="C72" s="1813"/>
      <c r="D72" s="1752"/>
      <c r="E72" s="1752"/>
      <c r="F72" s="1752"/>
      <c r="G72" s="1752"/>
      <c r="H72" s="1752"/>
      <c r="I72" s="1768">
        <f t="shared" si="0"/>
        <v>0</v>
      </c>
      <c r="J72" s="1802"/>
      <c r="K72" s="1816"/>
      <c r="L72" s="1028"/>
    </row>
    <row r="73" spans="1:12" outlineLevel="1" x14ac:dyDescent="0.25">
      <c r="A73" s="1841">
        <v>5512</v>
      </c>
      <c r="B73" s="1818">
        <v>5169</v>
      </c>
      <c r="C73" s="1813"/>
      <c r="D73" s="1752">
        <v>0</v>
      </c>
      <c r="E73" s="1752">
        <v>0</v>
      </c>
      <c r="F73" s="1752">
        <v>0</v>
      </c>
      <c r="G73" s="1752">
        <v>0</v>
      </c>
      <c r="H73" s="1752">
        <v>0</v>
      </c>
      <c r="I73" s="1768">
        <f t="shared" si="0"/>
        <v>0</v>
      </c>
      <c r="J73" s="1802"/>
      <c r="K73" s="1816"/>
      <c r="L73" s="1028"/>
    </row>
    <row r="74" spans="1:12" ht="13.5" thickBot="1" x14ac:dyDescent="0.3">
      <c r="A74" s="3178" t="s">
        <v>202</v>
      </c>
      <c r="B74" s="3179"/>
      <c r="C74" s="1814"/>
      <c r="D74" s="1765">
        <v>50000</v>
      </c>
      <c r="E74" s="1765">
        <v>50000</v>
      </c>
      <c r="F74" s="1765">
        <v>50000</v>
      </c>
      <c r="G74" s="1765">
        <v>50000</v>
      </c>
      <c r="H74" s="1765">
        <f t="shared" ref="H74" si="19">SUM(H70:H73)</f>
        <v>50000</v>
      </c>
      <c r="I74" s="1766">
        <f t="shared" ref="I74:I137" si="20">+H74-G74</f>
        <v>0</v>
      </c>
      <c r="J74" s="1815">
        <f>'Výdaje kapitol celkem'!AN34</f>
        <v>50000</v>
      </c>
      <c r="K74" s="1816">
        <f>+J74-H74</f>
        <v>0</v>
      </c>
      <c r="L74" s="1028"/>
    </row>
    <row r="75" spans="1:12" outlineLevel="1" x14ac:dyDescent="0.25">
      <c r="A75" s="1836">
        <v>3519</v>
      </c>
      <c r="B75" s="1812">
        <v>5169</v>
      </c>
      <c r="C75" s="1813"/>
      <c r="D75" s="1746">
        <v>80000</v>
      </c>
      <c r="E75" s="1746">
        <v>80000</v>
      </c>
      <c r="F75" s="1746">
        <v>80000</v>
      </c>
      <c r="G75" s="1746">
        <v>80000</v>
      </c>
      <c r="H75" s="1746">
        <f>+'[4]Zdrav. středisko'!$B$5</f>
        <v>80000</v>
      </c>
      <c r="I75" s="1751">
        <f t="shared" si="20"/>
        <v>0</v>
      </c>
      <c r="J75" s="1802"/>
      <c r="K75" s="1816"/>
      <c r="L75" s="1028"/>
    </row>
    <row r="76" spans="1:12" outlineLevel="1" x14ac:dyDescent="0.25">
      <c r="A76" s="1841">
        <v>3519</v>
      </c>
      <c r="B76" s="1818">
        <v>5169</v>
      </c>
      <c r="C76" s="1819"/>
      <c r="D76" s="1752">
        <v>0</v>
      </c>
      <c r="E76" s="1752">
        <v>0</v>
      </c>
      <c r="F76" s="1752">
        <v>0</v>
      </c>
      <c r="G76" s="1752">
        <v>0</v>
      </c>
      <c r="H76" s="1752">
        <v>0</v>
      </c>
      <c r="I76" s="1768">
        <f t="shared" si="20"/>
        <v>0</v>
      </c>
      <c r="J76" s="1802"/>
      <c r="K76" s="1816"/>
      <c r="L76" s="1028"/>
    </row>
    <row r="77" spans="1:12" ht="13.5" thickBot="1" x14ac:dyDescent="0.3">
      <c r="A77" s="3178" t="s">
        <v>203</v>
      </c>
      <c r="B77" s="3179"/>
      <c r="C77" s="1814"/>
      <c r="D77" s="1765">
        <v>80000</v>
      </c>
      <c r="E77" s="1765">
        <v>80000</v>
      </c>
      <c r="F77" s="1765">
        <v>80000</v>
      </c>
      <c r="G77" s="1765">
        <v>80000</v>
      </c>
      <c r="H77" s="1765">
        <f t="shared" ref="H77" si="21">SUM(H75:H76)</f>
        <v>80000</v>
      </c>
      <c r="I77" s="1766">
        <f t="shared" si="20"/>
        <v>0</v>
      </c>
      <c r="J77" s="1815">
        <f>'Výdaje kapitol celkem'!AO34</f>
        <v>80000</v>
      </c>
      <c r="K77" s="1816">
        <f>+J77-H77</f>
        <v>0</v>
      </c>
      <c r="L77" s="1028"/>
    </row>
    <row r="78" spans="1:12" hidden="1" outlineLevel="1" x14ac:dyDescent="0.25">
      <c r="A78" s="1836">
        <v>3429</v>
      </c>
      <c r="B78" s="1812">
        <v>5169</v>
      </c>
      <c r="C78" s="1813" t="s">
        <v>1771</v>
      </c>
      <c r="D78" s="1746">
        <v>0</v>
      </c>
      <c r="E78" s="1746">
        <v>0</v>
      </c>
      <c r="F78" s="1746">
        <v>0</v>
      </c>
      <c r="G78" s="1746">
        <v>0</v>
      </c>
      <c r="H78" s="1746">
        <v>0</v>
      </c>
      <c r="I78" s="1751">
        <f t="shared" si="20"/>
        <v>0</v>
      </c>
      <c r="J78" s="1802"/>
      <c r="K78" s="1816"/>
      <c r="L78" s="1028"/>
    </row>
    <row r="79" spans="1:12" hidden="1" outlineLevel="1" x14ac:dyDescent="0.25">
      <c r="A79" s="1841">
        <v>3429</v>
      </c>
      <c r="B79" s="1818">
        <v>5169</v>
      </c>
      <c r="C79" s="1813"/>
      <c r="D79" s="1746">
        <v>0</v>
      </c>
      <c r="E79" s="1746">
        <v>0</v>
      </c>
      <c r="F79" s="1746">
        <v>0</v>
      </c>
      <c r="G79" s="1746">
        <v>0</v>
      </c>
      <c r="H79" s="1746">
        <v>0</v>
      </c>
      <c r="I79" s="1751">
        <f t="shared" si="20"/>
        <v>0</v>
      </c>
      <c r="J79" s="1802"/>
      <c r="K79" s="1816"/>
      <c r="L79" s="1028"/>
    </row>
    <row r="80" spans="1:12" hidden="1" outlineLevel="1" x14ac:dyDescent="0.25">
      <c r="A80" s="1841">
        <v>3429</v>
      </c>
      <c r="B80" s="1818">
        <v>5169</v>
      </c>
      <c r="C80" s="1819"/>
      <c r="D80" s="1771"/>
      <c r="E80" s="1771"/>
      <c r="F80" s="1771"/>
      <c r="G80" s="1771"/>
      <c r="H80" s="1771"/>
      <c r="I80" s="1768">
        <f t="shared" si="20"/>
        <v>0</v>
      </c>
      <c r="J80" s="1802"/>
      <c r="K80" s="1816"/>
      <c r="L80" s="1028"/>
    </row>
    <row r="81" spans="1:12" ht="13.5" collapsed="1" thickBot="1" x14ac:dyDescent="0.3">
      <c r="A81" s="3178" t="s">
        <v>1208</v>
      </c>
      <c r="B81" s="3179"/>
      <c r="C81" s="1814"/>
      <c r="D81" s="1765">
        <v>0</v>
      </c>
      <c r="E81" s="1765">
        <v>0</v>
      </c>
      <c r="F81" s="1765">
        <v>0</v>
      </c>
      <c r="G81" s="1765">
        <v>0</v>
      </c>
      <c r="H81" s="1765">
        <f t="shared" ref="H81" si="22">SUM(H78:H80)</f>
        <v>0</v>
      </c>
      <c r="I81" s="1766">
        <f t="shared" si="20"/>
        <v>0</v>
      </c>
      <c r="J81" s="1815">
        <f>'Výdaje kapitol celkem'!AP34</f>
        <v>0</v>
      </c>
      <c r="K81" s="1816">
        <f>+J81-H81</f>
        <v>0</v>
      </c>
      <c r="L81" s="1028"/>
    </row>
    <row r="82" spans="1:12" outlineLevel="1" x14ac:dyDescent="0.25">
      <c r="A82" s="1836">
        <v>3632</v>
      </c>
      <c r="B82" s="1812">
        <v>5169</v>
      </c>
      <c r="C82" s="1813"/>
      <c r="D82" s="1746">
        <v>50000</v>
      </c>
      <c r="E82" s="1746">
        <v>50000</v>
      </c>
      <c r="F82" s="1746">
        <v>50000</v>
      </c>
      <c r="G82" s="1746">
        <v>50000</v>
      </c>
      <c r="H82" s="1746">
        <f>+[4]Hřbitov!$B$19</f>
        <v>50000</v>
      </c>
      <c r="I82" s="1751">
        <f t="shared" si="20"/>
        <v>0</v>
      </c>
      <c r="J82" s="1802"/>
      <c r="K82" s="1816"/>
      <c r="L82" s="1028"/>
    </row>
    <row r="83" spans="1:12" hidden="1" outlineLevel="1" x14ac:dyDescent="0.25">
      <c r="A83" s="1841">
        <v>3632</v>
      </c>
      <c r="B83" s="1818">
        <v>5169</v>
      </c>
      <c r="C83" s="1813"/>
      <c r="D83" s="1746">
        <v>0</v>
      </c>
      <c r="E83" s="1746">
        <v>0</v>
      </c>
      <c r="F83" s="1746">
        <v>0</v>
      </c>
      <c r="G83" s="1746">
        <v>0</v>
      </c>
      <c r="H83" s="1746">
        <v>0</v>
      </c>
      <c r="I83" s="1751">
        <f t="shared" si="20"/>
        <v>0</v>
      </c>
      <c r="J83" s="1802"/>
      <c r="K83" s="1816"/>
      <c r="L83" s="1028"/>
    </row>
    <row r="84" spans="1:12" outlineLevel="1" x14ac:dyDescent="0.25">
      <c r="A84" s="1841">
        <v>3632</v>
      </c>
      <c r="B84" s="1818">
        <v>5169</v>
      </c>
      <c r="C84" s="1819"/>
      <c r="D84" s="1752"/>
      <c r="E84" s="1752"/>
      <c r="F84" s="1752"/>
      <c r="G84" s="1752"/>
      <c r="H84" s="1752"/>
      <c r="I84" s="1768">
        <f t="shared" si="20"/>
        <v>0</v>
      </c>
      <c r="J84" s="1802"/>
      <c r="K84" s="1816"/>
      <c r="L84" s="1028"/>
    </row>
    <row r="85" spans="1:12" ht="13.5" thickBot="1" x14ac:dyDescent="0.3">
      <c r="A85" s="3178" t="s">
        <v>252</v>
      </c>
      <c r="B85" s="3179"/>
      <c r="C85" s="1814"/>
      <c r="D85" s="1765">
        <v>50000</v>
      </c>
      <c r="E85" s="1765">
        <v>50000</v>
      </c>
      <c r="F85" s="1765">
        <v>50000</v>
      </c>
      <c r="G85" s="1765">
        <v>50000</v>
      </c>
      <c r="H85" s="1765">
        <f t="shared" ref="H85" si="23">SUM(H82:H84)</f>
        <v>50000</v>
      </c>
      <c r="I85" s="1766">
        <f t="shared" si="20"/>
        <v>0</v>
      </c>
      <c r="J85" s="1815">
        <f>'Výdaje kapitol celkem'!AQ34</f>
        <v>50000</v>
      </c>
      <c r="K85" s="1816">
        <f>+J85-H85</f>
        <v>0</v>
      </c>
      <c r="L85" s="1028"/>
    </row>
    <row r="86" spans="1:12" hidden="1" outlineLevel="1" x14ac:dyDescent="0.25">
      <c r="A86" s="1836">
        <v>3412</v>
      </c>
      <c r="B86" s="1812">
        <v>5169</v>
      </c>
      <c r="C86" s="1813" t="s">
        <v>2253</v>
      </c>
      <c r="D86" s="1746">
        <v>0</v>
      </c>
      <c r="E86" s="1746">
        <v>0</v>
      </c>
      <c r="F86" s="1746">
        <v>0</v>
      </c>
      <c r="G86" s="1746">
        <v>0</v>
      </c>
      <c r="H86" s="1746">
        <f>+[4]koupaliště!$B$15</f>
        <v>0</v>
      </c>
      <c r="I86" s="1751">
        <f t="shared" si="20"/>
        <v>0</v>
      </c>
      <c r="J86" s="1802"/>
      <c r="K86" s="1816"/>
      <c r="L86" s="1028"/>
    </row>
    <row r="87" spans="1:12" hidden="1" outlineLevel="1" x14ac:dyDescent="0.25">
      <c r="A87" s="1841">
        <v>3412</v>
      </c>
      <c r="B87" s="1818">
        <v>5169</v>
      </c>
      <c r="C87" s="1813"/>
      <c r="D87" s="1746">
        <v>0</v>
      </c>
      <c r="E87" s="1746">
        <v>0</v>
      </c>
      <c r="F87" s="1746">
        <v>0</v>
      </c>
      <c r="G87" s="1746">
        <v>0</v>
      </c>
      <c r="H87" s="1746">
        <v>0</v>
      </c>
      <c r="I87" s="1751">
        <f t="shared" si="20"/>
        <v>0</v>
      </c>
      <c r="J87" s="1802"/>
      <c r="K87" s="1816"/>
      <c r="L87" s="1028"/>
    </row>
    <row r="88" spans="1:12" hidden="1" outlineLevel="1" x14ac:dyDescent="0.25">
      <c r="A88" s="1843">
        <v>3412</v>
      </c>
      <c r="B88" s="1823">
        <v>5169</v>
      </c>
      <c r="C88" s="1824"/>
      <c r="D88" s="1753"/>
      <c r="E88" s="1753"/>
      <c r="F88" s="1753"/>
      <c r="G88" s="1753"/>
      <c r="H88" s="1753"/>
      <c r="I88" s="1772">
        <f t="shared" si="20"/>
        <v>0</v>
      </c>
      <c r="J88" s="1802"/>
      <c r="K88" s="1816"/>
      <c r="L88" s="1028"/>
    </row>
    <row r="89" spans="1:12" hidden="1" outlineLevel="1" x14ac:dyDescent="0.25">
      <c r="A89" s="1843">
        <v>3412</v>
      </c>
      <c r="B89" s="1818">
        <v>5169</v>
      </c>
      <c r="C89" s="1819"/>
      <c r="D89" s="1752"/>
      <c r="E89" s="1752"/>
      <c r="F89" s="1752"/>
      <c r="G89" s="1752"/>
      <c r="H89" s="1752"/>
      <c r="I89" s="1768">
        <f t="shared" si="20"/>
        <v>0</v>
      </c>
      <c r="J89" s="1802"/>
      <c r="K89" s="1816"/>
      <c r="L89" s="1028"/>
    </row>
    <row r="90" spans="1:12" hidden="1" outlineLevel="1" x14ac:dyDescent="0.25">
      <c r="A90" s="1843">
        <v>3412</v>
      </c>
      <c r="B90" s="1826">
        <v>5169</v>
      </c>
      <c r="C90" s="1824"/>
      <c r="D90" s="1753"/>
      <c r="E90" s="1753"/>
      <c r="F90" s="1753"/>
      <c r="G90" s="1753"/>
      <c r="H90" s="1753"/>
      <c r="I90" s="1772">
        <f t="shared" si="20"/>
        <v>0</v>
      </c>
      <c r="J90" s="1802"/>
      <c r="K90" s="1816"/>
      <c r="L90" s="1028"/>
    </row>
    <row r="91" spans="1:12" ht="13.5" collapsed="1" thickBot="1" x14ac:dyDescent="0.3">
      <c r="A91" s="3178" t="s">
        <v>624</v>
      </c>
      <c r="B91" s="3179"/>
      <c r="C91" s="1814"/>
      <c r="D91" s="1765">
        <v>0</v>
      </c>
      <c r="E91" s="1765">
        <v>0</v>
      </c>
      <c r="F91" s="1765">
        <v>0</v>
      </c>
      <c r="G91" s="1765">
        <v>0</v>
      </c>
      <c r="H91" s="1765">
        <f t="shared" ref="H91" si="24">SUM(H86:H90)</f>
        <v>0</v>
      </c>
      <c r="I91" s="1766">
        <f t="shared" si="20"/>
        <v>0</v>
      </c>
      <c r="J91" s="1815">
        <f>'Výdaje kapitol celkem'!AT34</f>
        <v>0</v>
      </c>
      <c r="K91" s="1816">
        <f>+J91-H91</f>
        <v>0</v>
      </c>
      <c r="L91" s="1028"/>
    </row>
    <row r="92" spans="1:12" ht="24.75" outlineLevel="1" x14ac:dyDescent="0.25">
      <c r="A92" s="1836" t="s">
        <v>1181</v>
      </c>
      <c r="B92" s="1812">
        <v>5169</v>
      </c>
      <c r="C92" s="1813" t="s">
        <v>1778</v>
      </c>
      <c r="D92" s="1746">
        <v>250000</v>
      </c>
      <c r="E92" s="1746">
        <v>250000</v>
      </c>
      <c r="F92" s="1746">
        <v>250000</v>
      </c>
      <c r="G92" s="1746">
        <v>250000</v>
      </c>
      <c r="H92" s="1746">
        <f>+[4]Hřiště!$B$15</f>
        <v>250000</v>
      </c>
      <c r="I92" s="1751">
        <f t="shared" si="20"/>
        <v>0</v>
      </c>
      <c r="J92" s="1802"/>
      <c r="K92" s="1816"/>
      <c r="L92" s="1028"/>
    </row>
    <row r="93" spans="1:12" outlineLevel="1" x14ac:dyDescent="0.25">
      <c r="A93" s="1843" t="s">
        <v>1181</v>
      </c>
      <c r="B93" s="1818">
        <v>5169</v>
      </c>
      <c r="C93" s="1819" t="s">
        <v>2444</v>
      </c>
      <c r="D93" s="1752">
        <v>80000</v>
      </c>
      <c r="E93" s="1752">
        <v>80000</v>
      </c>
      <c r="F93" s="1752">
        <v>80000</v>
      </c>
      <c r="G93" s="1752">
        <v>130000</v>
      </c>
      <c r="H93" s="1752">
        <f>+[4]Hřiště!$B$16</f>
        <v>130000</v>
      </c>
      <c r="I93" s="1768">
        <f t="shared" si="20"/>
        <v>0</v>
      </c>
      <c r="J93" s="1802"/>
      <c r="K93" s="1816"/>
      <c r="L93" s="1028"/>
    </row>
    <row r="94" spans="1:12" outlineLevel="1" x14ac:dyDescent="0.25">
      <c r="A94" s="1843" t="s">
        <v>1181</v>
      </c>
      <c r="B94" s="1826">
        <v>5169</v>
      </c>
      <c r="C94" s="1824"/>
      <c r="D94" s="1753"/>
      <c r="E94" s="1753"/>
      <c r="F94" s="1753"/>
      <c r="G94" s="1753"/>
      <c r="H94" s="1753"/>
      <c r="I94" s="1772">
        <f t="shared" si="20"/>
        <v>0</v>
      </c>
      <c r="J94" s="1802"/>
      <c r="K94" s="1816">
        <f>+J94-H94</f>
        <v>0</v>
      </c>
      <c r="L94" s="1028"/>
    </row>
    <row r="95" spans="1:12" ht="13.5" thickBot="1" x14ac:dyDescent="0.3">
      <c r="A95" s="3178" t="s">
        <v>1185</v>
      </c>
      <c r="B95" s="3179"/>
      <c r="C95" s="1814"/>
      <c r="D95" s="1765">
        <v>330000</v>
      </c>
      <c r="E95" s="1765">
        <v>330000</v>
      </c>
      <c r="F95" s="1765">
        <v>330000</v>
      </c>
      <c r="G95" s="1765">
        <v>380000</v>
      </c>
      <c r="H95" s="1765">
        <f t="shared" ref="H95" si="25">SUM(H92:H94)</f>
        <v>380000</v>
      </c>
      <c r="I95" s="1766">
        <f t="shared" si="20"/>
        <v>0</v>
      </c>
      <c r="J95" s="1815">
        <f>'Výdaje kapitol celkem'!AW34</f>
        <v>380000</v>
      </c>
      <c r="K95" s="1816">
        <f>+J95-H95</f>
        <v>0</v>
      </c>
      <c r="L95" s="1028"/>
    </row>
    <row r="96" spans="1:12" outlineLevel="1" x14ac:dyDescent="0.25">
      <c r="A96" s="1841" t="s">
        <v>1183</v>
      </c>
      <c r="B96" s="1818">
        <v>5169</v>
      </c>
      <c r="C96" s="1813" t="s">
        <v>1774</v>
      </c>
      <c r="D96" s="1746">
        <v>300000</v>
      </c>
      <c r="E96" s="1746">
        <v>300000</v>
      </c>
      <c r="F96" s="1746">
        <v>300000</v>
      </c>
      <c r="G96" s="1746">
        <v>300000</v>
      </c>
      <c r="H96" s="1746">
        <f>+[4]Spolky!$B$15</f>
        <v>300000</v>
      </c>
      <c r="I96" s="1751">
        <f t="shared" si="20"/>
        <v>0</v>
      </c>
      <c r="J96" s="1802"/>
      <c r="K96" s="1816"/>
      <c r="L96" s="1028"/>
    </row>
    <row r="97" spans="1:12" outlineLevel="1" x14ac:dyDescent="0.25">
      <c r="A97" s="1843" t="s">
        <v>1183</v>
      </c>
      <c r="B97" s="1823">
        <v>5169</v>
      </c>
      <c r="C97" s="1824" t="s">
        <v>1775</v>
      </c>
      <c r="D97" s="1753">
        <v>150000</v>
      </c>
      <c r="E97" s="1753">
        <v>150000</v>
      </c>
      <c r="F97" s="1753">
        <v>150000</v>
      </c>
      <c r="G97" s="1753">
        <v>150000</v>
      </c>
      <c r="H97" s="1753">
        <f>+[4]Spolky!$B$16</f>
        <v>150000</v>
      </c>
      <c r="I97" s="1772">
        <f t="shared" si="20"/>
        <v>0</v>
      </c>
      <c r="J97" s="1802"/>
      <c r="K97" s="1816"/>
      <c r="L97" s="1028"/>
    </row>
    <row r="98" spans="1:12" outlineLevel="1" x14ac:dyDescent="0.25">
      <c r="A98" s="1843" t="s">
        <v>1183</v>
      </c>
      <c r="B98" s="1818">
        <v>5169</v>
      </c>
      <c r="C98" s="1819" t="s">
        <v>1776</v>
      </c>
      <c r="D98" s="1752">
        <v>100000</v>
      </c>
      <c r="E98" s="1752">
        <v>100000</v>
      </c>
      <c r="F98" s="1752">
        <v>100000</v>
      </c>
      <c r="G98" s="1752">
        <v>100000</v>
      </c>
      <c r="H98" s="1752">
        <f>+[4]Spolky!$B$17</f>
        <v>100000</v>
      </c>
      <c r="I98" s="1768">
        <f t="shared" si="20"/>
        <v>0</v>
      </c>
      <c r="J98" s="1802"/>
      <c r="K98" s="1816"/>
      <c r="L98" s="1028"/>
    </row>
    <row r="99" spans="1:12" outlineLevel="1" x14ac:dyDescent="0.25">
      <c r="A99" s="1843" t="s">
        <v>1183</v>
      </c>
      <c r="B99" s="1826">
        <v>5169</v>
      </c>
      <c r="C99" s="1824" t="s">
        <v>1777</v>
      </c>
      <c r="D99" s="1753">
        <v>0</v>
      </c>
      <c r="E99" s="1753">
        <v>0</v>
      </c>
      <c r="F99" s="1753">
        <v>0</v>
      </c>
      <c r="G99" s="1753">
        <v>0</v>
      </c>
      <c r="H99" s="1753">
        <v>0</v>
      </c>
      <c r="I99" s="1772">
        <f t="shared" si="20"/>
        <v>0</v>
      </c>
      <c r="J99" s="1802"/>
      <c r="K99" s="1816"/>
      <c r="L99" s="1028"/>
    </row>
    <row r="100" spans="1:12" ht="13.5" thickBot="1" x14ac:dyDescent="0.3">
      <c r="A100" s="3178" t="s">
        <v>1184</v>
      </c>
      <c r="B100" s="3179"/>
      <c r="C100" s="1814"/>
      <c r="D100" s="1765">
        <v>550000</v>
      </c>
      <c r="E100" s="1765">
        <v>550000</v>
      </c>
      <c r="F100" s="1765">
        <v>550000</v>
      </c>
      <c r="G100" s="1765">
        <v>550000</v>
      </c>
      <c r="H100" s="1765">
        <f t="shared" ref="H100" si="26">SUM(H96:H99)</f>
        <v>550000</v>
      </c>
      <c r="I100" s="1766">
        <f t="shared" si="20"/>
        <v>0</v>
      </c>
      <c r="J100" s="1815">
        <f>'Výdaje kapitol celkem'!AZ34</f>
        <v>550000</v>
      </c>
      <c r="K100" s="1816">
        <f>+J100-H100</f>
        <v>0</v>
      </c>
      <c r="L100" s="1028"/>
    </row>
    <row r="101" spans="1:12" hidden="1" outlineLevel="1" x14ac:dyDescent="0.25">
      <c r="A101" s="1844">
        <v>3113</v>
      </c>
      <c r="B101" s="1826">
        <v>5169</v>
      </c>
      <c r="C101" s="1824"/>
      <c r="D101" s="1753">
        <v>0</v>
      </c>
      <c r="E101" s="1753">
        <v>0</v>
      </c>
      <c r="F101" s="1753">
        <v>0</v>
      </c>
      <c r="G101" s="1753">
        <v>0</v>
      </c>
      <c r="H101" s="1753">
        <v>0</v>
      </c>
      <c r="I101" s="1772">
        <f t="shared" si="20"/>
        <v>0</v>
      </c>
      <c r="J101" s="1802"/>
      <c r="K101" s="1816"/>
      <c r="L101" s="1028"/>
    </row>
    <row r="102" spans="1:12" hidden="1" outlineLevel="1" x14ac:dyDescent="0.25">
      <c r="A102" s="1843">
        <v>3113</v>
      </c>
      <c r="B102" s="1823">
        <v>5169</v>
      </c>
      <c r="C102" s="1819"/>
      <c r="D102" s="1752"/>
      <c r="E102" s="1752"/>
      <c r="F102" s="1752"/>
      <c r="G102" s="1752"/>
      <c r="H102" s="1752"/>
      <c r="I102" s="1768">
        <f t="shared" si="20"/>
        <v>0</v>
      </c>
      <c r="J102" s="1802"/>
      <c r="K102" s="1816"/>
      <c r="L102" s="1028"/>
    </row>
    <row r="103" spans="1:12" hidden="1" outlineLevel="1" x14ac:dyDescent="0.25">
      <c r="A103" s="1843">
        <v>3113</v>
      </c>
      <c r="B103" s="1823">
        <v>5169</v>
      </c>
      <c r="C103" s="1819"/>
      <c r="D103" s="1752"/>
      <c r="E103" s="1752"/>
      <c r="F103" s="1752"/>
      <c r="G103" s="1752"/>
      <c r="H103" s="1752"/>
      <c r="I103" s="1768">
        <f t="shared" si="20"/>
        <v>0</v>
      </c>
      <c r="J103" s="1802"/>
      <c r="K103" s="1816"/>
      <c r="L103" s="1028"/>
    </row>
    <row r="104" spans="1:12" hidden="1" outlineLevel="1" x14ac:dyDescent="0.25">
      <c r="A104" s="1843">
        <v>3113</v>
      </c>
      <c r="B104" s="1823">
        <v>5169</v>
      </c>
      <c r="C104" s="1824"/>
      <c r="D104" s="1753"/>
      <c r="E104" s="1753"/>
      <c r="F104" s="1753"/>
      <c r="G104" s="1753"/>
      <c r="H104" s="1753"/>
      <c r="I104" s="1751">
        <f t="shared" si="20"/>
        <v>0</v>
      </c>
      <c r="J104" s="1802"/>
      <c r="K104" s="1816"/>
      <c r="L104" s="1028"/>
    </row>
    <row r="105" spans="1:12" ht="13.5" collapsed="1" thickBot="1" x14ac:dyDescent="0.3">
      <c r="A105" s="3178" t="s">
        <v>204</v>
      </c>
      <c r="B105" s="3179"/>
      <c r="C105" s="1814"/>
      <c r="D105" s="1765">
        <v>0</v>
      </c>
      <c r="E105" s="1765">
        <v>0</v>
      </c>
      <c r="F105" s="1765">
        <v>0</v>
      </c>
      <c r="G105" s="1765">
        <v>0</v>
      </c>
      <c r="H105" s="1765">
        <f t="shared" ref="H105" si="27">SUM(H101:H104)</f>
        <v>0</v>
      </c>
      <c r="I105" s="1766">
        <f t="shared" si="20"/>
        <v>0</v>
      </c>
      <c r="J105" s="1815">
        <f>'Výdaje kapitol celkem'!BC34</f>
        <v>0</v>
      </c>
      <c r="K105" s="1816">
        <f>+J105-H105</f>
        <v>0</v>
      </c>
      <c r="L105" s="1028"/>
    </row>
    <row r="106" spans="1:12" outlineLevel="1" x14ac:dyDescent="0.25">
      <c r="A106" s="1844">
        <v>3114</v>
      </c>
      <c r="B106" s="1826">
        <v>5169</v>
      </c>
      <c r="C106" s="1824" t="s">
        <v>1768</v>
      </c>
      <c r="D106" s="1753">
        <v>30000</v>
      </c>
      <c r="E106" s="1753">
        <v>30000</v>
      </c>
      <c r="F106" s="1753">
        <v>30000</v>
      </c>
      <c r="G106" s="1753">
        <v>30000</v>
      </c>
      <c r="H106" s="1753">
        <f>+[4]MDDM!$B$5</f>
        <v>30000</v>
      </c>
      <c r="I106" s="1751">
        <f t="shared" si="20"/>
        <v>0</v>
      </c>
      <c r="J106" s="1802"/>
      <c r="K106" s="1816"/>
      <c r="L106" s="1028"/>
    </row>
    <row r="107" spans="1:12" outlineLevel="1" x14ac:dyDescent="0.25">
      <c r="A107" s="1843">
        <v>3114</v>
      </c>
      <c r="B107" s="1823">
        <v>5169</v>
      </c>
      <c r="C107" s="1821"/>
      <c r="D107" s="1769"/>
      <c r="E107" s="1769"/>
      <c r="F107" s="1769"/>
      <c r="G107" s="1769"/>
      <c r="H107" s="1769"/>
      <c r="I107" s="1751">
        <f t="shared" si="20"/>
        <v>0</v>
      </c>
      <c r="J107" s="1802"/>
      <c r="K107" s="1816"/>
      <c r="L107" s="1028"/>
    </row>
    <row r="108" spans="1:12" ht="13.5" thickBot="1" x14ac:dyDescent="0.3">
      <c r="A108" s="3178" t="s">
        <v>205</v>
      </c>
      <c r="B108" s="3179"/>
      <c r="C108" s="1814"/>
      <c r="D108" s="1765">
        <v>30000</v>
      </c>
      <c r="E108" s="1765">
        <v>30000</v>
      </c>
      <c r="F108" s="1765">
        <v>30000</v>
      </c>
      <c r="G108" s="1765">
        <v>30000</v>
      </c>
      <c r="H108" s="1765">
        <f t="shared" ref="H108" si="28">SUM(H106:H107)</f>
        <v>30000</v>
      </c>
      <c r="I108" s="1766">
        <f t="shared" si="20"/>
        <v>0</v>
      </c>
      <c r="J108" s="1815">
        <f>'Výdaje kapitol celkem'!BL34</f>
        <v>30000</v>
      </c>
      <c r="K108" s="1816">
        <f>+J108-H108</f>
        <v>0</v>
      </c>
      <c r="L108" s="1028"/>
    </row>
    <row r="109" spans="1:12" outlineLevel="1" x14ac:dyDescent="0.25">
      <c r="A109" s="1844" t="s">
        <v>191</v>
      </c>
      <c r="B109" s="1826">
        <v>5169</v>
      </c>
      <c r="C109" s="1824" t="s">
        <v>1765</v>
      </c>
      <c r="D109" s="1753">
        <v>100000</v>
      </c>
      <c r="E109" s="1753">
        <v>100000</v>
      </c>
      <c r="F109" s="1753">
        <v>100000</v>
      </c>
      <c r="G109" s="1753">
        <v>100000</v>
      </c>
      <c r="H109" s="1753">
        <f>+'[4]MŠ Kollárova'!$B$5</f>
        <v>100000</v>
      </c>
      <c r="I109" s="1751">
        <f t="shared" si="20"/>
        <v>0</v>
      </c>
      <c r="J109" s="1802"/>
      <c r="K109" s="1816"/>
      <c r="L109" s="1028"/>
    </row>
    <row r="110" spans="1:12" outlineLevel="1" x14ac:dyDescent="0.25">
      <c r="A110" s="1843" t="s">
        <v>191</v>
      </c>
      <c r="B110" s="1823">
        <v>5169</v>
      </c>
      <c r="C110" s="1821" t="s">
        <v>2256</v>
      </c>
      <c r="D110" s="1769">
        <v>300000</v>
      </c>
      <c r="E110" s="1769">
        <v>300000</v>
      </c>
      <c r="F110" s="1769">
        <v>300000</v>
      </c>
      <c r="G110" s="1769">
        <v>300000</v>
      </c>
      <c r="H110" s="1769">
        <f>+'[4]MŠ Kollárova'!$B$6</f>
        <v>300000</v>
      </c>
      <c r="I110" s="1768">
        <f t="shared" si="20"/>
        <v>0</v>
      </c>
      <c r="J110" s="1802"/>
      <c r="K110" s="1816"/>
      <c r="L110" s="1028"/>
    </row>
    <row r="111" spans="1:12" ht="13.5" thickBot="1" x14ac:dyDescent="0.3">
      <c r="A111" s="3178" t="s">
        <v>206</v>
      </c>
      <c r="B111" s="3179"/>
      <c r="C111" s="1814"/>
      <c r="D111" s="1765">
        <v>400000</v>
      </c>
      <c r="E111" s="1765">
        <v>400000</v>
      </c>
      <c r="F111" s="1765">
        <v>400000</v>
      </c>
      <c r="G111" s="1765">
        <v>400000</v>
      </c>
      <c r="H111" s="1765">
        <f t="shared" ref="H111" si="29">SUM(H109:H110)</f>
        <v>400000</v>
      </c>
      <c r="I111" s="1766">
        <f t="shared" si="20"/>
        <v>0</v>
      </c>
      <c r="J111" s="1815">
        <f>'Výdaje kapitol celkem'!BR34</f>
        <v>400000</v>
      </c>
      <c r="K111" s="1816">
        <f>+J111-H111</f>
        <v>0</v>
      </c>
      <c r="L111" s="1028"/>
    </row>
    <row r="112" spans="1:12" outlineLevel="1" x14ac:dyDescent="0.25">
      <c r="A112" s="1844" t="s">
        <v>192</v>
      </c>
      <c r="B112" s="1826">
        <v>5169</v>
      </c>
      <c r="C112" s="1824" t="s">
        <v>1763</v>
      </c>
      <c r="D112" s="1753">
        <v>50000</v>
      </c>
      <c r="E112" s="1753">
        <v>50000</v>
      </c>
      <c r="F112" s="1753">
        <v>50000</v>
      </c>
      <c r="G112" s="1753">
        <v>50000</v>
      </c>
      <c r="H112" s="1753">
        <f>+'[4]MŠ Pražská'!$B$5</f>
        <v>50000</v>
      </c>
      <c r="I112" s="1751">
        <f t="shared" si="20"/>
        <v>0</v>
      </c>
      <c r="J112" s="1802"/>
      <c r="K112" s="1816"/>
      <c r="L112" s="1028"/>
    </row>
    <row r="113" spans="1:12" outlineLevel="1" x14ac:dyDescent="0.25">
      <c r="A113" s="1843" t="s">
        <v>192</v>
      </c>
      <c r="B113" s="1823">
        <v>5169</v>
      </c>
      <c r="C113" s="1821" t="s">
        <v>2256</v>
      </c>
      <c r="D113" s="1769">
        <v>50000</v>
      </c>
      <c r="E113" s="1769">
        <v>50000</v>
      </c>
      <c r="F113" s="1769">
        <v>50000</v>
      </c>
      <c r="G113" s="1769">
        <v>50000</v>
      </c>
      <c r="H113" s="1769">
        <f>+'[4]MŠ Pražská'!$B$6</f>
        <v>50000</v>
      </c>
      <c r="I113" s="1768">
        <f t="shared" si="20"/>
        <v>0</v>
      </c>
      <c r="J113" s="1802"/>
      <c r="K113" s="1816"/>
      <c r="L113" s="1028"/>
    </row>
    <row r="114" spans="1:12" ht="13.5" thickBot="1" x14ac:dyDescent="0.3">
      <c r="A114" s="3178" t="s">
        <v>1571</v>
      </c>
      <c r="B114" s="3179"/>
      <c r="C114" s="1814"/>
      <c r="D114" s="1765">
        <v>100000</v>
      </c>
      <c r="E114" s="1765">
        <v>100000</v>
      </c>
      <c r="F114" s="1765">
        <v>100000</v>
      </c>
      <c r="G114" s="1765">
        <v>100000</v>
      </c>
      <c r="H114" s="1765">
        <f t="shared" ref="H114" si="30">SUM(H112:H113)</f>
        <v>100000</v>
      </c>
      <c r="I114" s="1766">
        <f t="shared" si="20"/>
        <v>0</v>
      </c>
      <c r="J114" s="1815">
        <f>'Výdaje kapitol celkem'!BO34</f>
        <v>100000</v>
      </c>
      <c r="K114" s="1816">
        <f>+J114-H114</f>
        <v>0</v>
      </c>
      <c r="L114" s="1028"/>
    </row>
    <row r="115" spans="1:12" outlineLevel="1" x14ac:dyDescent="0.25">
      <c r="A115" s="1844" t="s">
        <v>217</v>
      </c>
      <c r="B115" s="1826">
        <v>5169</v>
      </c>
      <c r="C115" s="1824" t="s">
        <v>1756</v>
      </c>
      <c r="D115" s="1744">
        <v>40000</v>
      </c>
      <c r="E115" s="1744">
        <v>40000</v>
      </c>
      <c r="F115" s="1744">
        <v>40000</v>
      </c>
      <c r="G115" s="1744">
        <v>40000</v>
      </c>
      <c r="H115" s="1744">
        <f>+'[4]MŠ Cukrovar'!$B$5</f>
        <v>40000</v>
      </c>
      <c r="I115" s="1751">
        <f t="shared" si="20"/>
        <v>0</v>
      </c>
      <c r="J115" s="1802"/>
      <c r="K115" s="1816"/>
      <c r="L115" s="1028"/>
    </row>
    <row r="116" spans="1:12" outlineLevel="1" x14ac:dyDescent="0.25">
      <c r="A116" s="1843" t="s">
        <v>217</v>
      </c>
      <c r="B116" s="1823">
        <v>5169</v>
      </c>
      <c r="C116" s="1821" t="s">
        <v>1757</v>
      </c>
      <c r="D116" s="1752">
        <v>4000</v>
      </c>
      <c r="E116" s="1752">
        <v>4000</v>
      </c>
      <c r="F116" s="1752">
        <v>4000</v>
      </c>
      <c r="G116" s="1752">
        <v>4000</v>
      </c>
      <c r="H116" s="1752">
        <f>+'[4]MŠ Cukrovar'!$B$6</f>
        <v>4000</v>
      </c>
      <c r="I116" s="1768">
        <f t="shared" si="20"/>
        <v>0</v>
      </c>
      <c r="J116" s="1802"/>
      <c r="K116" s="1816"/>
      <c r="L116" s="1028"/>
    </row>
    <row r="117" spans="1:12" outlineLevel="1" x14ac:dyDescent="0.25">
      <c r="A117" s="1843" t="s">
        <v>217</v>
      </c>
      <c r="B117" s="1823">
        <v>5169</v>
      </c>
      <c r="C117" s="1821" t="s">
        <v>1758</v>
      </c>
      <c r="D117" s="1753">
        <v>36000</v>
      </c>
      <c r="E117" s="1753">
        <v>36000</v>
      </c>
      <c r="F117" s="1753">
        <v>36000</v>
      </c>
      <c r="G117" s="1753">
        <v>36000</v>
      </c>
      <c r="H117" s="1753">
        <f>+'[4]MŠ Cukrovar'!$B$7</f>
        <v>36000</v>
      </c>
      <c r="I117" s="1768">
        <f t="shared" si="20"/>
        <v>0</v>
      </c>
      <c r="J117" s="1802"/>
      <c r="K117" s="1816"/>
      <c r="L117" s="1028"/>
    </row>
    <row r="118" spans="1:12" ht="13.5" thickBot="1" x14ac:dyDescent="0.3">
      <c r="A118" s="3178" t="s">
        <v>248</v>
      </c>
      <c r="B118" s="3179"/>
      <c r="C118" s="1814"/>
      <c r="D118" s="1765">
        <v>80000</v>
      </c>
      <c r="E118" s="1765">
        <v>80000</v>
      </c>
      <c r="F118" s="1765">
        <v>80000</v>
      </c>
      <c r="G118" s="1765">
        <v>80000</v>
      </c>
      <c r="H118" s="1765">
        <f t="shared" ref="H118" si="31">SUM(H115:H117)</f>
        <v>80000</v>
      </c>
      <c r="I118" s="1766">
        <f t="shared" si="20"/>
        <v>0</v>
      </c>
      <c r="J118" s="1815">
        <f>'Výdaje kapitol celkem'!BY34</f>
        <v>80000</v>
      </c>
      <c r="K118" s="1816">
        <f>+J118-H118</f>
        <v>0</v>
      </c>
      <c r="L118" s="1028"/>
    </row>
    <row r="119" spans="1:12" outlineLevel="1" x14ac:dyDescent="0.25">
      <c r="A119" s="1844">
        <v>3635</v>
      </c>
      <c r="B119" s="1826">
        <v>5169</v>
      </c>
      <c r="C119" s="1824" t="s">
        <v>1810</v>
      </c>
      <c r="D119" s="1753">
        <v>100000</v>
      </c>
      <c r="E119" s="1753">
        <v>100000</v>
      </c>
      <c r="F119" s="1753">
        <v>100000</v>
      </c>
      <c r="G119" s="1753">
        <v>100000</v>
      </c>
      <c r="H119" s="1753">
        <f>+'[6]Územní plán 3635'!$B$22</f>
        <v>100000</v>
      </c>
      <c r="I119" s="1747">
        <f t="shared" si="20"/>
        <v>0</v>
      </c>
      <c r="J119" s="1802"/>
      <c r="K119" s="1816"/>
      <c r="L119" s="1028"/>
    </row>
    <row r="120" spans="1:12" outlineLevel="1" x14ac:dyDescent="0.25">
      <c r="A120" s="1843">
        <v>3635</v>
      </c>
      <c r="B120" s="1823">
        <v>5169</v>
      </c>
      <c r="C120" s="1821"/>
      <c r="D120" s="1769">
        <v>0</v>
      </c>
      <c r="E120" s="1769">
        <v>0</v>
      </c>
      <c r="F120" s="1769">
        <v>0</v>
      </c>
      <c r="G120" s="1769">
        <v>0</v>
      </c>
      <c r="H120" s="1769">
        <f>+'[6]Územní plán 3635'!$B$23</f>
        <v>0</v>
      </c>
      <c r="I120" s="1767">
        <f t="shared" si="20"/>
        <v>0</v>
      </c>
      <c r="J120" s="1802"/>
      <c r="K120" s="1816"/>
      <c r="L120" s="1028"/>
    </row>
    <row r="121" spans="1:12" ht="13.5" thickBot="1" x14ac:dyDescent="0.3">
      <c r="A121" s="3178" t="s">
        <v>1189</v>
      </c>
      <c r="B121" s="3179"/>
      <c r="C121" s="1814"/>
      <c r="D121" s="1765">
        <v>100000</v>
      </c>
      <c r="E121" s="1765">
        <v>100000</v>
      </c>
      <c r="F121" s="1765">
        <v>100000</v>
      </c>
      <c r="G121" s="1765">
        <v>100000</v>
      </c>
      <c r="H121" s="1765">
        <f t="shared" ref="H121" si="32">SUM(H119:H120)</f>
        <v>100000</v>
      </c>
      <c r="I121" s="1766">
        <f t="shared" si="20"/>
        <v>0</v>
      </c>
      <c r="J121" s="1815">
        <f>'Výdaje kapitol celkem'!CB34</f>
        <v>100000</v>
      </c>
      <c r="K121" s="1816">
        <f>+J121-H121</f>
        <v>0</v>
      </c>
      <c r="L121" s="1028"/>
    </row>
    <row r="122" spans="1:12" hidden="1" outlineLevel="1" x14ac:dyDescent="0.25">
      <c r="A122" s="1844" t="s">
        <v>193</v>
      </c>
      <c r="B122" s="1826">
        <v>5169</v>
      </c>
      <c r="C122" s="1824"/>
      <c r="D122" s="1753">
        <v>0</v>
      </c>
      <c r="E122" s="1753">
        <v>0</v>
      </c>
      <c r="F122" s="1753">
        <v>0</v>
      </c>
      <c r="G122" s="1753">
        <v>0</v>
      </c>
      <c r="H122" s="1753">
        <f>+'[4]Jídelna ZŠ'!$B$5</f>
        <v>0</v>
      </c>
      <c r="I122" s="1747">
        <f t="shared" si="20"/>
        <v>0</v>
      </c>
      <c r="J122" s="1802"/>
      <c r="K122" s="1816"/>
      <c r="L122" s="1028"/>
    </row>
    <row r="123" spans="1:12" hidden="1" outlineLevel="1" x14ac:dyDescent="0.25">
      <c r="A123" s="1843" t="s">
        <v>193</v>
      </c>
      <c r="B123" s="1823">
        <v>5169</v>
      </c>
      <c r="C123" s="1821"/>
      <c r="D123" s="1769">
        <v>0</v>
      </c>
      <c r="E123" s="1769">
        <v>0</v>
      </c>
      <c r="F123" s="1769">
        <v>0</v>
      </c>
      <c r="G123" s="1769">
        <v>0</v>
      </c>
      <c r="H123" s="1769">
        <f>+'[4]Jídelna ZŠ'!$B$6</f>
        <v>0</v>
      </c>
      <c r="I123" s="1767">
        <f t="shared" si="20"/>
        <v>0</v>
      </c>
      <c r="J123" s="1802"/>
      <c r="K123" s="1816"/>
      <c r="L123" s="1028"/>
    </row>
    <row r="124" spans="1:12" ht="13.5" collapsed="1" thickBot="1" x14ac:dyDescent="0.3">
      <c r="A124" s="3178" t="s">
        <v>208</v>
      </c>
      <c r="B124" s="3179"/>
      <c r="C124" s="1814"/>
      <c r="D124" s="1765">
        <v>0</v>
      </c>
      <c r="E124" s="1765">
        <v>0</v>
      </c>
      <c r="F124" s="1765">
        <v>0</v>
      </c>
      <c r="G124" s="1765">
        <v>0</v>
      </c>
      <c r="H124" s="1765">
        <f t="shared" ref="H124" si="33">SUM(H122:H123)</f>
        <v>0</v>
      </c>
      <c r="I124" s="1766">
        <f t="shared" si="20"/>
        <v>0</v>
      </c>
      <c r="J124" s="1815">
        <f>'Výdaje kapitol celkem'!BU34</f>
        <v>0</v>
      </c>
      <c r="K124" s="1816">
        <f>+J124-H124</f>
        <v>0</v>
      </c>
      <c r="L124" s="1028"/>
    </row>
    <row r="125" spans="1:12" outlineLevel="1" x14ac:dyDescent="0.25">
      <c r="A125" s="1844" t="s">
        <v>194</v>
      </c>
      <c r="B125" s="1826">
        <v>5169</v>
      </c>
      <c r="C125" s="1824" t="s">
        <v>1763</v>
      </c>
      <c r="D125" s="1753">
        <v>20000</v>
      </c>
      <c r="E125" s="1753">
        <v>20000</v>
      </c>
      <c r="F125" s="1753">
        <v>20000</v>
      </c>
      <c r="G125" s="1753">
        <v>20000</v>
      </c>
      <c r="H125" s="1753">
        <f>+'[4]Jídelna MŠ'!$B$5</f>
        <v>20000</v>
      </c>
      <c r="I125" s="1747">
        <f t="shared" si="20"/>
        <v>0</v>
      </c>
      <c r="J125" s="1802"/>
      <c r="K125" s="1816"/>
      <c r="L125" s="1028"/>
    </row>
    <row r="126" spans="1:12" outlineLevel="1" x14ac:dyDescent="0.25">
      <c r="A126" s="1843" t="s">
        <v>194</v>
      </c>
      <c r="B126" s="1823">
        <v>5169</v>
      </c>
      <c r="C126" s="1821"/>
      <c r="D126" s="1769">
        <v>0</v>
      </c>
      <c r="E126" s="1769">
        <v>0</v>
      </c>
      <c r="F126" s="1769">
        <v>0</v>
      </c>
      <c r="G126" s="1769">
        <v>0</v>
      </c>
      <c r="H126" s="1769">
        <f>+'[4]Jídelna MŠ'!$B$6</f>
        <v>0</v>
      </c>
      <c r="I126" s="1768">
        <f t="shared" si="20"/>
        <v>0</v>
      </c>
      <c r="J126" s="1802"/>
      <c r="K126" s="1816"/>
      <c r="L126" s="1028"/>
    </row>
    <row r="127" spans="1:12" ht="13.5" thickBot="1" x14ac:dyDescent="0.3">
      <c r="A127" s="3178" t="s">
        <v>209</v>
      </c>
      <c r="B127" s="3179"/>
      <c r="C127" s="1814"/>
      <c r="D127" s="1765">
        <v>20000</v>
      </c>
      <c r="E127" s="1765">
        <v>20000</v>
      </c>
      <c r="F127" s="1765">
        <v>20000</v>
      </c>
      <c r="G127" s="1765">
        <v>20000</v>
      </c>
      <c r="H127" s="1765">
        <f t="shared" ref="H127" si="34">SUM(H125:H126)</f>
        <v>20000</v>
      </c>
      <c r="I127" s="1766">
        <f t="shared" si="20"/>
        <v>0</v>
      </c>
      <c r="J127" s="1815">
        <f>'Výdaje kapitol celkem'!BX34</f>
        <v>20000</v>
      </c>
      <c r="K127" s="1816">
        <f>+J127-H127</f>
        <v>0</v>
      </c>
      <c r="L127" s="1028"/>
    </row>
    <row r="128" spans="1:12" outlineLevel="1" x14ac:dyDescent="0.25">
      <c r="A128" s="1835">
        <v>3631</v>
      </c>
      <c r="B128" s="1809">
        <v>5169</v>
      </c>
      <c r="C128" s="1810" t="s">
        <v>1750</v>
      </c>
      <c r="D128" s="1744">
        <v>100000</v>
      </c>
      <c r="E128" s="1744">
        <v>100000</v>
      </c>
      <c r="F128" s="1744">
        <v>100000</v>
      </c>
      <c r="G128" s="1744">
        <v>100000</v>
      </c>
      <c r="H128" s="1744">
        <f>+[4]VO!$B$21</f>
        <v>100000</v>
      </c>
      <c r="I128" s="1745">
        <f t="shared" si="20"/>
        <v>0</v>
      </c>
      <c r="J128" s="1815"/>
      <c r="K128" s="1816"/>
      <c r="L128" s="1028"/>
    </row>
    <row r="129" spans="1:12" outlineLevel="1" x14ac:dyDescent="0.25">
      <c r="A129" s="1836">
        <v>3631</v>
      </c>
      <c r="B129" s="1812">
        <v>5169</v>
      </c>
      <c r="C129" s="1813" t="s">
        <v>1751</v>
      </c>
      <c r="D129" s="1746">
        <v>80000</v>
      </c>
      <c r="E129" s="1746">
        <v>80000</v>
      </c>
      <c r="F129" s="1746">
        <v>80000</v>
      </c>
      <c r="G129" s="1746">
        <v>80000</v>
      </c>
      <c r="H129" s="1746">
        <f>+[4]VO!$B$22</f>
        <v>80000</v>
      </c>
      <c r="I129" s="1747">
        <f t="shared" si="20"/>
        <v>0</v>
      </c>
      <c r="J129" s="1815"/>
      <c r="K129" s="1816"/>
      <c r="L129" s="1028"/>
    </row>
    <row r="130" spans="1:12" outlineLevel="1" x14ac:dyDescent="0.25">
      <c r="A130" s="1841">
        <v>3631</v>
      </c>
      <c r="B130" s="1818">
        <v>5169</v>
      </c>
      <c r="C130" s="1819" t="s">
        <v>1752</v>
      </c>
      <c r="D130" s="1752">
        <v>70000</v>
      </c>
      <c r="E130" s="1752">
        <v>70000</v>
      </c>
      <c r="F130" s="1752">
        <v>70000</v>
      </c>
      <c r="G130" s="1752">
        <v>70000</v>
      </c>
      <c r="H130" s="1752">
        <f>+[4]VO!$B$23</f>
        <v>70000</v>
      </c>
      <c r="I130" s="1767">
        <f t="shared" si="20"/>
        <v>0</v>
      </c>
      <c r="J130" s="1815"/>
      <c r="K130" s="1816"/>
      <c r="L130" s="1028"/>
    </row>
    <row r="131" spans="1:12" outlineLevel="1" x14ac:dyDescent="0.25">
      <c r="A131" s="1836">
        <v>3631</v>
      </c>
      <c r="B131" s="1818">
        <v>5169</v>
      </c>
      <c r="C131" s="1824" t="s">
        <v>1753</v>
      </c>
      <c r="D131" s="1753">
        <v>12100</v>
      </c>
      <c r="E131" s="1753">
        <v>12100</v>
      </c>
      <c r="F131" s="1753">
        <v>12100</v>
      </c>
      <c r="G131" s="1753">
        <v>12100</v>
      </c>
      <c r="H131" s="1753">
        <f>+[4]VO!$B$24</f>
        <v>12100</v>
      </c>
      <c r="I131" s="1767">
        <f t="shared" si="20"/>
        <v>0</v>
      </c>
      <c r="J131" s="1815"/>
      <c r="K131" s="1816"/>
      <c r="L131" s="1028"/>
    </row>
    <row r="132" spans="1:12" outlineLevel="1" x14ac:dyDescent="0.25">
      <c r="A132" s="1844">
        <v>3631</v>
      </c>
      <c r="B132" s="1823">
        <v>5169</v>
      </c>
      <c r="C132" s="1821"/>
      <c r="D132" s="1769"/>
      <c r="E132" s="1769"/>
      <c r="F132" s="1769"/>
      <c r="G132" s="1769"/>
      <c r="H132" s="1769"/>
      <c r="I132" s="1767">
        <f t="shared" si="20"/>
        <v>0</v>
      </c>
      <c r="J132" s="1815"/>
      <c r="K132" s="1816"/>
      <c r="L132" s="1028"/>
    </row>
    <row r="133" spans="1:12" ht="13.5" thickBot="1" x14ac:dyDescent="0.3">
      <c r="A133" s="3178" t="s">
        <v>629</v>
      </c>
      <c r="B133" s="3179"/>
      <c r="C133" s="1814"/>
      <c r="D133" s="1765">
        <v>262100</v>
      </c>
      <c r="E133" s="1765">
        <v>262100</v>
      </c>
      <c r="F133" s="1765">
        <v>262100</v>
      </c>
      <c r="G133" s="1765">
        <v>262100</v>
      </c>
      <c r="H133" s="1765">
        <f t="shared" ref="H133" si="35">SUM(H128:H132)</f>
        <v>262100</v>
      </c>
      <c r="I133" s="1766">
        <f t="shared" si="20"/>
        <v>0</v>
      </c>
      <c r="J133" s="1815">
        <f>'Výdaje kapitol celkem'!CC34</f>
        <v>262100</v>
      </c>
      <c r="K133" s="1816">
        <f>+J133-H133</f>
        <v>0</v>
      </c>
      <c r="L133" s="1028"/>
    </row>
    <row r="134" spans="1:12" outlineLevel="1" x14ac:dyDescent="0.25">
      <c r="A134" s="1835">
        <v>2212</v>
      </c>
      <c r="B134" s="1809">
        <v>5169</v>
      </c>
      <c r="C134" s="1810" t="s">
        <v>1728</v>
      </c>
      <c r="D134" s="1744"/>
      <c r="E134" s="1744"/>
      <c r="F134" s="1744"/>
      <c r="G134" s="1744"/>
      <c r="H134" s="1744"/>
      <c r="I134" s="1745">
        <f t="shared" si="20"/>
        <v>0</v>
      </c>
      <c r="J134" s="1802"/>
      <c r="K134" s="1816"/>
      <c r="L134" s="1028"/>
    </row>
    <row r="135" spans="1:12" outlineLevel="1" x14ac:dyDescent="0.25">
      <c r="A135" s="1841">
        <v>2212</v>
      </c>
      <c r="B135" s="1818">
        <v>5169</v>
      </c>
      <c r="C135" s="1819" t="s">
        <v>2267</v>
      </c>
      <c r="D135" s="1752">
        <v>100000</v>
      </c>
      <c r="E135" s="1752">
        <v>100000</v>
      </c>
      <c r="F135" s="1752">
        <v>100000</v>
      </c>
      <c r="G135" s="1752">
        <v>100000</v>
      </c>
      <c r="H135" s="1752">
        <f>+[4]Silnice!$B$31</f>
        <v>100000</v>
      </c>
      <c r="I135" s="1767">
        <f t="shared" si="20"/>
        <v>0</v>
      </c>
      <c r="J135" s="1802"/>
      <c r="K135" s="1816"/>
      <c r="L135" s="1028"/>
    </row>
    <row r="136" spans="1:12" outlineLevel="1" x14ac:dyDescent="0.25">
      <c r="A136" s="1841">
        <v>2212</v>
      </c>
      <c r="B136" s="1818">
        <v>5169</v>
      </c>
      <c r="C136" s="1819" t="s">
        <v>1725</v>
      </c>
      <c r="D136" s="1752">
        <v>240000</v>
      </c>
      <c r="E136" s="1752">
        <v>240000</v>
      </c>
      <c r="F136" s="1752">
        <v>240000</v>
      </c>
      <c r="G136" s="1752">
        <v>240000</v>
      </c>
      <c r="H136" s="1752">
        <f>+'[5]Silnice světelná křižovatka'!$B$4</f>
        <v>240000</v>
      </c>
      <c r="I136" s="1767">
        <f t="shared" si="20"/>
        <v>0</v>
      </c>
      <c r="J136" s="1802"/>
      <c r="K136" s="1816"/>
      <c r="L136" s="1028"/>
    </row>
    <row r="137" spans="1:12" outlineLevel="1" x14ac:dyDescent="0.25">
      <c r="A137" s="1841">
        <v>2212</v>
      </c>
      <c r="B137" s="1818">
        <v>5169</v>
      </c>
      <c r="C137" s="1819" t="s">
        <v>1726</v>
      </c>
      <c r="D137" s="1752">
        <v>50000</v>
      </c>
      <c r="E137" s="1752">
        <v>50000</v>
      </c>
      <c r="F137" s="1752">
        <v>50000</v>
      </c>
      <c r="G137" s="1752">
        <v>50000</v>
      </c>
      <c r="H137" s="1752">
        <f>+'[5]Silnice světelná křižovatka'!$B$5</f>
        <v>50000</v>
      </c>
      <c r="I137" s="1767">
        <f t="shared" si="20"/>
        <v>0</v>
      </c>
      <c r="J137" s="1802"/>
      <c r="K137" s="1816"/>
      <c r="L137" s="1028"/>
    </row>
    <row r="138" spans="1:12" ht="24.75" outlineLevel="1" x14ac:dyDescent="0.25">
      <c r="A138" s="1844">
        <v>2212</v>
      </c>
      <c r="B138" s="1826">
        <v>5169</v>
      </c>
      <c r="C138" s="1824" t="s">
        <v>2268</v>
      </c>
      <c r="D138" s="1753">
        <v>100000</v>
      </c>
      <c r="E138" s="1753">
        <v>100000</v>
      </c>
      <c r="F138" s="1753">
        <v>100000</v>
      </c>
      <c r="G138" s="1753">
        <v>100000</v>
      </c>
      <c r="H138" s="1753">
        <f>+[4]Silnice!$B$33</f>
        <v>100000</v>
      </c>
      <c r="I138" s="1747">
        <f t="shared" ref="I138:I201" si="36">+H138-G138</f>
        <v>0</v>
      </c>
      <c r="J138" s="1802"/>
      <c r="K138" s="1816"/>
      <c r="L138" s="1028"/>
    </row>
    <row r="139" spans="1:12" ht="13.5" thickBot="1" x14ac:dyDescent="0.3">
      <c r="A139" s="3178" t="s">
        <v>253</v>
      </c>
      <c r="B139" s="3179"/>
      <c r="C139" s="1814"/>
      <c r="D139" s="1765">
        <v>490000</v>
      </c>
      <c r="E139" s="1765">
        <v>490000</v>
      </c>
      <c r="F139" s="1765">
        <v>490000</v>
      </c>
      <c r="G139" s="1765">
        <v>490000</v>
      </c>
      <c r="H139" s="1765">
        <f>SUM(H134:H138)</f>
        <v>490000</v>
      </c>
      <c r="I139" s="1766">
        <f t="shared" si="36"/>
        <v>0</v>
      </c>
      <c r="J139" s="1815">
        <f>'Výdaje kapitol celkem'!CF34</f>
        <v>490000</v>
      </c>
      <c r="K139" s="1816">
        <f>+J139-H139</f>
        <v>0</v>
      </c>
      <c r="L139" s="1028"/>
    </row>
    <row r="140" spans="1:12" outlineLevel="1" x14ac:dyDescent="0.25">
      <c r="A140" s="1835">
        <v>2310</v>
      </c>
      <c r="B140" s="1809">
        <v>5169</v>
      </c>
      <c r="C140" s="1810" t="s">
        <v>1736</v>
      </c>
      <c r="D140" s="1744">
        <v>100000</v>
      </c>
      <c r="E140" s="1744">
        <v>100000</v>
      </c>
      <c r="F140" s="1744">
        <v>100000</v>
      </c>
      <c r="G140" s="1744">
        <v>100000</v>
      </c>
      <c r="H140" s="1744">
        <f>+[4]Vodovod!$B$12</f>
        <v>100000</v>
      </c>
      <c r="I140" s="1745">
        <f t="shared" si="36"/>
        <v>0</v>
      </c>
      <c r="J140" s="1802"/>
      <c r="K140" s="1816"/>
      <c r="L140" s="1028"/>
    </row>
    <row r="141" spans="1:12" outlineLevel="1" x14ac:dyDescent="0.25">
      <c r="A141" s="1844">
        <v>2310</v>
      </c>
      <c r="B141" s="1826">
        <v>5169</v>
      </c>
      <c r="C141" s="1824" t="s">
        <v>1737</v>
      </c>
      <c r="D141" s="1753">
        <v>150000</v>
      </c>
      <c r="E141" s="1753">
        <v>150000</v>
      </c>
      <c r="F141" s="1753">
        <v>150000</v>
      </c>
      <c r="G141" s="1753">
        <v>150000</v>
      </c>
      <c r="H141" s="1753">
        <f>+[4]Vodovod!$B$13</f>
        <v>150000</v>
      </c>
      <c r="I141" s="1747">
        <f t="shared" si="36"/>
        <v>0</v>
      </c>
      <c r="J141" s="1802"/>
      <c r="K141" s="1816"/>
      <c r="L141" s="1028"/>
    </row>
    <row r="142" spans="1:12" outlineLevel="1" x14ac:dyDescent="0.25">
      <c r="A142" s="1843">
        <v>2310</v>
      </c>
      <c r="B142" s="1823">
        <v>5169</v>
      </c>
      <c r="C142" s="1821" t="s">
        <v>1738</v>
      </c>
      <c r="D142" s="1769">
        <v>0</v>
      </c>
      <c r="E142" s="1769">
        <v>0</v>
      </c>
      <c r="F142" s="1769">
        <v>0</v>
      </c>
      <c r="G142" s="1769">
        <v>0</v>
      </c>
      <c r="H142" s="1769">
        <f>+[4]Vodovod!$B$14</f>
        <v>0</v>
      </c>
      <c r="I142" s="1767">
        <f t="shared" si="36"/>
        <v>0</v>
      </c>
      <c r="J142" s="1802"/>
      <c r="K142" s="1816"/>
      <c r="L142" s="1028"/>
    </row>
    <row r="143" spans="1:12" ht="13.5" thickBot="1" x14ac:dyDescent="0.3">
      <c r="A143" s="3178" t="s">
        <v>210</v>
      </c>
      <c r="B143" s="3179"/>
      <c r="C143" s="1814"/>
      <c r="D143" s="1765">
        <v>250000</v>
      </c>
      <c r="E143" s="1765">
        <v>250000</v>
      </c>
      <c r="F143" s="1765">
        <v>250000</v>
      </c>
      <c r="G143" s="1765">
        <v>250000</v>
      </c>
      <c r="H143" s="1765">
        <f t="shared" ref="H143" si="37">SUM(H140:H142)</f>
        <v>250000</v>
      </c>
      <c r="I143" s="1766">
        <f t="shared" si="36"/>
        <v>0</v>
      </c>
      <c r="J143" s="1815">
        <f>'Výdaje kapitol celkem'!CJ34</f>
        <v>250000</v>
      </c>
      <c r="K143" s="1816">
        <f>+J143-H143</f>
        <v>0</v>
      </c>
      <c r="L143" s="1028"/>
    </row>
    <row r="144" spans="1:12" outlineLevel="1" x14ac:dyDescent="0.25">
      <c r="A144" s="1844">
        <v>3633</v>
      </c>
      <c r="B144" s="1826">
        <v>5169</v>
      </c>
      <c r="C144" s="1824" t="s">
        <v>1728</v>
      </c>
      <c r="D144" s="1744">
        <v>100000</v>
      </c>
      <c r="E144" s="1744">
        <v>100000</v>
      </c>
      <c r="F144" s="1744">
        <v>100000</v>
      </c>
      <c r="G144" s="1744">
        <v>100000</v>
      </c>
      <c r="H144" s="1744">
        <f>+'[4]Inženýrské sítě'!$B$5</f>
        <v>50000</v>
      </c>
      <c r="I144" s="1751">
        <f t="shared" si="36"/>
        <v>-50000</v>
      </c>
      <c r="J144" s="1802"/>
      <c r="K144" s="1816"/>
      <c r="L144" s="1028"/>
    </row>
    <row r="145" spans="1:12" outlineLevel="1" x14ac:dyDescent="0.25">
      <c r="A145" s="1843">
        <v>3633</v>
      </c>
      <c r="B145" s="1823">
        <v>5169</v>
      </c>
      <c r="C145" s="1821" t="s">
        <v>1730</v>
      </c>
      <c r="D145" s="1752">
        <v>350000</v>
      </c>
      <c r="E145" s="1752">
        <v>350000</v>
      </c>
      <c r="F145" s="1752">
        <v>350000</v>
      </c>
      <c r="G145" s="1752">
        <v>350000</v>
      </c>
      <c r="H145" s="1752">
        <f>+'[4]Inženýrské sítě'!$B$6</f>
        <v>300000</v>
      </c>
      <c r="I145" s="1751">
        <f t="shared" si="36"/>
        <v>-50000</v>
      </c>
      <c r="J145" s="1802"/>
      <c r="K145" s="1816"/>
      <c r="L145" s="1028"/>
    </row>
    <row r="146" spans="1:12" ht="13.5" thickBot="1" x14ac:dyDescent="0.3">
      <c r="A146" s="3178" t="s">
        <v>250</v>
      </c>
      <c r="B146" s="3179"/>
      <c r="C146" s="1814"/>
      <c r="D146" s="1765">
        <v>450000</v>
      </c>
      <c r="E146" s="1765">
        <v>450000</v>
      </c>
      <c r="F146" s="1765">
        <v>450000</v>
      </c>
      <c r="G146" s="1765">
        <v>450000</v>
      </c>
      <c r="H146" s="1765">
        <f t="shared" ref="H146" si="38">SUM(H144:H145)</f>
        <v>350000</v>
      </c>
      <c r="I146" s="1766">
        <f t="shared" si="36"/>
        <v>-100000</v>
      </c>
      <c r="J146" s="1815">
        <f>'Výdaje kapitol celkem'!CV34</f>
        <v>350000</v>
      </c>
      <c r="K146" s="1816">
        <f>+J146-H146</f>
        <v>0</v>
      </c>
      <c r="L146" s="1028"/>
    </row>
    <row r="147" spans="1:12" ht="36.75" outlineLevel="1" x14ac:dyDescent="0.25">
      <c r="A147" s="1844">
        <v>3749</v>
      </c>
      <c r="B147" s="1826">
        <v>5169</v>
      </c>
      <c r="C147" s="1824" t="s">
        <v>1817</v>
      </c>
      <c r="D147" s="1753">
        <v>580000</v>
      </c>
      <c r="E147" s="1753">
        <v>580000</v>
      </c>
      <c r="F147" s="1753">
        <v>580000</v>
      </c>
      <c r="G147" s="1753">
        <v>580000</v>
      </c>
      <c r="H147" s="1753">
        <f>+'[6]Příroda 3749'!$B$14</f>
        <v>580000</v>
      </c>
      <c r="I147" s="1747">
        <f t="shared" si="36"/>
        <v>0</v>
      </c>
      <c r="J147" s="1802"/>
      <c r="K147" s="1816"/>
      <c r="L147" s="1028"/>
    </row>
    <row r="148" spans="1:12" outlineLevel="1" x14ac:dyDescent="0.25">
      <c r="A148" s="1843">
        <v>3749</v>
      </c>
      <c r="B148" s="1823">
        <v>5169</v>
      </c>
      <c r="C148" s="1821" t="s">
        <v>1818</v>
      </c>
      <c r="D148" s="1769">
        <v>120000</v>
      </c>
      <c r="E148" s="1769">
        <v>120000</v>
      </c>
      <c r="F148" s="1769">
        <v>120000</v>
      </c>
      <c r="G148" s="1769">
        <v>120000</v>
      </c>
      <c r="H148" s="1769">
        <f>+'[6]Příroda 3749'!$B$15</f>
        <v>120000</v>
      </c>
      <c r="I148" s="1767">
        <f t="shared" si="36"/>
        <v>0</v>
      </c>
      <c r="J148" s="1802"/>
      <c r="K148" s="1816"/>
      <c r="L148" s="1028"/>
    </row>
    <row r="149" spans="1:12" outlineLevel="1" x14ac:dyDescent="0.25">
      <c r="A149" s="1843">
        <v>3749</v>
      </c>
      <c r="B149" s="1823">
        <v>5169</v>
      </c>
      <c r="C149" s="1821" t="s">
        <v>1819</v>
      </c>
      <c r="D149" s="1769">
        <v>0</v>
      </c>
      <c r="E149" s="1769">
        <v>0</v>
      </c>
      <c r="F149" s="1769">
        <v>0</v>
      </c>
      <c r="G149" s="1769">
        <v>0</v>
      </c>
      <c r="H149" s="1769">
        <f>+'[6]Příroda 3749'!$B$16</f>
        <v>0</v>
      </c>
      <c r="I149" s="1767">
        <f t="shared" si="36"/>
        <v>0</v>
      </c>
      <c r="J149" s="1802"/>
      <c r="K149" s="1816"/>
      <c r="L149" s="1028"/>
    </row>
    <row r="150" spans="1:12" outlineLevel="1" x14ac:dyDescent="0.25">
      <c r="A150" s="1843">
        <v>3749</v>
      </c>
      <c r="B150" s="1823">
        <v>5169</v>
      </c>
      <c r="C150" s="1821" t="s">
        <v>1820</v>
      </c>
      <c r="D150" s="1769">
        <v>900000</v>
      </c>
      <c r="E150" s="1769">
        <v>900000</v>
      </c>
      <c r="F150" s="1769">
        <v>900000</v>
      </c>
      <c r="G150" s="1769">
        <v>900000</v>
      </c>
      <c r="H150" s="1769">
        <f>+'[6]Příroda 3749'!$B$17</f>
        <v>900000</v>
      </c>
      <c r="I150" s="1767">
        <f t="shared" si="36"/>
        <v>0</v>
      </c>
      <c r="J150" s="1802"/>
      <c r="K150" s="1816"/>
      <c r="L150" s="1028"/>
    </row>
    <row r="151" spans="1:12" outlineLevel="1" x14ac:dyDescent="0.25">
      <c r="A151" s="1843">
        <v>3749</v>
      </c>
      <c r="B151" s="1823">
        <v>5169</v>
      </c>
      <c r="C151" s="1821" t="s">
        <v>1821</v>
      </c>
      <c r="D151" s="1769">
        <v>350000</v>
      </c>
      <c r="E151" s="1769">
        <v>350000</v>
      </c>
      <c r="F151" s="1769">
        <v>350000</v>
      </c>
      <c r="G151" s="1769">
        <v>350000</v>
      </c>
      <c r="H151" s="1769">
        <f>+'[6]Příroda 3749'!$B$18</f>
        <v>350000</v>
      </c>
      <c r="I151" s="1767">
        <f t="shared" si="36"/>
        <v>0</v>
      </c>
      <c r="J151" s="1802"/>
      <c r="K151" s="1816"/>
      <c r="L151" s="1028"/>
    </row>
    <row r="152" spans="1:12" ht="13.5" thickBot="1" x14ac:dyDescent="0.3">
      <c r="A152" s="3178" t="s">
        <v>623</v>
      </c>
      <c r="B152" s="3179"/>
      <c r="C152" s="1814"/>
      <c r="D152" s="1765">
        <v>1950000</v>
      </c>
      <c r="E152" s="1765">
        <v>1950000</v>
      </c>
      <c r="F152" s="1765">
        <v>1950000</v>
      </c>
      <c r="G152" s="1765">
        <v>1950000</v>
      </c>
      <c r="H152" s="1765">
        <f>SUM(H147:H151)</f>
        <v>1950000</v>
      </c>
      <c r="I152" s="1766">
        <f t="shared" si="36"/>
        <v>0</v>
      </c>
      <c r="J152" s="1815">
        <f>'Výdaje kapitol celkem'!DJ34</f>
        <v>1950000</v>
      </c>
      <c r="K152" s="1816">
        <f>+J152-H152</f>
        <v>0</v>
      </c>
      <c r="L152" s="1028"/>
    </row>
    <row r="153" spans="1:12" outlineLevel="1" x14ac:dyDescent="0.25">
      <c r="A153" s="1844">
        <v>1036</v>
      </c>
      <c r="B153" s="1826">
        <v>5169</v>
      </c>
      <c r="C153" s="1824" t="s">
        <v>1811</v>
      </c>
      <c r="D153" s="1753">
        <v>100000</v>
      </c>
      <c r="E153" s="1753">
        <v>100000</v>
      </c>
      <c r="F153" s="1753">
        <v>100000</v>
      </c>
      <c r="G153" s="1753">
        <v>100000</v>
      </c>
      <c r="H153" s="1753">
        <f>+'[6]Lesy 1036'!$B$6</f>
        <v>100000</v>
      </c>
      <c r="I153" s="1747">
        <f t="shared" si="36"/>
        <v>0</v>
      </c>
      <c r="J153" s="1802"/>
      <c r="K153" s="1816"/>
      <c r="L153" s="1028"/>
    </row>
    <row r="154" spans="1:12" hidden="1" outlineLevel="1" x14ac:dyDescent="0.25">
      <c r="A154" s="1843">
        <v>1036</v>
      </c>
      <c r="B154" s="1823">
        <v>5169</v>
      </c>
      <c r="C154" s="1821"/>
      <c r="D154" s="1769">
        <v>0</v>
      </c>
      <c r="E154" s="1769">
        <v>0</v>
      </c>
      <c r="F154" s="1769">
        <v>0</v>
      </c>
      <c r="G154" s="1769">
        <v>0</v>
      </c>
      <c r="H154" s="1769">
        <v>0</v>
      </c>
      <c r="I154" s="1767">
        <f t="shared" si="36"/>
        <v>0</v>
      </c>
      <c r="J154" s="1802"/>
      <c r="K154" s="1816"/>
      <c r="L154" s="1028"/>
    </row>
    <row r="155" spans="1:12" outlineLevel="1" x14ac:dyDescent="0.25">
      <c r="A155" s="1843">
        <v>1036</v>
      </c>
      <c r="B155" s="1823">
        <v>5169</v>
      </c>
      <c r="C155" s="1819"/>
      <c r="D155" s="1769"/>
      <c r="E155" s="1769"/>
      <c r="F155" s="1769"/>
      <c r="G155" s="1769"/>
      <c r="H155" s="1769"/>
      <c r="I155" s="1768">
        <f t="shared" si="36"/>
        <v>0</v>
      </c>
      <c r="J155" s="1802"/>
      <c r="K155" s="1816"/>
      <c r="L155" s="1028"/>
    </row>
    <row r="156" spans="1:12" ht="13.5" thickBot="1" x14ac:dyDescent="0.3">
      <c r="A156" s="3178" t="s">
        <v>1209</v>
      </c>
      <c r="B156" s="3179"/>
      <c r="C156" s="1814"/>
      <c r="D156" s="1765">
        <v>100000</v>
      </c>
      <c r="E156" s="1765">
        <v>100000</v>
      </c>
      <c r="F156" s="1765">
        <v>100000</v>
      </c>
      <c r="G156" s="1765">
        <v>100000</v>
      </c>
      <c r="H156" s="1765">
        <f t="shared" ref="H156" si="39">SUM(H153:H155)</f>
        <v>100000</v>
      </c>
      <c r="I156" s="1766">
        <f t="shared" si="36"/>
        <v>0</v>
      </c>
      <c r="J156" s="1815">
        <f>'Výdaje kapitol celkem'!CY34</f>
        <v>100000</v>
      </c>
      <c r="K156" s="1816">
        <f>+J156-H156</f>
        <v>0</v>
      </c>
      <c r="L156" s="1028"/>
    </row>
    <row r="157" spans="1:12" hidden="1" outlineLevel="1" x14ac:dyDescent="0.25">
      <c r="A157" s="1844" t="s">
        <v>218</v>
      </c>
      <c r="B157" s="1826">
        <v>5169</v>
      </c>
      <c r="C157" s="1824"/>
      <c r="D157" s="1753"/>
      <c r="E157" s="1753"/>
      <c r="F157" s="1753"/>
      <c r="G157" s="1753"/>
      <c r="H157" s="1753"/>
      <c r="I157" s="1747">
        <f t="shared" si="36"/>
        <v>0</v>
      </c>
      <c r="J157" s="1802"/>
      <c r="K157" s="1816"/>
      <c r="L157" s="1028"/>
    </row>
    <row r="158" spans="1:12" hidden="1" outlineLevel="1" x14ac:dyDescent="0.25">
      <c r="A158" s="1843" t="s">
        <v>218</v>
      </c>
      <c r="B158" s="1823">
        <v>5169</v>
      </c>
      <c r="C158" s="1821"/>
      <c r="D158" s="1769"/>
      <c r="E158" s="1769"/>
      <c r="F158" s="1769"/>
      <c r="G158" s="1769"/>
      <c r="H158" s="1769"/>
      <c r="I158" s="1767">
        <f t="shared" si="36"/>
        <v>0</v>
      </c>
      <c r="J158" s="1802"/>
      <c r="K158" s="1816"/>
      <c r="L158" s="1028"/>
    </row>
    <row r="159" spans="1:12" hidden="1" outlineLevel="1" x14ac:dyDescent="0.25">
      <c r="A159" s="1843" t="s">
        <v>218</v>
      </c>
      <c r="B159" s="1823">
        <v>5169</v>
      </c>
      <c r="C159" s="1819"/>
      <c r="D159" s="1769"/>
      <c r="E159" s="1769"/>
      <c r="F159" s="1769"/>
      <c r="G159" s="1769"/>
      <c r="H159" s="1769"/>
      <c r="I159" s="1768">
        <f t="shared" si="36"/>
        <v>0</v>
      </c>
      <c r="J159" s="1802"/>
      <c r="K159" s="1816"/>
      <c r="L159" s="1028"/>
    </row>
    <row r="160" spans="1:12" ht="13.5" collapsed="1" thickBot="1" x14ac:dyDescent="0.3">
      <c r="A160" s="3178" t="s">
        <v>249</v>
      </c>
      <c r="B160" s="3179"/>
      <c r="C160" s="1814"/>
      <c r="D160" s="1765">
        <v>0</v>
      </c>
      <c r="E160" s="1765">
        <v>0</v>
      </c>
      <c r="F160" s="1765">
        <v>0</v>
      </c>
      <c r="G160" s="1765">
        <v>0</v>
      </c>
      <c r="H160" s="1765">
        <f t="shared" ref="H160" si="40">SUM(H157:H159)</f>
        <v>0</v>
      </c>
      <c r="I160" s="1766">
        <f t="shared" si="36"/>
        <v>0</v>
      </c>
      <c r="J160" s="1815">
        <f>'Výdaje kapitol celkem'!CS34</f>
        <v>0</v>
      </c>
      <c r="K160" s="1816">
        <f>+J160-H160</f>
        <v>0</v>
      </c>
      <c r="L160" s="1028"/>
    </row>
    <row r="161" spans="1:12" outlineLevel="1" x14ac:dyDescent="0.25">
      <c r="A161" s="1844" t="s">
        <v>195</v>
      </c>
      <c r="B161" s="1826">
        <v>5169</v>
      </c>
      <c r="C161" s="1824" t="s">
        <v>1734</v>
      </c>
      <c r="D161" s="1753">
        <v>50000</v>
      </c>
      <c r="E161" s="1753">
        <v>50000</v>
      </c>
      <c r="F161" s="1753">
        <v>50000</v>
      </c>
      <c r="G161" s="1753">
        <v>50000</v>
      </c>
      <c r="H161" s="1753">
        <f>+[4]Kanalizace!$B$12</f>
        <v>0</v>
      </c>
      <c r="I161" s="1747">
        <f t="shared" si="36"/>
        <v>-50000</v>
      </c>
      <c r="J161" s="1802"/>
      <c r="K161" s="1816"/>
      <c r="L161" s="1028"/>
    </row>
    <row r="162" spans="1:12" outlineLevel="1" x14ac:dyDescent="0.25">
      <c r="A162" s="1843" t="s">
        <v>195</v>
      </c>
      <c r="B162" s="1823">
        <v>5169</v>
      </c>
      <c r="C162" s="1819" t="s">
        <v>1735</v>
      </c>
      <c r="D162" s="1769">
        <v>100000</v>
      </c>
      <c r="E162" s="1769">
        <v>100000</v>
      </c>
      <c r="F162" s="1769">
        <v>100000</v>
      </c>
      <c r="G162" s="1769">
        <v>100000</v>
      </c>
      <c r="H162" s="1769">
        <f>+[4]Kanalizace!$B$13</f>
        <v>0</v>
      </c>
      <c r="I162" s="1768">
        <f t="shared" si="36"/>
        <v>-100000</v>
      </c>
      <c r="J162" s="1802"/>
      <c r="K162" s="1816"/>
      <c r="L162" s="1028"/>
    </row>
    <row r="163" spans="1:12" ht="13.5" thickBot="1" x14ac:dyDescent="0.3">
      <c r="A163" s="3178" t="s">
        <v>685</v>
      </c>
      <c r="B163" s="3179"/>
      <c r="C163" s="1814"/>
      <c r="D163" s="1765">
        <v>150000</v>
      </c>
      <c r="E163" s="1765">
        <v>150000</v>
      </c>
      <c r="F163" s="1765">
        <v>150000</v>
      </c>
      <c r="G163" s="1765">
        <v>150000</v>
      </c>
      <c r="H163" s="1765">
        <f t="shared" ref="H163" si="41">SUM(H161:H162)</f>
        <v>0</v>
      </c>
      <c r="I163" s="1766">
        <f t="shared" si="36"/>
        <v>-150000</v>
      </c>
      <c r="J163" s="1815">
        <f>'Výdaje kapitol celkem'!CP34</f>
        <v>0</v>
      </c>
      <c r="K163" s="1816">
        <f>+J163-H163</f>
        <v>0</v>
      </c>
      <c r="L163" s="1028"/>
    </row>
    <row r="164" spans="1:12" outlineLevel="1" x14ac:dyDescent="0.25">
      <c r="A164" s="1835" t="s">
        <v>499</v>
      </c>
      <c r="B164" s="1809">
        <v>5169</v>
      </c>
      <c r="C164" s="1810" t="s">
        <v>2358</v>
      </c>
      <c r="D164" s="1744">
        <v>3200000</v>
      </c>
      <c r="E164" s="1744">
        <v>3200000</v>
      </c>
      <c r="F164" s="1744">
        <v>3200000</v>
      </c>
      <c r="G164" s="1744">
        <v>3200000</v>
      </c>
      <c r="H164" s="1744">
        <f>+'[6]Popelnice 3722'!$B$22</f>
        <v>3200000</v>
      </c>
      <c r="I164" s="1745">
        <f t="shared" si="36"/>
        <v>0</v>
      </c>
      <c r="J164" s="1802"/>
      <c r="K164" s="1816"/>
      <c r="L164" s="1028"/>
    </row>
    <row r="165" spans="1:12" outlineLevel="1" x14ac:dyDescent="0.25">
      <c r="A165" s="1841" t="s">
        <v>499</v>
      </c>
      <c r="B165" s="1818">
        <v>5169</v>
      </c>
      <c r="C165" s="1819" t="s">
        <v>2359</v>
      </c>
      <c r="D165" s="1752">
        <v>800000</v>
      </c>
      <c r="E165" s="1752">
        <v>800000</v>
      </c>
      <c r="F165" s="1752">
        <v>800000</v>
      </c>
      <c r="G165" s="1752">
        <v>800000</v>
      </c>
      <c r="H165" s="1752">
        <f>+'[6]Popelnice 3722'!$B$23</f>
        <v>800000</v>
      </c>
      <c r="I165" s="1767">
        <f t="shared" si="36"/>
        <v>0</v>
      </c>
      <c r="J165" s="1802"/>
      <c r="K165" s="1816"/>
      <c r="L165" s="1028"/>
    </row>
    <row r="166" spans="1:12" outlineLevel="1" x14ac:dyDescent="0.25">
      <c r="A166" s="1836" t="s">
        <v>499</v>
      </c>
      <c r="B166" s="1812">
        <v>5169</v>
      </c>
      <c r="C166" s="1813" t="s">
        <v>1823</v>
      </c>
      <c r="D166" s="1746">
        <v>100000</v>
      </c>
      <c r="E166" s="1746">
        <v>100000</v>
      </c>
      <c r="F166" s="1746">
        <v>100000</v>
      </c>
      <c r="G166" s="1746">
        <v>100000</v>
      </c>
      <c r="H166" s="1746">
        <f>+'[6]Popelnice 3722'!$B$24</f>
        <v>100000</v>
      </c>
      <c r="I166" s="1767">
        <f t="shared" si="36"/>
        <v>0</v>
      </c>
      <c r="J166" s="1802"/>
      <c r="K166" s="1816"/>
      <c r="L166" s="1028"/>
    </row>
    <row r="167" spans="1:12" outlineLevel="1" x14ac:dyDescent="0.25">
      <c r="A167" s="1836" t="s">
        <v>499</v>
      </c>
      <c r="B167" s="1812">
        <v>5169</v>
      </c>
      <c r="C167" s="1813" t="s">
        <v>2360</v>
      </c>
      <c r="D167" s="1746">
        <v>1000000</v>
      </c>
      <c r="E167" s="1746">
        <v>1000000</v>
      </c>
      <c r="F167" s="1746">
        <v>1000000</v>
      </c>
      <c r="G167" s="1746">
        <v>1000000</v>
      </c>
      <c r="H167" s="1746">
        <f>+'[6]Popelnice 3722'!$B$25</f>
        <v>1000000</v>
      </c>
      <c r="I167" s="1767">
        <f t="shared" si="36"/>
        <v>0</v>
      </c>
      <c r="J167" s="1802"/>
      <c r="K167" s="1816"/>
      <c r="L167" s="1028"/>
    </row>
    <row r="168" spans="1:12" outlineLevel="1" x14ac:dyDescent="0.25">
      <c r="A168" s="1836" t="s">
        <v>499</v>
      </c>
      <c r="B168" s="1812">
        <v>5169</v>
      </c>
      <c r="C168" s="1813" t="s">
        <v>2361</v>
      </c>
      <c r="D168" s="1746">
        <v>300000</v>
      </c>
      <c r="E168" s="1746">
        <v>300000</v>
      </c>
      <c r="F168" s="1746">
        <v>300000</v>
      </c>
      <c r="G168" s="1746">
        <v>300000</v>
      </c>
      <c r="H168" s="1746">
        <f>+'[6]Popelnice 3722'!$B$26</f>
        <v>300000</v>
      </c>
      <c r="I168" s="1747">
        <f t="shared" si="36"/>
        <v>0</v>
      </c>
      <c r="J168" s="1802"/>
      <c r="K168" s="1816"/>
      <c r="L168" s="1028"/>
    </row>
    <row r="169" spans="1:12" outlineLevel="1" x14ac:dyDescent="0.25">
      <c r="A169" s="1836" t="s">
        <v>2369</v>
      </c>
      <c r="B169" s="1812">
        <v>5170</v>
      </c>
      <c r="C169" s="1813" t="s">
        <v>1822</v>
      </c>
      <c r="D169" s="1746">
        <v>700000</v>
      </c>
      <c r="E169" s="1746">
        <v>700000</v>
      </c>
      <c r="F169" s="1746">
        <v>700000</v>
      </c>
      <c r="G169" s="1746">
        <v>700000</v>
      </c>
      <c r="H169" s="1746">
        <f>+'[6]Popelnice 3722'!$B$27</f>
        <v>700000</v>
      </c>
      <c r="I169" s="1747">
        <f t="shared" si="36"/>
        <v>0</v>
      </c>
      <c r="J169" s="1802"/>
      <c r="K169" s="1816"/>
      <c r="L169" s="1028"/>
    </row>
    <row r="170" spans="1:12" outlineLevel="1" x14ac:dyDescent="0.25">
      <c r="A170" s="1836" t="s">
        <v>2370</v>
      </c>
      <c r="B170" s="1812">
        <v>5171</v>
      </c>
      <c r="C170" s="1813" t="s">
        <v>1824</v>
      </c>
      <c r="D170" s="1746">
        <v>50000</v>
      </c>
      <c r="E170" s="1746">
        <v>50000</v>
      </c>
      <c r="F170" s="1746">
        <v>50000</v>
      </c>
      <c r="G170" s="1746">
        <v>50000</v>
      </c>
      <c r="H170" s="1746">
        <f>+'[6]Popelnice 3722'!$D$28</f>
        <v>50000</v>
      </c>
      <c r="I170" s="1747">
        <f t="shared" si="36"/>
        <v>0</v>
      </c>
      <c r="J170" s="1802"/>
      <c r="K170" s="1816"/>
      <c r="L170" s="1028"/>
    </row>
    <row r="171" spans="1:12" outlineLevel="1" x14ac:dyDescent="0.25">
      <c r="A171" s="1844" t="s">
        <v>499</v>
      </c>
      <c r="B171" s="1826">
        <v>5169</v>
      </c>
      <c r="C171" s="1824"/>
      <c r="D171" s="1773"/>
      <c r="E171" s="1773"/>
      <c r="F171" s="1773"/>
      <c r="G171" s="1773"/>
      <c r="H171" s="1773"/>
      <c r="I171" s="1751">
        <f t="shared" si="36"/>
        <v>0</v>
      </c>
      <c r="J171" s="1802"/>
      <c r="K171" s="1816"/>
      <c r="L171" s="1028"/>
    </row>
    <row r="172" spans="1:12" ht="13.5" thickBot="1" x14ac:dyDescent="0.3">
      <c r="A172" s="3178" t="s">
        <v>1219</v>
      </c>
      <c r="B172" s="3179"/>
      <c r="C172" s="1814"/>
      <c r="D172" s="1765">
        <v>6150000</v>
      </c>
      <c r="E172" s="1765">
        <v>6150000</v>
      </c>
      <c r="F172" s="1765">
        <v>6150000</v>
      </c>
      <c r="G172" s="1765">
        <v>6150000</v>
      </c>
      <c r="H172" s="1765">
        <f>SUM(H164:H171)</f>
        <v>6150000</v>
      </c>
      <c r="I172" s="1766">
        <f t="shared" si="36"/>
        <v>0</v>
      </c>
      <c r="J172" s="1815">
        <f>+'Výdaje kapitol celkem'!CZ34</f>
        <v>6150000</v>
      </c>
      <c r="K172" s="1816">
        <f>+J172-H172</f>
        <v>0</v>
      </c>
      <c r="L172" s="1028"/>
    </row>
    <row r="173" spans="1:12" hidden="1" outlineLevel="1" x14ac:dyDescent="0.25">
      <c r="A173" s="1835" t="s">
        <v>180</v>
      </c>
      <c r="B173" s="1809">
        <v>5169</v>
      </c>
      <c r="C173" s="1810" t="s">
        <v>1812</v>
      </c>
      <c r="D173" s="1744">
        <v>0</v>
      </c>
      <c r="E173" s="1744">
        <v>0</v>
      </c>
      <c r="F173" s="1744">
        <v>0</v>
      </c>
      <c r="G173" s="1744">
        <v>0</v>
      </c>
      <c r="H173" s="1744">
        <f>+'[6]Odpady 3722-34'!$B$6</f>
        <v>0</v>
      </c>
      <c r="I173" s="1745">
        <f t="shared" si="36"/>
        <v>0</v>
      </c>
      <c r="J173" s="1802"/>
      <c r="K173" s="1816"/>
      <c r="L173" s="1028"/>
    </row>
    <row r="174" spans="1:12" hidden="1" outlineLevel="1" x14ac:dyDescent="0.25">
      <c r="A174" s="1841" t="s">
        <v>180</v>
      </c>
      <c r="B174" s="1818">
        <v>5169</v>
      </c>
      <c r="C174" s="1819"/>
      <c r="D174" s="1752">
        <v>0</v>
      </c>
      <c r="E174" s="1752">
        <v>0</v>
      </c>
      <c r="F174" s="1752">
        <v>0</v>
      </c>
      <c r="G174" s="1752">
        <v>0</v>
      </c>
      <c r="H174" s="1752">
        <f>+'[6]Odpady 3722-34'!$B$7</f>
        <v>0</v>
      </c>
      <c r="I174" s="1768">
        <f t="shared" si="36"/>
        <v>0</v>
      </c>
      <c r="J174" s="1802"/>
      <c r="K174" s="1816"/>
      <c r="L174" s="1028"/>
    </row>
    <row r="175" spans="1:12" hidden="1" outlineLevel="1" x14ac:dyDescent="0.25">
      <c r="A175" s="1844" t="s">
        <v>180</v>
      </c>
      <c r="B175" s="1826">
        <v>5169</v>
      </c>
      <c r="C175" s="1824"/>
      <c r="D175" s="1753">
        <v>0</v>
      </c>
      <c r="E175" s="1753">
        <v>0</v>
      </c>
      <c r="F175" s="1753">
        <v>0</v>
      </c>
      <c r="G175" s="1753">
        <v>0</v>
      </c>
      <c r="H175" s="1753">
        <f>+'[6]Odpady 3722-34'!$B$8</f>
        <v>0</v>
      </c>
      <c r="I175" s="1751">
        <f t="shared" si="36"/>
        <v>0</v>
      </c>
      <c r="J175" s="1802"/>
      <c r="K175" s="1816"/>
      <c r="L175" s="1028"/>
    </row>
    <row r="176" spans="1:12" ht="13.5" collapsed="1" thickBot="1" x14ac:dyDescent="0.3">
      <c r="A176" s="3178" t="s">
        <v>1211</v>
      </c>
      <c r="B176" s="3179"/>
      <c r="C176" s="1814"/>
      <c r="D176" s="1765">
        <v>0</v>
      </c>
      <c r="E176" s="1765">
        <v>0</v>
      </c>
      <c r="F176" s="1765">
        <v>0</v>
      </c>
      <c r="G176" s="1765">
        <v>0</v>
      </c>
      <c r="H176" s="1765">
        <f t="shared" ref="H176" si="42">SUM(H173:H175)</f>
        <v>0</v>
      </c>
      <c r="I176" s="1766">
        <f t="shared" si="36"/>
        <v>0</v>
      </c>
      <c r="J176" s="1815">
        <f>'Výdaje kapitol celkem'!DC34</f>
        <v>0</v>
      </c>
      <c r="K176" s="1816">
        <f>+J176-H176</f>
        <v>0</v>
      </c>
      <c r="L176" s="1028"/>
    </row>
    <row r="177" spans="1:12" outlineLevel="1" x14ac:dyDescent="0.25">
      <c r="A177" s="1835">
        <v>3729</v>
      </c>
      <c r="B177" s="1809">
        <v>5169</v>
      </c>
      <c r="C177" s="1810" t="s">
        <v>1813</v>
      </c>
      <c r="D177" s="1744">
        <v>70000</v>
      </c>
      <c r="E177" s="1744">
        <v>70000</v>
      </c>
      <c r="F177" s="1744">
        <v>70000</v>
      </c>
      <c r="G177" s="1744">
        <v>70000</v>
      </c>
      <c r="H177" s="1744">
        <f>+'[6]Černé skládky 3729'!$B$6</f>
        <v>70000</v>
      </c>
      <c r="I177" s="1745">
        <f t="shared" si="36"/>
        <v>0</v>
      </c>
      <c r="J177" s="1802"/>
      <c r="K177" s="1816"/>
      <c r="L177" s="1028"/>
    </row>
    <row r="178" spans="1:12" x14ac:dyDescent="0.25">
      <c r="A178" s="1844">
        <v>3729</v>
      </c>
      <c r="B178" s="1826">
        <v>5169</v>
      </c>
      <c r="C178" s="1824"/>
      <c r="D178" s="1773">
        <v>0</v>
      </c>
      <c r="E178" s="1773">
        <v>0</v>
      </c>
      <c r="F178" s="1773">
        <v>0</v>
      </c>
      <c r="G178" s="1773">
        <v>0</v>
      </c>
      <c r="H178" s="1773">
        <f>+'[6]Černé skládky 3729'!$B$7</f>
        <v>0</v>
      </c>
      <c r="I178" s="1751">
        <f t="shared" si="36"/>
        <v>0</v>
      </c>
      <c r="J178" s="1802"/>
      <c r="K178" s="1816"/>
      <c r="L178" s="1028"/>
    </row>
    <row r="179" spans="1:12" ht="13.5" thickBot="1" x14ac:dyDescent="0.3">
      <c r="A179" s="3178" t="s">
        <v>1212</v>
      </c>
      <c r="B179" s="3179"/>
      <c r="C179" s="1814"/>
      <c r="D179" s="1765">
        <v>70000</v>
      </c>
      <c r="E179" s="1765">
        <v>70000</v>
      </c>
      <c r="F179" s="1765">
        <v>70000</v>
      </c>
      <c r="G179" s="1765">
        <v>70000</v>
      </c>
      <c r="H179" s="1765">
        <f t="shared" ref="H179" si="43">SUM(H177:H178)</f>
        <v>70000</v>
      </c>
      <c r="I179" s="1766">
        <f t="shared" si="36"/>
        <v>0</v>
      </c>
      <c r="J179" s="1815">
        <f>'Výdaje kapitol celkem'!DF34</f>
        <v>70000</v>
      </c>
      <c r="K179" s="1816">
        <f>+J179-H179</f>
        <v>0</v>
      </c>
      <c r="L179" s="1028"/>
    </row>
    <row r="180" spans="1:12" outlineLevel="1" x14ac:dyDescent="0.25">
      <c r="A180" s="1835">
        <v>3744</v>
      </c>
      <c r="B180" s="1809">
        <v>5169</v>
      </c>
      <c r="C180" s="1810" t="s">
        <v>1814</v>
      </c>
      <c r="D180" s="1744">
        <v>60000</v>
      </c>
      <c r="E180" s="1744">
        <v>60000</v>
      </c>
      <c r="F180" s="1744">
        <v>60000</v>
      </c>
      <c r="G180" s="1744">
        <v>60000</v>
      </c>
      <c r="H180" s="1744">
        <f>+'[6]Povodeň 3744'!$B$14</f>
        <v>28207</v>
      </c>
      <c r="I180" s="1745">
        <f t="shared" si="36"/>
        <v>-31793</v>
      </c>
      <c r="J180" s="1802"/>
      <c r="K180" s="1816"/>
      <c r="L180" s="1028"/>
    </row>
    <row r="181" spans="1:12" outlineLevel="1" x14ac:dyDescent="0.25">
      <c r="A181" s="1841">
        <v>3744</v>
      </c>
      <c r="B181" s="1818">
        <v>5169</v>
      </c>
      <c r="C181" s="1819" t="s">
        <v>1815</v>
      </c>
      <c r="D181" s="1752">
        <v>6500</v>
      </c>
      <c r="E181" s="1752">
        <v>6500</v>
      </c>
      <c r="F181" s="1752">
        <v>6500</v>
      </c>
      <c r="G181" s="1752">
        <v>6500</v>
      </c>
      <c r="H181" s="1752">
        <f>+'[6]Povodeň 3744'!$B$15</f>
        <v>6500</v>
      </c>
      <c r="I181" s="1767">
        <f t="shared" si="36"/>
        <v>0</v>
      </c>
      <c r="J181" s="1802"/>
      <c r="K181" s="1816"/>
      <c r="L181" s="1028"/>
    </row>
    <row r="182" spans="1:12" x14ac:dyDescent="0.25">
      <c r="A182" s="1844">
        <v>3744</v>
      </c>
      <c r="B182" s="1826">
        <v>5169</v>
      </c>
      <c r="C182" s="1824" t="s">
        <v>1816</v>
      </c>
      <c r="D182" s="1753">
        <v>0</v>
      </c>
      <c r="E182" s="1753">
        <v>0</v>
      </c>
      <c r="F182" s="1753">
        <v>0</v>
      </c>
      <c r="G182" s="1753">
        <v>0</v>
      </c>
      <c r="H182" s="1753">
        <f>+'[6]Povodeň 3744'!$B$16</f>
        <v>0</v>
      </c>
      <c r="I182" s="1747">
        <f t="shared" si="36"/>
        <v>0</v>
      </c>
      <c r="J182" s="1802"/>
      <c r="K182" s="1816"/>
      <c r="L182" s="1028"/>
    </row>
    <row r="183" spans="1:12" ht="13.5" thickBot="1" x14ac:dyDescent="0.3">
      <c r="A183" s="3178" t="s">
        <v>1194</v>
      </c>
      <c r="B183" s="3179"/>
      <c r="C183" s="1814"/>
      <c r="D183" s="1765">
        <v>66500</v>
      </c>
      <c r="E183" s="1765">
        <v>66500</v>
      </c>
      <c r="F183" s="1765">
        <v>66500</v>
      </c>
      <c r="G183" s="1765">
        <v>66500</v>
      </c>
      <c r="H183" s="1765">
        <f t="shared" ref="H183" si="44">SUM(H180:H182)</f>
        <v>34707</v>
      </c>
      <c r="I183" s="1766">
        <f t="shared" si="36"/>
        <v>-31793</v>
      </c>
      <c r="J183" s="1815">
        <f>'Výdaje kapitol celkem'!DI34</f>
        <v>34707</v>
      </c>
      <c r="K183" s="1816">
        <f>+J183-H183</f>
        <v>0</v>
      </c>
      <c r="L183" s="1028"/>
    </row>
    <row r="184" spans="1:12" outlineLevel="1" x14ac:dyDescent="0.25">
      <c r="A184" s="1835" t="s">
        <v>295</v>
      </c>
      <c r="B184" s="1809">
        <v>5169</v>
      </c>
      <c r="C184" s="1810" t="s">
        <v>1731</v>
      </c>
      <c r="D184" s="1744">
        <v>5000</v>
      </c>
      <c r="E184" s="1744">
        <v>5000</v>
      </c>
      <c r="F184" s="1744">
        <v>5000</v>
      </c>
      <c r="G184" s="1744">
        <v>5000</v>
      </c>
      <c r="H184" s="1744">
        <f>+[4]Rybníky!$B$5</f>
        <v>5000</v>
      </c>
      <c r="I184" s="1745">
        <f t="shared" si="36"/>
        <v>0</v>
      </c>
      <c r="J184" s="1802"/>
      <c r="K184" s="1816"/>
      <c r="L184" s="1028"/>
    </row>
    <row r="185" spans="1:12" hidden="1" outlineLevel="1" x14ac:dyDescent="0.25">
      <c r="A185" s="1841" t="s">
        <v>295</v>
      </c>
      <c r="B185" s="1818">
        <v>5169</v>
      </c>
      <c r="C185" s="1819"/>
      <c r="D185" s="1752"/>
      <c r="E185" s="1752"/>
      <c r="F185" s="1752"/>
      <c r="G185" s="1752"/>
      <c r="H185" s="1752"/>
      <c r="I185" s="1768">
        <f t="shared" si="36"/>
        <v>0</v>
      </c>
      <c r="J185" s="1802"/>
      <c r="K185" s="1816"/>
      <c r="L185" s="1028"/>
    </row>
    <row r="186" spans="1:12" outlineLevel="1" x14ac:dyDescent="0.25">
      <c r="A186" s="1841" t="s">
        <v>295</v>
      </c>
      <c r="B186" s="1818">
        <v>5169</v>
      </c>
      <c r="C186" s="1819"/>
      <c r="D186" s="1752"/>
      <c r="E186" s="1752"/>
      <c r="F186" s="1752"/>
      <c r="G186" s="1752"/>
      <c r="H186" s="1752"/>
      <c r="I186" s="1767">
        <f t="shared" si="36"/>
        <v>0</v>
      </c>
      <c r="J186" s="1802"/>
      <c r="K186" s="1816"/>
      <c r="L186" s="1028"/>
    </row>
    <row r="187" spans="1:12" ht="13.5" thickBot="1" x14ac:dyDescent="0.3">
      <c r="A187" s="3178" t="s">
        <v>1195</v>
      </c>
      <c r="B187" s="3179"/>
      <c r="C187" s="1814"/>
      <c r="D187" s="1765">
        <v>5000</v>
      </c>
      <c r="E187" s="1765">
        <v>5000</v>
      </c>
      <c r="F187" s="1765">
        <v>5000</v>
      </c>
      <c r="G187" s="1765">
        <v>5000</v>
      </c>
      <c r="H187" s="1765">
        <f t="shared" ref="H187" si="45">SUM(H184:H186)</f>
        <v>5000</v>
      </c>
      <c r="I187" s="1766">
        <f t="shared" si="36"/>
        <v>0</v>
      </c>
      <c r="J187" s="1815">
        <f>'Výdaje kapitol celkem'!DN34</f>
        <v>5000</v>
      </c>
      <c r="K187" s="1816">
        <f>+J187-H187</f>
        <v>0</v>
      </c>
      <c r="L187" s="1028"/>
    </row>
    <row r="188" spans="1:12" hidden="1" outlineLevel="1" x14ac:dyDescent="0.25">
      <c r="A188" s="1835" t="s">
        <v>262</v>
      </c>
      <c r="B188" s="1809">
        <v>5169</v>
      </c>
      <c r="C188" s="1845"/>
      <c r="D188" s="1744"/>
      <c r="E188" s="1744"/>
      <c r="F188" s="1744"/>
      <c r="G188" s="1744"/>
      <c r="H188" s="1744"/>
      <c r="I188" s="1774">
        <f t="shared" si="36"/>
        <v>0</v>
      </c>
      <c r="J188" s="1815"/>
      <c r="K188" s="1816"/>
      <c r="L188" s="1028"/>
    </row>
    <row r="189" spans="1:12" hidden="1" outlineLevel="1" x14ac:dyDescent="0.25">
      <c r="A189" s="1841" t="s">
        <v>262</v>
      </c>
      <c r="B189" s="1818">
        <v>5169</v>
      </c>
      <c r="C189" s="1846"/>
      <c r="D189" s="1771"/>
      <c r="E189" s="1771"/>
      <c r="F189" s="1771"/>
      <c r="G189" s="1771"/>
      <c r="H189" s="1771"/>
      <c r="I189" s="1768">
        <f t="shared" si="36"/>
        <v>0</v>
      </c>
      <c r="J189" s="1815"/>
      <c r="K189" s="1816"/>
      <c r="L189" s="1028"/>
    </row>
    <row r="190" spans="1:12" ht="13.5" collapsed="1" thickBot="1" x14ac:dyDescent="0.3">
      <c r="A190" s="3178" t="s">
        <v>1220</v>
      </c>
      <c r="B190" s="3179"/>
      <c r="C190" s="1814"/>
      <c r="D190" s="1765">
        <v>0</v>
      </c>
      <c r="E190" s="1765">
        <v>0</v>
      </c>
      <c r="F190" s="1765">
        <v>0</v>
      </c>
      <c r="G190" s="1765">
        <v>0</v>
      </c>
      <c r="H190" s="1765">
        <f t="shared" ref="H190" si="46">SUM(H188:H189)</f>
        <v>0</v>
      </c>
      <c r="I190" s="1766">
        <f t="shared" si="36"/>
        <v>0</v>
      </c>
      <c r="J190" s="1815">
        <f>'Výdaje kapitol celkem'!DR34</f>
        <v>0</v>
      </c>
      <c r="K190" s="1816">
        <f>+J190-H190</f>
        <v>0</v>
      </c>
      <c r="L190" s="1028"/>
    </row>
    <row r="191" spans="1:12" hidden="1" outlineLevel="1" x14ac:dyDescent="0.25">
      <c r="A191" s="1835" t="s">
        <v>724</v>
      </c>
      <c r="B191" s="1809">
        <v>5169</v>
      </c>
      <c r="C191" s="1810"/>
      <c r="D191" s="1744">
        <v>0</v>
      </c>
      <c r="E191" s="1744">
        <v>0</v>
      </c>
      <c r="F191" s="1744">
        <v>0</v>
      </c>
      <c r="G191" s="1744">
        <v>0</v>
      </c>
      <c r="H191" s="1744">
        <v>0</v>
      </c>
      <c r="I191" s="1745">
        <f t="shared" si="36"/>
        <v>0</v>
      </c>
      <c r="J191" s="1802"/>
      <c r="K191" s="1816"/>
      <c r="L191" s="1028"/>
    </row>
    <row r="192" spans="1:12" hidden="1" outlineLevel="1" x14ac:dyDescent="0.25">
      <c r="A192" s="1844" t="s">
        <v>724</v>
      </c>
      <c r="B192" s="1826">
        <v>5169</v>
      </c>
      <c r="C192" s="1824"/>
      <c r="D192" s="1773">
        <v>0</v>
      </c>
      <c r="E192" s="1773">
        <v>0</v>
      </c>
      <c r="F192" s="1773">
        <v>0</v>
      </c>
      <c r="G192" s="1773">
        <v>0</v>
      </c>
      <c r="H192" s="1773">
        <v>0</v>
      </c>
      <c r="I192" s="1751">
        <f t="shared" si="36"/>
        <v>0</v>
      </c>
      <c r="J192" s="1802"/>
      <c r="K192" s="1816"/>
      <c r="L192" s="1028"/>
    </row>
    <row r="193" spans="1:12" ht="13.5" collapsed="1" thickBot="1" x14ac:dyDescent="0.3">
      <c r="A193" s="3178" t="s">
        <v>1221</v>
      </c>
      <c r="B193" s="3179"/>
      <c r="C193" s="1814"/>
      <c r="D193" s="1765">
        <v>0</v>
      </c>
      <c r="E193" s="1765">
        <v>0</v>
      </c>
      <c r="F193" s="1765">
        <v>0</v>
      </c>
      <c r="G193" s="1765">
        <v>0</v>
      </c>
      <c r="H193" s="1765">
        <f t="shared" ref="H193" si="47">SUM(H191:H192)</f>
        <v>0</v>
      </c>
      <c r="I193" s="1766">
        <f t="shared" si="36"/>
        <v>0</v>
      </c>
      <c r="J193" s="1815">
        <f>'Výdaje kapitol celkem'!DO34</f>
        <v>0</v>
      </c>
      <c r="K193" s="1816">
        <f>+J193-H193</f>
        <v>0</v>
      </c>
      <c r="L193" s="1028"/>
    </row>
    <row r="194" spans="1:12" hidden="1" outlineLevel="1" x14ac:dyDescent="0.25">
      <c r="A194" s="1835" t="s">
        <v>725</v>
      </c>
      <c r="B194" s="1809">
        <v>5169</v>
      </c>
      <c r="C194" s="1810"/>
      <c r="D194" s="1744"/>
      <c r="E194" s="1744"/>
      <c r="F194" s="1744"/>
      <c r="G194" s="1744"/>
      <c r="H194" s="1744"/>
      <c r="I194" s="1745">
        <f t="shared" si="36"/>
        <v>0</v>
      </c>
      <c r="J194" s="1802"/>
      <c r="K194" s="1816"/>
      <c r="L194" s="1028"/>
    </row>
    <row r="195" spans="1:12" hidden="1" outlineLevel="1" x14ac:dyDescent="0.25">
      <c r="A195" s="1844" t="s">
        <v>725</v>
      </c>
      <c r="B195" s="1826">
        <v>5169</v>
      </c>
      <c r="C195" s="1824"/>
      <c r="D195" s="1773"/>
      <c r="E195" s="1773"/>
      <c r="F195" s="1773"/>
      <c r="G195" s="1773"/>
      <c r="H195" s="1773"/>
      <c r="I195" s="1751">
        <f t="shared" si="36"/>
        <v>0</v>
      </c>
      <c r="J195" s="1802"/>
      <c r="K195" s="1816"/>
      <c r="L195" s="1028"/>
    </row>
    <row r="196" spans="1:12" ht="13.5" collapsed="1" thickBot="1" x14ac:dyDescent="0.3">
      <c r="A196" s="3178" t="s">
        <v>1197</v>
      </c>
      <c r="B196" s="3179"/>
      <c r="C196" s="1814"/>
      <c r="D196" s="1765">
        <v>0</v>
      </c>
      <c r="E196" s="1765">
        <v>0</v>
      </c>
      <c r="F196" s="1765">
        <v>0</v>
      </c>
      <c r="G196" s="1765">
        <v>0</v>
      </c>
      <c r="H196" s="1765">
        <f t="shared" ref="H196" si="48">SUM(H194:H195)</f>
        <v>0</v>
      </c>
      <c r="I196" s="1766">
        <f t="shared" si="36"/>
        <v>0</v>
      </c>
      <c r="J196" s="1815">
        <f>'Výdaje kapitol celkem'!DP34</f>
        <v>0</v>
      </c>
      <c r="K196" s="1816">
        <f>+J196-H196</f>
        <v>0</v>
      </c>
      <c r="L196" s="1028"/>
    </row>
    <row r="197" spans="1:12" hidden="1" outlineLevel="1" x14ac:dyDescent="0.25">
      <c r="A197" s="1835" t="s">
        <v>181</v>
      </c>
      <c r="B197" s="1809">
        <v>5169</v>
      </c>
      <c r="C197" s="1810" t="s">
        <v>1822</v>
      </c>
      <c r="D197" s="1744">
        <v>0</v>
      </c>
      <c r="E197" s="1744">
        <v>0</v>
      </c>
      <c r="F197" s="1744">
        <v>0</v>
      </c>
      <c r="G197" s="1744">
        <v>0</v>
      </c>
      <c r="H197" s="1744">
        <f>+'[6]TSÚ-Sběrný dvůr 3722-36'!$B$15</f>
        <v>0</v>
      </c>
      <c r="I197" s="1775">
        <f t="shared" si="36"/>
        <v>0</v>
      </c>
      <c r="J197" s="1802"/>
      <c r="K197" s="1816"/>
      <c r="L197" s="1028"/>
    </row>
    <row r="198" spans="1:12" hidden="1" outlineLevel="1" x14ac:dyDescent="0.25">
      <c r="A198" s="1841" t="s">
        <v>181</v>
      </c>
      <c r="B198" s="1812">
        <v>5169</v>
      </c>
      <c r="C198" s="1813" t="s">
        <v>1823</v>
      </c>
      <c r="D198" s="1746">
        <v>0</v>
      </c>
      <c r="E198" s="1746">
        <v>0</v>
      </c>
      <c r="F198" s="1746">
        <v>0</v>
      </c>
      <c r="G198" s="1746">
        <v>0</v>
      </c>
      <c r="H198" s="1746">
        <f>+'[6]TSÚ-Sběrný dvůr 3722-36'!$B$16</f>
        <v>0</v>
      </c>
      <c r="I198" s="1747">
        <f t="shared" si="36"/>
        <v>0</v>
      </c>
      <c r="J198" s="1802"/>
      <c r="K198" s="1816"/>
      <c r="L198" s="1028"/>
    </row>
    <row r="199" spans="1:12" hidden="1" outlineLevel="1" x14ac:dyDescent="0.25">
      <c r="A199" s="1841" t="s">
        <v>181</v>
      </c>
      <c r="B199" s="1818">
        <v>5169</v>
      </c>
      <c r="C199" s="1819" t="s">
        <v>1824</v>
      </c>
      <c r="D199" s="1752">
        <v>0</v>
      </c>
      <c r="E199" s="1752">
        <v>0</v>
      </c>
      <c r="F199" s="1752">
        <v>0</v>
      </c>
      <c r="G199" s="1752">
        <v>0</v>
      </c>
      <c r="H199" s="1752">
        <f>+'[6]TSÚ-Sběrný dvůr 3722-36'!$B$17</f>
        <v>0</v>
      </c>
      <c r="I199" s="1767">
        <f t="shared" si="36"/>
        <v>0</v>
      </c>
      <c r="J199" s="1802"/>
      <c r="K199" s="1816"/>
      <c r="L199" s="1028"/>
    </row>
    <row r="200" spans="1:12" hidden="1" outlineLevel="1" x14ac:dyDescent="0.25">
      <c r="A200" s="1844" t="s">
        <v>181</v>
      </c>
      <c r="B200" s="1826">
        <v>5169</v>
      </c>
      <c r="C200" s="1824"/>
      <c r="D200" s="1753"/>
      <c r="E200" s="1753"/>
      <c r="F200" s="1753"/>
      <c r="G200" s="1753"/>
      <c r="H200" s="1753"/>
      <c r="I200" s="1751">
        <f t="shared" si="36"/>
        <v>0</v>
      </c>
      <c r="J200" s="1802"/>
      <c r="K200" s="1816"/>
      <c r="L200" s="1028"/>
    </row>
    <row r="201" spans="1:12" ht="13.5" collapsed="1" thickBot="1" x14ac:dyDescent="0.3">
      <c r="A201" s="3178" t="s">
        <v>1213</v>
      </c>
      <c r="B201" s="3179"/>
      <c r="C201" s="1814"/>
      <c r="D201" s="1765">
        <v>0</v>
      </c>
      <c r="E201" s="1765">
        <v>0</v>
      </c>
      <c r="F201" s="1765">
        <v>0</v>
      </c>
      <c r="G201" s="1765">
        <v>0</v>
      </c>
      <c r="H201" s="1765">
        <f t="shared" ref="H201" si="49">SUM(H197:H200)</f>
        <v>0</v>
      </c>
      <c r="I201" s="1766">
        <f t="shared" si="36"/>
        <v>0</v>
      </c>
      <c r="J201" s="1815">
        <f>'Výdaje kapitol celkem'!DU34</f>
        <v>0</v>
      </c>
      <c r="K201" s="1816">
        <f>+J201-H201</f>
        <v>0</v>
      </c>
      <c r="L201" s="1028"/>
    </row>
    <row r="202" spans="1:12" outlineLevel="1" x14ac:dyDescent="0.25">
      <c r="A202" s="1835">
        <v>3114</v>
      </c>
      <c r="B202" s="1809">
        <v>5169</v>
      </c>
      <c r="C202" s="1810" t="s">
        <v>1771</v>
      </c>
      <c r="D202" s="1744">
        <v>50000</v>
      </c>
      <c r="E202" s="1744">
        <v>50000</v>
      </c>
      <c r="F202" s="1744">
        <v>50000</v>
      </c>
      <c r="G202" s="1744">
        <v>50000</v>
      </c>
      <c r="H202" s="1744">
        <f>+'[4]Č.p. 65'!$B$5</f>
        <v>50000</v>
      </c>
      <c r="I202" s="1745">
        <f t="shared" ref="I202:I210" si="50">+H202-G202</f>
        <v>0</v>
      </c>
      <c r="J202" s="1802"/>
      <c r="K202" s="1816"/>
      <c r="L202" s="1028"/>
    </row>
    <row r="203" spans="1:12" outlineLevel="1" x14ac:dyDescent="0.25">
      <c r="A203" s="1841">
        <v>3114</v>
      </c>
      <c r="B203" s="1818">
        <v>5169</v>
      </c>
      <c r="C203" s="1819" t="s">
        <v>1772</v>
      </c>
      <c r="D203" s="1752">
        <v>10000</v>
      </c>
      <c r="E203" s="1752">
        <v>10000</v>
      </c>
      <c r="F203" s="1752">
        <v>10000</v>
      </c>
      <c r="G203" s="1752">
        <v>10000</v>
      </c>
      <c r="H203" s="1752">
        <f>+'[4]Č.p. 65'!$B$6</f>
        <v>10000</v>
      </c>
      <c r="I203" s="1768">
        <f t="shared" si="50"/>
        <v>0</v>
      </c>
      <c r="J203" s="1802"/>
      <c r="K203" s="1816"/>
      <c r="L203" s="1028"/>
    </row>
    <row r="204" spans="1:12" outlineLevel="1" x14ac:dyDescent="0.25">
      <c r="A204" s="1844">
        <v>3114</v>
      </c>
      <c r="B204" s="1826">
        <v>5169</v>
      </c>
      <c r="C204" s="1824" t="s">
        <v>1809</v>
      </c>
      <c r="D204" s="1753">
        <v>20000</v>
      </c>
      <c r="E204" s="1753">
        <v>20000</v>
      </c>
      <c r="F204" s="1753">
        <v>20000</v>
      </c>
      <c r="G204" s="1753">
        <v>20000</v>
      </c>
      <c r="H204" s="1753">
        <f>+[3]č.p.65!$B$26</f>
        <v>20000</v>
      </c>
      <c r="I204" s="1768">
        <f t="shared" si="50"/>
        <v>0</v>
      </c>
      <c r="J204" s="1802"/>
      <c r="K204" s="1816"/>
      <c r="L204" s="1028"/>
    </row>
    <row r="205" spans="1:12" ht="13.5" thickBot="1" x14ac:dyDescent="0.3">
      <c r="A205" s="3178" t="s">
        <v>211</v>
      </c>
      <c r="B205" s="3179"/>
      <c r="C205" s="1814"/>
      <c r="D205" s="1765">
        <v>80000</v>
      </c>
      <c r="E205" s="1765">
        <v>80000</v>
      </c>
      <c r="F205" s="1765">
        <v>80000</v>
      </c>
      <c r="G205" s="1765">
        <v>80000</v>
      </c>
      <c r="H205" s="1765">
        <f t="shared" ref="H205" si="51">SUM(H202:H204)</f>
        <v>80000</v>
      </c>
      <c r="I205" s="1766">
        <f t="shared" si="50"/>
        <v>0</v>
      </c>
      <c r="J205" s="1815">
        <f>'Výdaje kapitol celkem'!BI34</f>
        <v>80000</v>
      </c>
      <c r="K205" s="1816">
        <f>+J205-H205</f>
        <v>0</v>
      </c>
      <c r="L205" s="1028"/>
    </row>
    <row r="206" spans="1:12" hidden="1" outlineLevel="1" x14ac:dyDescent="0.25">
      <c r="A206" s="1844" t="s">
        <v>197</v>
      </c>
      <c r="B206" s="1826">
        <v>5169</v>
      </c>
      <c r="C206" s="1824"/>
      <c r="D206" s="1753"/>
      <c r="E206" s="1753"/>
      <c r="F206" s="1753"/>
      <c r="G206" s="1753"/>
      <c r="H206" s="1753"/>
      <c r="I206" s="1747">
        <f t="shared" si="50"/>
        <v>0</v>
      </c>
      <c r="J206" s="1802"/>
      <c r="K206" s="1816"/>
      <c r="L206" s="1028"/>
    </row>
    <row r="207" spans="1:12" hidden="1" outlineLevel="1" x14ac:dyDescent="0.25">
      <c r="A207" s="1841" t="s">
        <v>197</v>
      </c>
      <c r="B207" s="1818">
        <v>5169</v>
      </c>
      <c r="C207" s="1819"/>
      <c r="D207" s="1752"/>
      <c r="E207" s="1752"/>
      <c r="F207" s="1752"/>
      <c r="G207" s="1752"/>
      <c r="H207" s="1752"/>
      <c r="I207" s="1767">
        <f t="shared" si="50"/>
        <v>0</v>
      </c>
      <c r="J207" s="1802"/>
      <c r="K207" s="1816"/>
      <c r="L207" s="1028"/>
    </row>
    <row r="208" spans="1:12" hidden="1" outlineLevel="1" x14ac:dyDescent="0.25">
      <c r="A208" s="1836" t="s">
        <v>197</v>
      </c>
      <c r="B208" s="1812">
        <v>5169</v>
      </c>
      <c r="C208" s="1813"/>
      <c r="D208" s="1750"/>
      <c r="E208" s="1750"/>
      <c r="F208" s="1750"/>
      <c r="G208" s="1750"/>
      <c r="H208" s="1750"/>
      <c r="I208" s="1751">
        <f t="shared" si="50"/>
        <v>0</v>
      </c>
      <c r="J208" s="1802"/>
      <c r="K208" s="1816"/>
      <c r="L208" s="1028"/>
    </row>
    <row r="209" spans="1:12" ht="13.5" collapsed="1" thickBot="1" x14ac:dyDescent="0.3">
      <c r="A209" s="3178" t="s">
        <v>214</v>
      </c>
      <c r="B209" s="3179"/>
      <c r="C209" s="1814"/>
      <c r="D209" s="1765">
        <v>0</v>
      </c>
      <c r="E209" s="1765">
        <v>0</v>
      </c>
      <c r="F209" s="1765">
        <v>0</v>
      </c>
      <c r="G209" s="1765">
        <v>0</v>
      </c>
      <c r="H209" s="1765">
        <f t="shared" ref="H209" si="52">SUM(H206:H208)</f>
        <v>0</v>
      </c>
      <c r="I209" s="1766">
        <f t="shared" si="50"/>
        <v>0</v>
      </c>
      <c r="J209" s="1815">
        <f>'Výdaje kapitol celkem'!CM34</f>
        <v>0</v>
      </c>
      <c r="K209" s="1816">
        <f>+J209-H209</f>
        <v>0</v>
      </c>
      <c r="L209" s="1028"/>
    </row>
    <row r="210" spans="1:12" s="1029" customFormat="1" ht="13.5" thickBot="1" x14ac:dyDescent="0.3">
      <c r="A210" s="3173" t="s">
        <v>500</v>
      </c>
      <c r="B210" s="3174"/>
      <c r="C210" s="3175"/>
      <c r="D210" s="1755">
        <v>18463600</v>
      </c>
      <c r="E210" s="1755">
        <v>18463600</v>
      </c>
      <c r="F210" s="1755">
        <v>18463600</v>
      </c>
      <c r="G210" s="1755">
        <v>19513600</v>
      </c>
      <c r="H210" s="1755">
        <f>+H7+H10+H24+H27+H36+H40+H43+H46+H49+H56+H59+H62+H69+H74+H77+H81+H85+H91+H105+H108+H111+H114+H118+H121+H124+H127+H133+H139+H143+H146+H152+H156+H160+H163+H172+H176+H179+H183+H187+H201+H205+H209+H193+H18+H196+H190+H100+H95+H66+H33+H30+H14</f>
        <v>19651807</v>
      </c>
      <c r="I210" s="1756">
        <f t="shared" si="50"/>
        <v>138207</v>
      </c>
      <c r="J210" s="1815"/>
      <c r="K210" s="1827"/>
      <c r="L210" s="1028"/>
    </row>
    <row r="211" spans="1:12" x14ac:dyDescent="0.25">
      <c r="A211" s="1801"/>
      <c r="B211" s="1801"/>
      <c r="C211" s="1801"/>
      <c r="D211" s="1776">
        <v>18463600</v>
      </c>
      <c r="E211" s="1776">
        <v>18463600</v>
      </c>
      <c r="F211" s="1776">
        <v>18463600</v>
      </c>
      <c r="G211" s="1776">
        <v>19513600</v>
      </c>
      <c r="H211" s="1776">
        <f>'Výdaje kapitol celkem'!G34</f>
        <v>19651807</v>
      </c>
      <c r="I211" s="1764"/>
      <c r="J211" s="1802"/>
      <c r="K211" s="1803"/>
    </row>
    <row r="212" spans="1:12" s="1031" customFormat="1" x14ac:dyDescent="0.25">
      <c r="A212" s="1829"/>
      <c r="B212" s="1829"/>
      <c r="C212" s="1829" t="s">
        <v>216</v>
      </c>
      <c r="D212" s="1764">
        <v>0</v>
      </c>
      <c r="E212" s="1764">
        <v>0</v>
      </c>
      <c r="F212" s="1764">
        <v>0</v>
      </c>
      <c r="G212" s="1764">
        <v>0</v>
      </c>
      <c r="H212" s="1764">
        <f>+H211-H210</f>
        <v>0</v>
      </c>
      <c r="I212" s="1764"/>
      <c r="J212" s="1802"/>
      <c r="K212" s="1803"/>
    </row>
    <row r="213" spans="1:12" x14ac:dyDescent="0.25">
      <c r="A213" s="1847" t="s">
        <v>544</v>
      </c>
      <c r="B213" s="1801"/>
      <c r="C213" s="1801"/>
      <c r="D213" s="1776"/>
      <c r="E213" s="1776"/>
      <c r="F213" s="1776"/>
      <c r="G213" s="1776"/>
      <c r="H213" s="1776"/>
      <c r="I213" s="1764"/>
      <c r="J213" s="1802"/>
      <c r="K213" s="1803"/>
    </row>
  </sheetData>
  <sheetProtection algorithmName="SHA-512" hashValue="RWG4lVIVqhiDZLWaRgc7AspZ8Kx1CYdZR0zYdpTXS9FqDURvGlKRKxAvwNWTNLqF4tauUP5MtLYwBEZH+VleIg==" saltValue="kaxLiPG5c5Qd+70Rf9AI9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4">
    <mergeCell ref="A30:B30"/>
    <mergeCell ref="A33:B33"/>
    <mergeCell ref="A2:C2"/>
    <mergeCell ref="A210:C210"/>
    <mergeCell ref="A7:B7"/>
    <mergeCell ref="A10:B10"/>
    <mergeCell ref="A18:B18"/>
    <mergeCell ref="A24:B24"/>
    <mergeCell ref="A27:B27"/>
    <mergeCell ref="A36:B36"/>
    <mergeCell ref="A40:B40"/>
    <mergeCell ref="A43:B43"/>
    <mergeCell ref="A46:B46"/>
    <mergeCell ref="A49:B49"/>
    <mergeCell ref="A56:B56"/>
    <mergeCell ref="A59:B59"/>
    <mergeCell ref="A62:B62"/>
    <mergeCell ref="A69:B69"/>
    <mergeCell ref="A74:B74"/>
    <mergeCell ref="A77:B77"/>
    <mergeCell ref="A81:B81"/>
    <mergeCell ref="A66:B66"/>
    <mergeCell ref="A146:B146"/>
    <mergeCell ref="A85:B85"/>
    <mergeCell ref="A91:B91"/>
    <mergeCell ref="A95:B95"/>
    <mergeCell ref="A100:B100"/>
    <mergeCell ref="A105:B105"/>
    <mergeCell ref="A176:B176"/>
    <mergeCell ref="A196:B196"/>
    <mergeCell ref="A201:B201"/>
    <mergeCell ref="A205:B205"/>
    <mergeCell ref="A209:B209"/>
    <mergeCell ref="A179:B179"/>
    <mergeCell ref="A183:B183"/>
    <mergeCell ref="A187:B187"/>
    <mergeCell ref="A190:B190"/>
    <mergeCell ref="A193:B193"/>
    <mergeCell ref="A14:B14"/>
    <mergeCell ref="A156:B156"/>
    <mergeCell ref="A160:B160"/>
    <mergeCell ref="A163:B163"/>
    <mergeCell ref="A172:B172"/>
    <mergeCell ref="A152:B152"/>
    <mergeCell ref="A114:B114"/>
    <mergeCell ref="A118:B118"/>
    <mergeCell ref="A121:B121"/>
    <mergeCell ref="A124:B124"/>
    <mergeCell ref="A127:B127"/>
    <mergeCell ref="A133:B133"/>
    <mergeCell ref="A108:B108"/>
    <mergeCell ref="A111:B111"/>
    <mergeCell ref="A139:B139"/>
    <mergeCell ref="A143:B143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77" fitToHeight="3" orientation="landscape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L162"/>
  <sheetViews>
    <sheetView topLeftCell="A25" zoomScale="99" zoomScaleNormal="99" workbookViewId="0">
      <selection activeCell="G168" sqref="G168"/>
    </sheetView>
  </sheetViews>
  <sheetFormatPr defaultColWidth="9" defaultRowHeight="12.75" outlineLevelRow="1" x14ac:dyDescent="0.25"/>
  <cols>
    <col min="1" max="1" width="17" style="1834" customWidth="1"/>
    <col min="2" max="2" width="10" style="1831" customWidth="1"/>
    <col min="3" max="3" width="54" style="1831" customWidth="1"/>
    <col min="4" max="6" width="11.28515625" style="1777" hidden="1" customWidth="1"/>
    <col min="7" max="7" width="11.28515625" style="1777" customWidth="1"/>
    <col min="8" max="8" width="11.28515625" style="1777" bestFit="1" customWidth="1"/>
    <col min="9" max="9" width="10.85546875" style="1778" bestFit="1" customWidth="1"/>
    <col min="10" max="10" width="11.28515625" style="1832" bestFit="1" customWidth="1"/>
    <col min="11" max="11" width="19.5703125" style="1833" bestFit="1" customWidth="1"/>
    <col min="12" max="16384" width="9" style="1026"/>
  </cols>
  <sheetData>
    <row r="1" spans="1:12" s="1018" customFormat="1" ht="24" customHeight="1" x14ac:dyDescent="0.25">
      <c r="A1" s="2112" t="s">
        <v>2163</v>
      </c>
      <c r="B1" s="1859"/>
      <c r="C1" s="1759"/>
      <c r="D1" s="1759"/>
      <c r="E1" s="1759"/>
      <c r="F1" s="1759"/>
      <c r="G1" s="1759"/>
      <c r="H1" s="1759"/>
      <c r="I1" s="1760"/>
      <c r="J1" s="1796"/>
      <c r="K1" s="1797"/>
    </row>
    <row r="2" spans="1:12" s="1021" customFormat="1" ht="20.25" customHeight="1" x14ac:dyDescent="0.25">
      <c r="A2" s="3168" t="s">
        <v>545</v>
      </c>
      <c r="B2" s="3168"/>
      <c r="C2" s="3169"/>
      <c r="D2" s="1761"/>
      <c r="E2" s="1761"/>
      <c r="F2" s="1761"/>
      <c r="G2" s="1761"/>
      <c r="H2" s="1761"/>
      <c r="I2" s="1762"/>
      <c r="J2" s="1798"/>
      <c r="K2" s="1799"/>
    </row>
    <row r="3" spans="1:12" ht="13.5" thickBot="1" x14ac:dyDescent="0.3">
      <c r="A3" s="1800"/>
      <c r="B3" s="1801"/>
      <c r="C3" s="1801"/>
      <c r="D3" s="1776"/>
      <c r="E3" s="1776"/>
      <c r="F3" s="1776"/>
      <c r="G3" s="1776"/>
      <c r="H3" s="1776"/>
      <c r="I3" s="1764"/>
      <c r="J3" s="1802"/>
      <c r="K3" s="1803"/>
    </row>
    <row r="4" spans="1:12" ht="20.65" customHeight="1" thickBot="1" x14ac:dyDescent="0.3">
      <c r="A4" s="1804" t="s">
        <v>1</v>
      </c>
      <c r="B4" s="1805" t="s">
        <v>63</v>
      </c>
      <c r="C4" s="1806" t="s">
        <v>6</v>
      </c>
      <c r="D4" s="1742" t="s">
        <v>2166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 t="s">
        <v>762</v>
      </c>
      <c r="K4" s="1803" t="s">
        <v>707</v>
      </c>
    </row>
    <row r="5" spans="1:12" outlineLevel="1" x14ac:dyDescent="0.25">
      <c r="A5" s="1808">
        <v>6171</v>
      </c>
      <c r="B5" s="1809">
        <v>5171</v>
      </c>
      <c r="C5" s="1810" t="s">
        <v>1806</v>
      </c>
      <c r="D5" s="1744">
        <v>50000</v>
      </c>
      <c r="E5" s="1744">
        <v>50000</v>
      </c>
      <c r="F5" s="1744">
        <v>50000</v>
      </c>
      <c r="G5" s="1744">
        <v>50000</v>
      </c>
      <c r="H5" s="1744">
        <f>+[4]Správa!$B$12</f>
        <v>50000</v>
      </c>
      <c r="I5" s="1745">
        <f>+H5-G5</f>
        <v>0</v>
      </c>
      <c r="J5" s="1802"/>
      <c r="K5" s="1803"/>
    </row>
    <row r="6" spans="1:12" outlineLevel="1" x14ac:dyDescent="0.25">
      <c r="A6" s="1811">
        <v>6171</v>
      </c>
      <c r="B6" s="1812">
        <v>5171</v>
      </c>
      <c r="C6" s="1813" t="s">
        <v>1841</v>
      </c>
      <c r="D6" s="1746">
        <v>420000</v>
      </c>
      <c r="E6" s="1746">
        <v>420000</v>
      </c>
      <c r="F6" s="1746">
        <v>420000</v>
      </c>
      <c r="G6" s="1746">
        <v>420000</v>
      </c>
      <c r="H6" s="1746">
        <f>+[3]Správa!$B$70</f>
        <v>420000</v>
      </c>
      <c r="I6" s="1747">
        <f t="shared" ref="I6:I69" si="0">+H6-G6</f>
        <v>0</v>
      </c>
      <c r="J6" s="1802"/>
      <c r="K6" s="1803"/>
    </row>
    <row r="7" spans="1:12" outlineLevel="1" x14ac:dyDescent="0.25">
      <c r="A7" s="1811">
        <v>6171</v>
      </c>
      <c r="B7" s="1812">
        <v>5171</v>
      </c>
      <c r="C7" s="1813" t="s">
        <v>1842</v>
      </c>
      <c r="D7" s="1746">
        <v>30000</v>
      </c>
      <c r="E7" s="1746">
        <v>30000</v>
      </c>
      <c r="F7" s="1746">
        <v>30000</v>
      </c>
      <c r="G7" s="1746">
        <v>30000</v>
      </c>
      <c r="H7" s="1746">
        <f>+[3]Správa!$B$71</f>
        <v>30000</v>
      </c>
      <c r="I7" s="1747">
        <f t="shared" si="0"/>
        <v>0</v>
      </c>
      <c r="J7" s="1802"/>
      <c r="K7" s="1803"/>
    </row>
    <row r="8" spans="1:12" s="1029" customFormat="1" ht="13.5" thickBot="1" x14ac:dyDescent="0.3">
      <c r="A8" s="3180" t="s">
        <v>212</v>
      </c>
      <c r="B8" s="3181"/>
      <c r="C8" s="1814"/>
      <c r="D8" s="1765">
        <v>500000</v>
      </c>
      <c r="E8" s="1765">
        <v>500000</v>
      </c>
      <c r="F8" s="1765">
        <v>500000</v>
      </c>
      <c r="G8" s="1765">
        <v>500000</v>
      </c>
      <c r="H8" s="1765">
        <f t="shared" ref="H8" si="1">SUM(H5:H7)</f>
        <v>500000</v>
      </c>
      <c r="I8" s="1766">
        <f t="shared" si="0"/>
        <v>0</v>
      </c>
      <c r="J8" s="1815">
        <f>'Výdaje kapitol celkem'!Q35</f>
        <v>500000</v>
      </c>
      <c r="K8" s="1816">
        <f>+J8-H8</f>
        <v>0</v>
      </c>
      <c r="L8" s="1028"/>
    </row>
    <row r="9" spans="1:12" outlineLevel="1" x14ac:dyDescent="0.25">
      <c r="A9" s="1808">
        <v>4351</v>
      </c>
      <c r="B9" s="1809">
        <v>5171</v>
      </c>
      <c r="C9" s="1810" t="s">
        <v>1843</v>
      </c>
      <c r="D9" s="1744">
        <v>60000</v>
      </c>
      <c r="E9" s="1744">
        <v>60000</v>
      </c>
      <c r="F9" s="1744">
        <v>60000</v>
      </c>
      <c r="G9" s="1744">
        <v>60000</v>
      </c>
      <c r="H9" s="1744">
        <f>+'[3]Pečovatelská služba'!$B$60</f>
        <v>60000</v>
      </c>
      <c r="I9" s="1745">
        <f t="shared" si="0"/>
        <v>0</v>
      </c>
      <c r="J9" s="1802"/>
      <c r="K9" s="1816"/>
      <c r="L9" s="1028"/>
    </row>
    <row r="10" spans="1:12" hidden="1" outlineLevel="1" x14ac:dyDescent="0.25">
      <c r="A10" s="1811">
        <v>4351</v>
      </c>
      <c r="B10" s="1812">
        <v>5171</v>
      </c>
      <c r="C10" s="1813" t="s">
        <v>1844</v>
      </c>
      <c r="D10" s="1746"/>
      <c r="E10" s="1746"/>
      <c r="F10" s="1746"/>
      <c r="G10" s="1746"/>
      <c r="H10" s="1746"/>
      <c r="I10" s="1747">
        <f t="shared" si="0"/>
        <v>0</v>
      </c>
      <c r="J10" s="1802"/>
      <c r="K10" s="1816"/>
      <c r="L10" s="1028"/>
    </row>
    <row r="11" spans="1:12" outlineLevel="1" x14ac:dyDescent="0.25">
      <c r="A11" s="1811">
        <v>4351</v>
      </c>
      <c r="B11" s="1812">
        <v>5171</v>
      </c>
      <c r="C11" s="1813"/>
      <c r="D11" s="1750">
        <v>0</v>
      </c>
      <c r="E11" s="1750">
        <v>0</v>
      </c>
      <c r="F11" s="1750">
        <v>0</v>
      </c>
      <c r="G11" s="1750">
        <v>0</v>
      </c>
      <c r="H11" s="1750">
        <f>+'[3]Pečovatelská služba'!$B$61</f>
        <v>0</v>
      </c>
      <c r="I11" s="1751">
        <f t="shared" si="0"/>
        <v>0</v>
      </c>
      <c r="J11" s="1802"/>
      <c r="K11" s="1816"/>
      <c r="L11" s="1028"/>
    </row>
    <row r="12" spans="1:12" s="1029" customFormat="1" ht="13.5" thickBot="1" x14ac:dyDescent="0.3">
      <c r="A12" s="3180" t="s">
        <v>213</v>
      </c>
      <c r="B12" s="3181"/>
      <c r="C12" s="1814"/>
      <c r="D12" s="1765">
        <v>60000</v>
      </c>
      <c r="E12" s="1765">
        <v>60000</v>
      </c>
      <c r="F12" s="1765">
        <v>60000</v>
      </c>
      <c r="G12" s="1765">
        <v>60000</v>
      </c>
      <c r="H12" s="1765">
        <f t="shared" ref="H12" si="2">SUM(H9:H11)</f>
        <v>60000</v>
      </c>
      <c r="I12" s="1766">
        <f t="shared" si="0"/>
        <v>0</v>
      </c>
      <c r="J12" s="1815">
        <f>'Výdaje kapitol celkem'!V35</f>
        <v>60000</v>
      </c>
      <c r="K12" s="1816">
        <f>+J12-H12</f>
        <v>0</v>
      </c>
      <c r="L12" s="1028"/>
    </row>
    <row r="13" spans="1:12" outlineLevel="1" x14ac:dyDescent="0.25">
      <c r="A13" s="1808" t="s">
        <v>196</v>
      </c>
      <c r="B13" s="1809">
        <v>5171</v>
      </c>
      <c r="C13" s="1810" t="s">
        <v>1845</v>
      </c>
      <c r="D13" s="1744">
        <v>120000</v>
      </c>
      <c r="E13" s="1744">
        <v>120000</v>
      </c>
      <c r="F13" s="1744">
        <v>120000</v>
      </c>
      <c r="G13" s="1744">
        <v>120000</v>
      </c>
      <c r="H13" s="1744">
        <f>+'[3]Městská policie'!$B$86</f>
        <v>120000</v>
      </c>
      <c r="I13" s="1745">
        <f t="shared" si="0"/>
        <v>0</v>
      </c>
      <c r="J13" s="1802"/>
      <c r="K13" s="1816"/>
      <c r="L13" s="1028"/>
    </row>
    <row r="14" spans="1:12" outlineLevel="1" x14ac:dyDescent="0.25">
      <c r="A14" s="1811" t="s">
        <v>196</v>
      </c>
      <c r="B14" s="1812">
        <v>5171</v>
      </c>
      <c r="C14" s="1813"/>
      <c r="D14" s="1750">
        <v>0</v>
      </c>
      <c r="E14" s="1750">
        <v>0</v>
      </c>
      <c r="F14" s="1750">
        <v>0</v>
      </c>
      <c r="G14" s="1750">
        <v>0</v>
      </c>
      <c r="H14" s="1750">
        <f>+'[3]Městská policie'!$B$87</f>
        <v>0</v>
      </c>
      <c r="I14" s="1751">
        <f t="shared" si="0"/>
        <v>0</v>
      </c>
      <c r="J14" s="1802"/>
      <c r="K14" s="1816"/>
      <c r="L14" s="1028"/>
    </row>
    <row r="15" spans="1:12" s="1029" customFormat="1" ht="13.5" thickBot="1" x14ac:dyDescent="0.3">
      <c r="A15" s="3180" t="s">
        <v>1176</v>
      </c>
      <c r="B15" s="3181"/>
      <c r="C15" s="1814"/>
      <c r="D15" s="1765">
        <v>120000</v>
      </c>
      <c r="E15" s="1765">
        <v>120000</v>
      </c>
      <c r="F15" s="1765">
        <v>120000</v>
      </c>
      <c r="G15" s="1765">
        <v>120000</v>
      </c>
      <c r="H15" s="1765">
        <f t="shared" ref="H15" si="3">SUM(H13:H14)</f>
        <v>120000</v>
      </c>
      <c r="I15" s="1766">
        <f t="shared" si="0"/>
        <v>0</v>
      </c>
      <c r="J15" s="1815">
        <f>'Výdaje kapitol celkem'!Y35</f>
        <v>120000</v>
      </c>
      <c r="K15" s="1816">
        <f>+J15-H15</f>
        <v>0</v>
      </c>
      <c r="L15" s="1028"/>
    </row>
    <row r="16" spans="1:12" outlineLevel="1" x14ac:dyDescent="0.25">
      <c r="A16" s="1808">
        <v>3314</v>
      </c>
      <c r="B16" s="1809">
        <v>5171</v>
      </c>
      <c r="C16" s="1810"/>
      <c r="D16" s="1744">
        <v>15000</v>
      </c>
      <c r="E16" s="1744">
        <v>15000</v>
      </c>
      <c r="F16" s="1744">
        <v>15000</v>
      </c>
      <c r="G16" s="1744">
        <v>15000</v>
      </c>
      <c r="H16" s="1744">
        <f>+[3]Knihovna!$B$62</f>
        <v>15000</v>
      </c>
      <c r="I16" s="1745">
        <f t="shared" si="0"/>
        <v>0</v>
      </c>
      <c r="J16" s="1802"/>
      <c r="K16" s="1816"/>
      <c r="L16" s="1028"/>
    </row>
    <row r="17" spans="1:12" outlineLevel="1" x14ac:dyDescent="0.25">
      <c r="A17" s="1811">
        <v>3314</v>
      </c>
      <c r="B17" s="1812">
        <v>5171</v>
      </c>
      <c r="C17" s="1813" t="s">
        <v>2296</v>
      </c>
      <c r="D17" s="1746">
        <v>15000</v>
      </c>
      <c r="E17" s="1746">
        <v>15000</v>
      </c>
      <c r="F17" s="1746">
        <v>15000</v>
      </c>
      <c r="G17" s="1746">
        <v>15000</v>
      </c>
      <c r="H17" s="1746">
        <f>+[3]Knihovna!$B$63</f>
        <v>15000</v>
      </c>
      <c r="I17" s="1751">
        <f t="shared" si="0"/>
        <v>0</v>
      </c>
      <c r="J17" s="1802"/>
      <c r="K17" s="1816"/>
      <c r="L17" s="1028"/>
    </row>
    <row r="18" spans="1:12" s="1029" customFormat="1" ht="13.5" thickBot="1" x14ac:dyDescent="0.3">
      <c r="A18" s="3180" t="s">
        <v>1177</v>
      </c>
      <c r="B18" s="3181"/>
      <c r="C18" s="1814"/>
      <c r="D18" s="1765">
        <v>30000</v>
      </c>
      <c r="E18" s="1765">
        <v>30000</v>
      </c>
      <c r="F18" s="1765">
        <v>30000</v>
      </c>
      <c r="G18" s="1765">
        <v>30000</v>
      </c>
      <c r="H18" s="1765">
        <f t="shared" ref="H18" si="4">SUM(H16:H17)</f>
        <v>30000</v>
      </c>
      <c r="I18" s="1766">
        <f t="shared" si="0"/>
        <v>0</v>
      </c>
      <c r="J18" s="1815">
        <f>'Výdaje kapitol celkem'!AB35</f>
        <v>30000</v>
      </c>
      <c r="K18" s="1816">
        <f>+J18-H18</f>
        <v>0</v>
      </c>
      <c r="L18" s="1028"/>
    </row>
    <row r="19" spans="1:12" outlineLevel="1" x14ac:dyDescent="0.25">
      <c r="A19" s="1808">
        <v>3612</v>
      </c>
      <c r="B19" s="1809">
        <v>5171</v>
      </c>
      <c r="C19" s="1810" t="s">
        <v>1799</v>
      </c>
      <c r="D19" s="1744">
        <v>400000</v>
      </c>
      <c r="E19" s="1744">
        <v>430000</v>
      </c>
      <c r="F19" s="1744">
        <v>430000</v>
      </c>
      <c r="G19" s="1744">
        <v>430000</v>
      </c>
      <c r="H19" s="1744">
        <f>+[4]Byty!$B$33</f>
        <v>430000</v>
      </c>
      <c r="I19" s="1745">
        <f t="shared" si="0"/>
        <v>0</v>
      </c>
      <c r="J19" s="1802"/>
      <c r="K19" s="1816"/>
      <c r="L19" s="1028"/>
    </row>
    <row r="20" spans="1:12" outlineLevel="1" x14ac:dyDescent="0.25">
      <c r="A20" s="1811">
        <v>3612</v>
      </c>
      <c r="B20" s="1812">
        <v>5171</v>
      </c>
      <c r="C20" s="1813" t="s">
        <v>1800</v>
      </c>
      <c r="D20" s="1746">
        <v>100000</v>
      </c>
      <c r="E20" s="1746">
        <v>100000</v>
      </c>
      <c r="F20" s="1746">
        <v>100000</v>
      </c>
      <c r="G20" s="1746">
        <v>100000</v>
      </c>
      <c r="H20" s="1746">
        <f>+[4]Byty!$B$34</f>
        <v>100000</v>
      </c>
      <c r="I20" s="1747">
        <f t="shared" si="0"/>
        <v>0</v>
      </c>
      <c r="J20" s="1802"/>
      <c r="K20" s="1816"/>
      <c r="L20" s="1028"/>
    </row>
    <row r="21" spans="1:12" ht="24.75" outlineLevel="1" x14ac:dyDescent="0.25">
      <c r="A21" s="1817">
        <v>3612</v>
      </c>
      <c r="B21" s="1818">
        <v>5171</v>
      </c>
      <c r="C21" s="1819" t="s">
        <v>1801</v>
      </c>
      <c r="D21" s="1752">
        <v>50000</v>
      </c>
      <c r="E21" s="1752">
        <v>50000</v>
      </c>
      <c r="F21" s="1752">
        <v>50000</v>
      </c>
      <c r="G21" s="1752">
        <v>50000</v>
      </c>
      <c r="H21" s="1752">
        <f>+[4]Byty!$B$35</f>
        <v>50000</v>
      </c>
      <c r="I21" s="1767">
        <f t="shared" si="0"/>
        <v>0</v>
      </c>
      <c r="J21" s="1802"/>
      <c r="K21" s="1816"/>
      <c r="L21" s="1028"/>
    </row>
    <row r="22" spans="1:12" outlineLevel="1" x14ac:dyDescent="0.25">
      <c r="A22" s="1817">
        <v>3612</v>
      </c>
      <c r="B22" s="1818">
        <v>5171</v>
      </c>
      <c r="C22" s="1819" t="s">
        <v>1802</v>
      </c>
      <c r="D22" s="1752">
        <v>160000</v>
      </c>
      <c r="E22" s="1752">
        <v>160000</v>
      </c>
      <c r="F22" s="1752">
        <v>160000</v>
      </c>
      <c r="G22" s="1752">
        <v>160000</v>
      </c>
      <c r="H22" s="1752">
        <f>+[4]Byty!$B$36</f>
        <v>160000</v>
      </c>
      <c r="I22" s="1767">
        <f t="shared" si="0"/>
        <v>0</v>
      </c>
      <c r="J22" s="1802"/>
      <c r="K22" s="1816"/>
      <c r="L22" s="1028"/>
    </row>
    <row r="23" spans="1:12" outlineLevel="1" x14ac:dyDescent="0.25">
      <c r="A23" s="1817">
        <v>3612</v>
      </c>
      <c r="B23" s="1818">
        <v>5171</v>
      </c>
      <c r="C23" s="1819" t="s">
        <v>1803</v>
      </c>
      <c r="D23" s="1752">
        <v>500000</v>
      </c>
      <c r="E23" s="1752">
        <v>500000</v>
      </c>
      <c r="F23" s="1752">
        <v>500000</v>
      </c>
      <c r="G23" s="1752">
        <v>1050000</v>
      </c>
      <c r="H23" s="1752">
        <f>+[4]Byty!$B$37</f>
        <v>1050000</v>
      </c>
      <c r="I23" s="1767">
        <f t="shared" si="0"/>
        <v>0</v>
      </c>
      <c r="J23" s="1802"/>
      <c r="K23" s="1816"/>
      <c r="L23" s="1028"/>
    </row>
    <row r="24" spans="1:12" outlineLevel="1" x14ac:dyDescent="0.25">
      <c r="A24" s="1820">
        <v>3612</v>
      </c>
      <c r="B24" s="1818">
        <v>5171</v>
      </c>
      <c r="C24" s="1821" t="s">
        <v>1804</v>
      </c>
      <c r="D24" s="1769">
        <v>500000</v>
      </c>
      <c r="E24" s="1769">
        <v>500000</v>
      </c>
      <c r="F24" s="1769">
        <v>500000</v>
      </c>
      <c r="G24" s="1769">
        <v>900000</v>
      </c>
      <c r="H24" s="1769">
        <f>+[4]Byty!$B$38</f>
        <v>900000</v>
      </c>
      <c r="I24" s="1779">
        <f t="shared" si="0"/>
        <v>0</v>
      </c>
      <c r="J24" s="1802"/>
      <c r="K24" s="1816"/>
      <c r="L24" s="1028"/>
    </row>
    <row r="25" spans="1:12" s="1029" customFormat="1" ht="13.5" thickBot="1" x14ac:dyDescent="0.3">
      <c r="A25" s="3180" t="s">
        <v>199</v>
      </c>
      <c r="B25" s="3181"/>
      <c r="C25" s="1814"/>
      <c r="D25" s="1765">
        <v>1710000</v>
      </c>
      <c r="E25" s="1765">
        <v>1740000</v>
      </c>
      <c r="F25" s="1765">
        <v>1740000</v>
      </c>
      <c r="G25" s="1765">
        <v>2690000</v>
      </c>
      <c r="H25" s="1765">
        <f>SUM(H19:H24)</f>
        <v>2690000</v>
      </c>
      <c r="I25" s="1766">
        <f t="shared" si="0"/>
        <v>0</v>
      </c>
      <c r="J25" s="1815">
        <f>'Výdaje kapitol celkem'!AE35</f>
        <v>2690000</v>
      </c>
      <c r="K25" s="1816">
        <f>+J25-H25</f>
        <v>0</v>
      </c>
      <c r="L25" s="1028"/>
    </row>
    <row r="26" spans="1:12" outlineLevel="1" x14ac:dyDescent="0.25">
      <c r="A26" s="1817" t="s">
        <v>198</v>
      </c>
      <c r="B26" s="1818">
        <v>5171</v>
      </c>
      <c r="C26" s="1819" t="s">
        <v>1787</v>
      </c>
      <c r="D26" s="1752">
        <v>350000</v>
      </c>
      <c r="E26" s="1752">
        <v>350000</v>
      </c>
      <c r="F26" s="1752">
        <v>350000</v>
      </c>
      <c r="G26" s="1752">
        <v>350000</v>
      </c>
      <c r="H26" s="1752">
        <f>+[4]DPS!$B$34</f>
        <v>350000</v>
      </c>
      <c r="I26" s="1767">
        <f t="shared" si="0"/>
        <v>0</v>
      </c>
      <c r="J26" s="1802"/>
      <c r="K26" s="1816"/>
      <c r="L26" s="1028"/>
    </row>
    <row r="27" spans="1:12" outlineLevel="1" x14ac:dyDescent="0.25">
      <c r="A27" s="1817" t="s">
        <v>198</v>
      </c>
      <c r="B27" s="1818">
        <v>5171</v>
      </c>
      <c r="C27" s="1819" t="s">
        <v>2250</v>
      </c>
      <c r="D27" s="1752">
        <v>50000</v>
      </c>
      <c r="E27" s="1752">
        <v>50000</v>
      </c>
      <c r="F27" s="1752">
        <v>50000</v>
      </c>
      <c r="G27" s="1752">
        <v>50000</v>
      </c>
      <c r="H27" s="1752">
        <f>+[4]DPS!$B$35</f>
        <v>50000</v>
      </c>
      <c r="I27" s="1767">
        <f t="shared" si="0"/>
        <v>0</v>
      </c>
      <c r="J27" s="1802"/>
      <c r="K27" s="1816"/>
      <c r="L27" s="1028"/>
    </row>
    <row r="28" spans="1:12" outlineLevel="1" x14ac:dyDescent="0.25">
      <c r="A28" s="1817" t="s">
        <v>198</v>
      </c>
      <c r="B28" s="1818">
        <v>5171</v>
      </c>
      <c r="C28" s="1819" t="s">
        <v>2251</v>
      </c>
      <c r="D28" s="1752">
        <v>100000</v>
      </c>
      <c r="E28" s="1752">
        <v>100000</v>
      </c>
      <c r="F28" s="1752">
        <v>100000</v>
      </c>
      <c r="G28" s="1752">
        <v>100000</v>
      </c>
      <c r="H28" s="1752">
        <f>+[4]DPS!$B$36</f>
        <v>100000</v>
      </c>
      <c r="I28" s="1767">
        <f t="shared" si="0"/>
        <v>0</v>
      </c>
      <c r="J28" s="1802"/>
      <c r="K28" s="1816"/>
      <c r="L28" s="1028"/>
    </row>
    <row r="29" spans="1:12" ht="24.75" hidden="1" outlineLevel="1" x14ac:dyDescent="0.25">
      <c r="A29" s="1817" t="s">
        <v>198</v>
      </c>
      <c r="B29" s="1818">
        <v>5171</v>
      </c>
      <c r="C29" s="1819" t="s">
        <v>1788</v>
      </c>
      <c r="D29" s="1752"/>
      <c r="E29" s="1752"/>
      <c r="F29" s="1752"/>
      <c r="G29" s="1752"/>
      <c r="H29" s="1752"/>
      <c r="I29" s="1767">
        <f t="shared" si="0"/>
        <v>0</v>
      </c>
      <c r="J29" s="1802"/>
      <c r="K29" s="1816"/>
      <c r="L29" s="1028"/>
    </row>
    <row r="30" spans="1:12" outlineLevel="1" x14ac:dyDescent="0.25">
      <c r="A30" s="1817" t="s">
        <v>198</v>
      </c>
      <c r="B30" s="1818">
        <v>5171</v>
      </c>
      <c r="C30" s="1819" t="s">
        <v>1789</v>
      </c>
      <c r="D30" s="1752">
        <v>100000</v>
      </c>
      <c r="E30" s="1752">
        <v>100000</v>
      </c>
      <c r="F30" s="1752">
        <v>100000</v>
      </c>
      <c r="G30" s="1752">
        <v>100000</v>
      </c>
      <c r="H30" s="1752">
        <f>+[4]DPS!$B$37</f>
        <v>100000</v>
      </c>
      <c r="I30" s="1767">
        <f t="shared" si="0"/>
        <v>0</v>
      </c>
      <c r="J30" s="1802"/>
      <c r="K30" s="1816"/>
      <c r="L30" s="1028"/>
    </row>
    <row r="31" spans="1:12" ht="13.5" thickBot="1" x14ac:dyDescent="0.3">
      <c r="A31" s="3180" t="s">
        <v>200</v>
      </c>
      <c r="B31" s="3181"/>
      <c r="C31" s="1814"/>
      <c r="D31" s="1765">
        <v>600000</v>
      </c>
      <c r="E31" s="1765">
        <v>600000</v>
      </c>
      <c r="F31" s="1765">
        <v>600000</v>
      </c>
      <c r="G31" s="1765">
        <v>600000</v>
      </c>
      <c r="H31" s="1765">
        <f>SUM(H26:H30)</f>
        <v>600000</v>
      </c>
      <c r="I31" s="1766">
        <f t="shared" si="0"/>
        <v>0</v>
      </c>
      <c r="J31" s="1815">
        <f>'Výdaje kapitol celkem'!AH35</f>
        <v>600000</v>
      </c>
      <c r="K31" s="1816">
        <f>+J31-H31</f>
        <v>0</v>
      </c>
      <c r="L31" s="1028"/>
    </row>
    <row r="32" spans="1:12" outlineLevel="1" x14ac:dyDescent="0.25">
      <c r="A32" s="1811" t="s">
        <v>1253</v>
      </c>
      <c r="B32" s="1812">
        <v>5171</v>
      </c>
      <c r="C32" s="1813" t="s">
        <v>1797</v>
      </c>
      <c r="D32" s="1746">
        <v>300000</v>
      </c>
      <c r="E32" s="1746">
        <v>300000</v>
      </c>
      <c r="F32" s="1746">
        <v>300000</v>
      </c>
      <c r="G32" s="1746">
        <v>300000</v>
      </c>
      <c r="H32" s="1746">
        <f>+'[4]Hotel Budka'!$B$26</f>
        <v>150000</v>
      </c>
      <c r="I32" s="1747">
        <f t="shared" si="0"/>
        <v>-150000</v>
      </c>
      <c r="J32" s="1802"/>
      <c r="K32" s="1816"/>
      <c r="L32" s="1028"/>
    </row>
    <row r="33" spans="1:12" hidden="1" outlineLevel="1" x14ac:dyDescent="0.25">
      <c r="A33" s="1817" t="s">
        <v>1253</v>
      </c>
      <c r="B33" s="1818">
        <v>5171</v>
      </c>
      <c r="C33" s="1819"/>
      <c r="D33" s="1752"/>
      <c r="E33" s="1752"/>
      <c r="F33" s="1752"/>
      <c r="G33" s="1752"/>
      <c r="H33" s="1752"/>
      <c r="I33" s="1767">
        <f t="shared" si="0"/>
        <v>0</v>
      </c>
      <c r="J33" s="1802"/>
      <c r="K33" s="1816"/>
      <c r="L33" s="1028"/>
    </row>
    <row r="34" spans="1:12" outlineLevel="1" x14ac:dyDescent="0.25">
      <c r="A34" s="1817" t="s">
        <v>1253</v>
      </c>
      <c r="B34" s="1818">
        <v>5171</v>
      </c>
      <c r="C34" s="1821"/>
      <c r="D34" s="1769"/>
      <c r="E34" s="1769"/>
      <c r="F34" s="1769"/>
      <c r="G34" s="1769"/>
      <c r="H34" s="1769"/>
      <c r="I34" s="1779">
        <f t="shared" si="0"/>
        <v>0</v>
      </c>
      <c r="J34" s="1802"/>
      <c r="K34" s="1816"/>
      <c r="L34" s="1028"/>
    </row>
    <row r="35" spans="1:12" ht="13.5" thickBot="1" x14ac:dyDescent="0.3">
      <c r="A35" s="3180" t="s">
        <v>1441</v>
      </c>
      <c r="B35" s="3181"/>
      <c r="C35" s="1814"/>
      <c r="D35" s="1765">
        <v>300000</v>
      </c>
      <c r="E35" s="1765">
        <v>300000</v>
      </c>
      <c r="F35" s="1765">
        <v>300000</v>
      </c>
      <c r="G35" s="1765">
        <v>300000</v>
      </c>
      <c r="H35" s="1765">
        <f t="shared" ref="H35" si="5">SUM(H32:H34)</f>
        <v>150000</v>
      </c>
      <c r="I35" s="1766">
        <f t="shared" si="0"/>
        <v>-150000</v>
      </c>
      <c r="J35" s="1815">
        <f>'Výdaje kapitol celkem'!AA35</f>
        <v>150000</v>
      </c>
      <c r="K35" s="1816">
        <f>+J35-H35</f>
        <v>0</v>
      </c>
      <c r="L35" s="1028"/>
    </row>
    <row r="36" spans="1:12" ht="24.75" outlineLevel="1" x14ac:dyDescent="0.25">
      <c r="A36" s="1811">
        <v>3613</v>
      </c>
      <c r="B36" s="1812">
        <v>5171</v>
      </c>
      <c r="C36" s="1813" t="s">
        <v>1792</v>
      </c>
      <c r="D36" s="1746">
        <v>150000</v>
      </c>
      <c r="E36" s="1746">
        <v>150000</v>
      </c>
      <c r="F36" s="1746">
        <v>150000</v>
      </c>
      <c r="G36" s="1746">
        <v>150000</v>
      </c>
      <c r="H36" s="1746">
        <f>+[4]Nebyty!$B$12</f>
        <v>300000</v>
      </c>
      <c r="I36" s="1747">
        <f t="shared" si="0"/>
        <v>150000</v>
      </c>
      <c r="J36" s="1802"/>
      <c r="K36" s="1816"/>
      <c r="L36" s="1028"/>
    </row>
    <row r="37" spans="1:12" outlineLevel="1" x14ac:dyDescent="0.25">
      <c r="A37" s="1817">
        <v>3613</v>
      </c>
      <c r="B37" s="1818">
        <v>5171</v>
      </c>
      <c r="C37" s="1819" t="s">
        <v>1793</v>
      </c>
      <c r="D37" s="1752">
        <v>50000</v>
      </c>
      <c r="E37" s="1752">
        <v>50000</v>
      </c>
      <c r="F37" s="1752">
        <v>50000</v>
      </c>
      <c r="G37" s="1752">
        <v>50000</v>
      </c>
      <c r="H37" s="1752">
        <f>+[4]Nebyty!$B$13</f>
        <v>50000</v>
      </c>
      <c r="I37" s="1767">
        <f t="shared" si="0"/>
        <v>0</v>
      </c>
      <c r="J37" s="1802"/>
      <c r="K37" s="1816"/>
      <c r="L37" s="1028"/>
    </row>
    <row r="38" spans="1:12" outlineLevel="1" x14ac:dyDescent="0.25">
      <c r="A38" s="1817">
        <v>3613</v>
      </c>
      <c r="B38" s="1818">
        <v>5171</v>
      </c>
      <c r="C38" s="1821" t="s">
        <v>2245</v>
      </c>
      <c r="D38" s="1769">
        <v>100000</v>
      </c>
      <c r="E38" s="1769">
        <v>100000</v>
      </c>
      <c r="F38" s="1769">
        <v>100000</v>
      </c>
      <c r="G38" s="1769">
        <v>100000</v>
      </c>
      <c r="H38" s="1769">
        <f>+[4]Nebyty!$B$14</f>
        <v>100000</v>
      </c>
      <c r="I38" s="1779">
        <f t="shared" si="0"/>
        <v>0</v>
      </c>
      <c r="J38" s="1802"/>
      <c r="K38" s="1816"/>
      <c r="L38" s="1028"/>
    </row>
    <row r="39" spans="1:12" outlineLevel="1" x14ac:dyDescent="0.25">
      <c r="A39" s="1817">
        <v>3613</v>
      </c>
      <c r="B39" s="1818">
        <v>5171</v>
      </c>
      <c r="C39" s="1821" t="s">
        <v>1794</v>
      </c>
      <c r="D39" s="1769">
        <v>1900000</v>
      </c>
      <c r="E39" s="1769">
        <v>2370000</v>
      </c>
      <c r="F39" s="1769">
        <v>2370000</v>
      </c>
      <c r="G39" s="1769">
        <v>2370000</v>
      </c>
      <c r="H39" s="1769">
        <f>+[4]Nebyty!$B$15</f>
        <v>2370000</v>
      </c>
      <c r="I39" s="1779">
        <f t="shared" si="0"/>
        <v>0</v>
      </c>
      <c r="J39" s="1802"/>
      <c r="K39" s="1816"/>
      <c r="L39" s="1028"/>
    </row>
    <row r="40" spans="1:12" outlineLevel="1" x14ac:dyDescent="0.25">
      <c r="A40" s="1817">
        <v>3613</v>
      </c>
      <c r="B40" s="1818">
        <v>5171</v>
      </c>
      <c r="C40" s="1821" t="s">
        <v>1795</v>
      </c>
      <c r="D40" s="1769">
        <v>200000</v>
      </c>
      <c r="E40" s="1769">
        <v>200000</v>
      </c>
      <c r="F40" s="1769">
        <v>200000</v>
      </c>
      <c r="G40" s="1769">
        <v>200000</v>
      </c>
      <c r="H40" s="1769">
        <f>+[4]Nebyty!$B$16</f>
        <v>200000</v>
      </c>
      <c r="I40" s="1779">
        <f t="shared" si="0"/>
        <v>0</v>
      </c>
      <c r="J40" s="1802"/>
      <c r="K40" s="1816"/>
      <c r="L40" s="1028"/>
    </row>
    <row r="41" spans="1:12" outlineLevel="1" x14ac:dyDescent="0.25">
      <c r="A41" s="1817">
        <v>3613</v>
      </c>
      <c r="B41" s="1818">
        <v>5171</v>
      </c>
      <c r="C41" s="1821" t="s">
        <v>1796</v>
      </c>
      <c r="D41" s="1769">
        <v>100000</v>
      </c>
      <c r="E41" s="1769">
        <v>300000</v>
      </c>
      <c r="F41" s="1769">
        <v>300000</v>
      </c>
      <c r="G41" s="1769">
        <v>300000</v>
      </c>
      <c r="H41" s="1769">
        <f>+[4]Nebyty!$B$17</f>
        <v>300000</v>
      </c>
      <c r="I41" s="1779">
        <f t="shared" si="0"/>
        <v>0</v>
      </c>
      <c r="J41" s="1802"/>
      <c r="K41" s="1816"/>
      <c r="L41" s="1028"/>
    </row>
    <row r="42" spans="1:12" ht="13.5" thickBot="1" x14ac:dyDescent="0.3">
      <c r="A42" s="3180" t="s">
        <v>201</v>
      </c>
      <c r="B42" s="3181"/>
      <c r="C42" s="1814"/>
      <c r="D42" s="1765">
        <v>2500000</v>
      </c>
      <c r="E42" s="1765">
        <v>3170000</v>
      </c>
      <c r="F42" s="1765">
        <v>3170000</v>
      </c>
      <c r="G42" s="1765">
        <v>3170000</v>
      </c>
      <c r="H42" s="1765">
        <f t="shared" ref="H42" si="6">SUM(H36:H41)</f>
        <v>3320000</v>
      </c>
      <c r="I42" s="1766">
        <f t="shared" si="0"/>
        <v>150000</v>
      </c>
      <c r="J42" s="1815">
        <f>'Výdaje kapitol celkem'!AK35</f>
        <v>3320000</v>
      </c>
      <c r="K42" s="1816">
        <f>+J42-H42</f>
        <v>0</v>
      </c>
      <c r="L42" s="1028"/>
    </row>
    <row r="43" spans="1:12" outlineLevel="1" x14ac:dyDescent="0.25">
      <c r="A43" s="1811">
        <v>5512</v>
      </c>
      <c r="B43" s="1812">
        <v>5171</v>
      </c>
      <c r="C43" s="1813" t="s">
        <v>1761</v>
      </c>
      <c r="D43" s="1746">
        <v>150000</v>
      </c>
      <c r="E43" s="1746">
        <v>150000</v>
      </c>
      <c r="F43" s="1746">
        <v>150000</v>
      </c>
      <c r="G43" s="1746">
        <v>150000</v>
      </c>
      <c r="H43" s="1746">
        <f>+[4]Hasiči!$B$26</f>
        <v>150000</v>
      </c>
      <c r="I43" s="1747">
        <f t="shared" si="0"/>
        <v>0</v>
      </c>
      <c r="J43" s="1802"/>
      <c r="K43" s="1816"/>
      <c r="L43" s="1028"/>
    </row>
    <row r="44" spans="1:12" outlineLevel="1" x14ac:dyDescent="0.25">
      <c r="A44" s="1817">
        <v>5512</v>
      </c>
      <c r="B44" s="1818">
        <v>5171</v>
      </c>
      <c r="C44" s="1819" t="s">
        <v>1807</v>
      </c>
      <c r="D44" s="1752">
        <v>60000</v>
      </c>
      <c r="E44" s="1752">
        <v>60000</v>
      </c>
      <c r="F44" s="1752">
        <v>60000</v>
      </c>
      <c r="G44" s="1752">
        <v>60000</v>
      </c>
      <c r="H44" s="1752">
        <f>+[3]Hasiči!$B$62</f>
        <v>60000</v>
      </c>
      <c r="I44" s="1747">
        <f t="shared" si="0"/>
        <v>0</v>
      </c>
      <c r="J44" s="1802"/>
      <c r="K44" s="1816"/>
      <c r="L44" s="1028"/>
    </row>
    <row r="45" spans="1:12" outlineLevel="1" x14ac:dyDescent="0.25">
      <c r="A45" s="1817">
        <v>5512</v>
      </c>
      <c r="B45" s="1818">
        <v>5171</v>
      </c>
      <c r="C45" s="1819" t="s">
        <v>1808</v>
      </c>
      <c r="D45" s="1752">
        <v>50000</v>
      </c>
      <c r="E45" s="1752">
        <v>50000</v>
      </c>
      <c r="F45" s="1752">
        <v>50000</v>
      </c>
      <c r="G45" s="1752">
        <v>50000</v>
      </c>
      <c r="H45" s="1752">
        <f>+[3]Hasiči!$B$63</f>
        <v>50000</v>
      </c>
      <c r="I45" s="1747">
        <f t="shared" si="0"/>
        <v>0</v>
      </c>
      <c r="J45" s="1802"/>
      <c r="K45" s="1816"/>
      <c r="L45" s="1028"/>
    </row>
    <row r="46" spans="1:12" outlineLevel="1" x14ac:dyDescent="0.25">
      <c r="A46" s="1817">
        <v>5512</v>
      </c>
      <c r="B46" s="1818">
        <v>5171</v>
      </c>
      <c r="C46" s="1819"/>
      <c r="D46" s="1752"/>
      <c r="E46" s="1752"/>
      <c r="F46" s="1752"/>
      <c r="G46" s="1752"/>
      <c r="H46" s="1752"/>
      <c r="I46" s="1767">
        <f t="shared" si="0"/>
        <v>0</v>
      </c>
      <c r="J46" s="1802"/>
      <c r="K46" s="1816"/>
      <c r="L46" s="1028"/>
    </row>
    <row r="47" spans="1:12" ht="13.5" thickBot="1" x14ac:dyDescent="0.3">
      <c r="A47" s="3180" t="s">
        <v>202</v>
      </c>
      <c r="B47" s="3181"/>
      <c r="C47" s="1814"/>
      <c r="D47" s="1765">
        <v>260000</v>
      </c>
      <c r="E47" s="1765">
        <v>260000</v>
      </c>
      <c r="F47" s="1765">
        <v>260000</v>
      </c>
      <c r="G47" s="1765">
        <v>260000</v>
      </c>
      <c r="H47" s="1765">
        <f>SUM(H43:H46)</f>
        <v>260000</v>
      </c>
      <c r="I47" s="1766">
        <f t="shared" si="0"/>
        <v>0</v>
      </c>
      <c r="J47" s="1815">
        <f>'Výdaje kapitol celkem'!AN35</f>
        <v>260000</v>
      </c>
      <c r="K47" s="1816">
        <f>+J47-H47</f>
        <v>0</v>
      </c>
      <c r="L47" s="1028"/>
    </row>
    <row r="48" spans="1:12" outlineLevel="1" x14ac:dyDescent="0.25">
      <c r="A48" s="1811">
        <v>3519</v>
      </c>
      <c r="B48" s="1812">
        <v>5171</v>
      </c>
      <c r="C48" s="1813" t="s">
        <v>1783</v>
      </c>
      <c r="D48" s="1746">
        <v>150000</v>
      </c>
      <c r="E48" s="1746">
        <v>150000</v>
      </c>
      <c r="F48" s="1746">
        <v>150000</v>
      </c>
      <c r="G48" s="1746">
        <v>150000</v>
      </c>
      <c r="H48" s="1746">
        <f>+'[4]Zdrav. středisko'!$B$12</f>
        <v>150000</v>
      </c>
      <c r="I48" s="1747">
        <f t="shared" si="0"/>
        <v>0</v>
      </c>
      <c r="J48" s="1802"/>
      <c r="K48" s="1816"/>
      <c r="L48" s="1028"/>
    </row>
    <row r="49" spans="1:12" ht="24.75" outlineLevel="1" x14ac:dyDescent="0.25">
      <c r="A49" s="1817">
        <v>3519</v>
      </c>
      <c r="B49" s="1818">
        <v>5171</v>
      </c>
      <c r="C49" s="1819" t="s">
        <v>1784</v>
      </c>
      <c r="D49" s="1752">
        <v>200000</v>
      </c>
      <c r="E49" s="1752">
        <v>200000</v>
      </c>
      <c r="F49" s="1752">
        <v>200000</v>
      </c>
      <c r="G49" s="1752">
        <v>200000</v>
      </c>
      <c r="H49" s="1752">
        <f>+'[4]Zdrav. středisko'!$B$13</f>
        <v>200000</v>
      </c>
      <c r="I49" s="1767">
        <f t="shared" si="0"/>
        <v>0</v>
      </c>
      <c r="J49" s="1802"/>
      <c r="K49" s="1816"/>
      <c r="L49" s="1028"/>
    </row>
    <row r="50" spans="1:12" ht="13.5" collapsed="1" thickBot="1" x14ac:dyDescent="0.3">
      <c r="A50" s="3180" t="s">
        <v>203</v>
      </c>
      <c r="B50" s="3181"/>
      <c r="C50" s="1814"/>
      <c r="D50" s="1765">
        <v>350000</v>
      </c>
      <c r="E50" s="1765">
        <v>350000</v>
      </c>
      <c r="F50" s="1765">
        <v>350000</v>
      </c>
      <c r="G50" s="1765">
        <v>350000</v>
      </c>
      <c r="H50" s="1765">
        <f t="shared" ref="H50" si="7">SUM(H48:H49)</f>
        <v>350000</v>
      </c>
      <c r="I50" s="1766">
        <f t="shared" si="0"/>
        <v>0</v>
      </c>
      <c r="J50" s="1815">
        <f>'Výdaje kapitol celkem'!AO35</f>
        <v>350000</v>
      </c>
      <c r="K50" s="1816">
        <f>+J50-H50</f>
        <v>0</v>
      </c>
      <c r="L50" s="1028"/>
    </row>
    <row r="51" spans="1:12" hidden="1" outlineLevel="1" x14ac:dyDescent="0.25">
      <c r="A51" s="1811">
        <v>3429</v>
      </c>
      <c r="B51" s="1812">
        <v>5171</v>
      </c>
      <c r="C51" s="1813"/>
      <c r="D51" s="1746"/>
      <c r="E51" s="1746"/>
      <c r="F51" s="1746"/>
      <c r="G51" s="1746"/>
      <c r="H51" s="1746"/>
      <c r="I51" s="1747">
        <f t="shared" si="0"/>
        <v>0</v>
      </c>
      <c r="J51" s="1802"/>
      <c r="K51" s="1816"/>
      <c r="L51" s="1028"/>
    </row>
    <row r="52" spans="1:12" hidden="1" outlineLevel="1" x14ac:dyDescent="0.25">
      <c r="A52" s="1811">
        <v>3429</v>
      </c>
      <c r="B52" s="1812">
        <v>5171</v>
      </c>
      <c r="C52" s="1813"/>
      <c r="D52" s="1746"/>
      <c r="E52" s="1746"/>
      <c r="F52" s="1746"/>
      <c r="G52" s="1746"/>
      <c r="H52" s="1746"/>
      <c r="I52" s="1747">
        <f t="shared" si="0"/>
        <v>0</v>
      </c>
      <c r="J52" s="1802"/>
      <c r="K52" s="1816"/>
      <c r="L52" s="1028"/>
    </row>
    <row r="53" spans="1:12" ht="13.5" thickBot="1" x14ac:dyDescent="0.3">
      <c r="A53" s="3180" t="s">
        <v>1208</v>
      </c>
      <c r="B53" s="3181"/>
      <c r="C53" s="1814"/>
      <c r="D53" s="1765">
        <v>0</v>
      </c>
      <c r="E53" s="1765">
        <v>0</v>
      </c>
      <c r="F53" s="1765">
        <v>0</v>
      </c>
      <c r="G53" s="1765">
        <v>0</v>
      </c>
      <c r="H53" s="1765">
        <f t="shared" ref="H53" si="8">SUM(H51:H52)</f>
        <v>0</v>
      </c>
      <c r="I53" s="1766">
        <f t="shared" si="0"/>
        <v>0</v>
      </c>
      <c r="J53" s="1815">
        <f>'Výdaje kapitol celkem'!AP35</f>
        <v>0</v>
      </c>
      <c r="K53" s="1816">
        <f>+J53-H53</f>
        <v>0</v>
      </c>
      <c r="L53" s="1028"/>
    </row>
    <row r="54" spans="1:12" outlineLevel="1" x14ac:dyDescent="0.25">
      <c r="A54" s="1811">
        <v>3632</v>
      </c>
      <c r="B54" s="1812">
        <v>5171</v>
      </c>
      <c r="C54" s="1813" t="s">
        <v>1782</v>
      </c>
      <c r="D54" s="1746">
        <v>100000</v>
      </c>
      <c r="E54" s="1746">
        <v>100000</v>
      </c>
      <c r="F54" s="1746">
        <v>100000</v>
      </c>
      <c r="G54" s="1746">
        <v>100000</v>
      </c>
      <c r="H54" s="1746">
        <f>+[4]Hřbitov!$B$26</f>
        <v>100000</v>
      </c>
      <c r="I54" s="1747">
        <f t="shared" si="0"/>
        <v>0</v>
      </c>
      <c r="J54" s="1802"/>
      <c r="K54" s="1816"/>
      <c r="L54" s="1028"/>
    </row>
    <row r="55" spans="1:12" outlineLevel="1" x14ac:dyDescent="0.25">
      <c r="A55" s="1811">
        <v>3632</v>
      </c>
      <c r="B55" s="1812">
        <v>5171</v>
      </c>
      <c r="C55" s="1813"/>
      <c r="D55" s="1746">
        <v>0</v>
      </c>
      <c r="E55" s="1746">
        <v>0</v>
      </c>
      <c r="F55" s="1746">
        <v>0</v>
      </c>
      <c r="G55" s="1746">
        <v>0</v>
      </c>
      <c r="H55" s="1746">
        <f>+[4]Hřbitov!$B$27</f>
        <v>0</v>
      </c>
      <c r="I55" s="1747">
        <f t="shared" si="0"/>
        <v>0</v>
      </c>
      <c r="J55" s="1802"/>
      <c r="K55" s="1816">
        <f>+J55-H55</f>
        <v>0</v>
      </c>
      <c r="L55" s="1028"/>
    </row>
    <row r="56" spans="1:12" ht="13.5" thickBot="1" x14ac:dyDescent="0.3">
      <c r="A56" s="3180" t="s">
        <v>252</v>
      </c>
      <c r="B56" s="3181"/>
      <c r="C56" s="1814"/>
      <c r="D56" s="1765">
        <v>100000</v>
      </c>
      <c r="E56" s="1765">
        <v>100000</v>
      </c>
      <c r="F56" s="1765">
        <v>100000</v>
      </c>
      <c r="G56" s="1765">
        <v>100000</v>
      </c>
      <c r="H56" s="1765">
        <f t="shared" ref="H56" si="9">SUM(H54:H55)</f>
        <v>100000</v>
      </c>
      <c r="I56" s="1766">
        <f t="shared" si="0"/>
        <v>0</v>
      </c>
      <c r="J56" s="1815">
        <f>'Výdaje kapitol celkem'!AQ35</f>
        <v>100000</v>
      </c>
      <c r="K56" s="1816">
        <f>+J56-H56</f>
        <v>0</v>
      </c>
      <c r="L56" s="1028"/>
    </row>
    <row r="57" spans="1:12" outlineLevel="1" x14ac:dyDescent="0.25">
      <c r="A57" s="1811">
        <v>3412</v>
      </c>
      <c r="B57" s="1812">
        <v>5171</v>
      </c>
      <c r="C57" s="1813" t="s">
        <v>1780</v>
      </c>
      <c r="D57" s="1746">
        <v>200000</v>
      </c>
      <c r="E57" s="1746">
        <v>200000</v>
      </c>
      <c r="F57" s="1746">
        <v>200000</v>
      </c>
      <c r="G57" s="1746">
        <v>200000</v>
      </c>
      <c r="H57" s="1746">
        <f>+[4]koupaliště!$B$22</f>
        <v>200000</v>
      </c>
      <c r="I57" s="1747">
        <f t="shared" si="0"/>
        <v>0</v>
      </c>
      <c r="J57" s="1802"/>
      <c r="K57" s="1816"/>
      <c r="L57" s="1028"/>
    </row>
    <row r="58" spans="1:12" outlineLevel="1" x14ac:dyDescent="0.25">
      <c r="A58" s="1817">
        <v>3412</v>
      </c>
      <c r="B58" s="1818">
        <v>5171</v>
      </c>
      <c r="C58" s="1813" t="s">
        <v>1781</v>
      </c>
      <c r="D58" s="1746">
        <v>300000</v>
      </c>
      <c r="E58" s="1746">
        <v>300000</v>
      </c>
      <c r="F58" s="1746">
        <v>300000</v>
      </c>
      <c r="G58" s="1746">
        <v>300000</v>
      </c>
      <c r="H58" s="1746">
        <f>+[4]koupaliště!$B$23</f>
        <v>300000</v>
      </c>
      <c r="I58" s="1747">
        <f t="shared" si="0"/>
        <v>0</v>
      </c>
      <c r="J58" s="1815"/>
      <c r="K58" s="1816"/>
      <c r="L58" s="1028"/>
    </row>
    <row r="59" spans="1:12" outlineLevel="1" x14ac:dyDescent="0.25">
      <c r="A59" s="1817">
        <v>3412</v>
      </c>
      <c r="B59" s="1818">
        <v>5171</v>
      </c>
      <c r="C59" s="1813"/>
      <c r="D59" s="1746"/>
      <c r="E59" s="1746"/>
      <c r="F59" s="1746"/>
      <c r="G59" s="1746"/>
      <c r="H59" s="1746"/>
      <c r="I59" s="1747">
        <f t="shared" si="0"/>
        <v>0</v>
      </c>
      <c r="J59" s="1802"/>
      <c r="K59" s="1816"/>
      <c r="L59" s="1028"/>
    </row>
    <row r="60" spans="1:12" ht="13.5" thickBot="1" x14ac:dyDescent="0.3">
      <c r="A60" s="3180" t="s">
        <v>1186</v>
      </c>
      <c r="B60" s="3181">
        <v>5171</v>
      </c>
      <c r="C60" s="1814"/>
      <c r="D60" s="1765">
        <v>500000</v>
      </c>
      <c r="E60" s="1765">
        <v>500000</v>
      </c>
      <c r="F60" s="1765">
        <v>500000</v>
      </c>
      <c r="G60" s="1765">
        <v>500000</v>
      </c>
      <c r="H60" s="1765">
        <f t="shared" ref="H60" si="10">SUM(H57:H59)</f>
        <v>500000</v>
      </c>
      <c r="I60" s="1766">
        <f t="shared" si="0"/>
        <v>0</v>
      </c>
      <c r="J60" s="1815">
        <f>'Výdaje kapitol celkem'!AT35</f>
        <v>500000</v>
      </c>
      <c r="K60" s="1816">
        <f>+J60-H60</f>
        <v>0</v>
      </c>
      <c r="L60" s="1028"/>
    </row>
    <row r="61" spans="1:12" ht="24.75" outlineLevel="1" x14ac:dyDescent="0.25">
      <c r="A61" s="1811" t="s">
        <v>1181</v>
      </c>
      <c r="B61" s="1812">
        <v>5171</v>
      </c>
      <c r="C61" s="1813" t="s">
        <v>2254</v>
      </c>
      <c r="D61" s="1746">
        <v>400000</v>
      </c>
      <c r="E61" s="1746">
        <v>400000</v>
      </c>
      <c r="F61" s="1746">
        <v>400000</v>
      </c>
      <c r="G61" s="1746">
        <v>400000</v>
      </c>
      <c r="H61" s="1746">
        <f>+[4]Hřiště!$B$22</f>
        <v>400000</v>
      </c>
      <c r="I61" s="1747">
        <f t="shared" si="0"/>
        <v>0</v>
      </c>
      <c r="J61" s="1802"/>
      <c r="K61" s="1816"/>
      <c r="L61" s="1028"/>
    </row>
    <row r="62" spans="1:12" outlineLevel="1" x14ac:dyDescent="0.25">
      <c r="A62" s="1817" t="s">
        <v>1181</v>
      </c>
      <c r="B62" s="1818">
        <v>5171</v>
      </c>
      <c r="C62" s="1813" t="s">
        <v>1779</v>
      </c>
      <c r="D62" s="1746">
        <v>100000</v>
      </c>
      <c r="E62" s="1746">
        <v>100000</v>
      </c>
      <c r="F62" s="1746">
        <v>100000</v>
      </c>
      <c r="G62" s="1746">
        <v>154000</v>
      </c>
      <c r="H62" s="1746">
        <f>+[4]Hřiště!$B$23</f>
        <v>154000</v>
      </c>
      <c r="I62" s="1747">
        <f t="shared" si="0"/>
        <v>0</v>
      </c>
      <c r="J62" s="1802"/>
      <c r="K62" s="1816"/>
      <c r="L62" s="1028"/>
    </row>
    <row r="63" spans="1:12" outlineLevel="1" x14ac:dyDescent="0.25">
      <c r="A63" s="1817" t="s">
        <v>1181</v>
      </c>
      <c r="B63" s="1818">
        <v>5171</v>
      </c>
      <c r="C63" s="1813"/>
      <c r="D63" s="1746"/>
      <c r="E63" s="1746"/>
      <c r="F63" s="1746"/>
      <c r="G63" s="1746"/>
      <c r="H63" s="1746"/>
      <c r="I63" s="1747">
        <f t="shared" si="0"/>
        <v>0</v>
      </c>
      <c r="J63" s="1802"/>
      <c r="K63" s="1816"/>
      <c r="L63" s="1028"/>
    </row>
    <row r="64" spans="1:12" ht="13.5" collapsed="1" thickBot="1" x14ac:dyDescent="0.3">
      <c r="A64" s="3180" t="s">
        <v>1185</v>
      </c>
      <c r="B64" s="3181">
        <v>5171</v>
      </c>
      <c r="C64" s="1814"/>
      <c r="D64" s="1765">
        <v>500000</v>
      </c>
      <c r="E64" s="1765">
        <v>500000</v>
      </c>
      <c r="F64" s="1765">
        <v>500000</v>
      </c>
      <c r="G64" s="1765">
        <v>554000</v>
      </c>
      <c r="H64" s="1765">
        <f t="shared" ref="H64" si="11">SUM(H61:H63)</f>
        <v>554000</v>
      </c>
      <c r="I64" s="1766">
        <f t="shared" si="0"/>
        <v>0</v>
      </c>
      <c r="J64" s="1815">
        <f>'Výdaje kapitol celkem'!AW35</f>
        <v>554000</v>
      </c>
      <c r="K64" s="1816">
        <f>+J64-H64</f>
        <v>0</v>
      </c>
      <c r="L64" s="1028"/>
    </row>
    <row r="65" spans="1:12" hidden="1" outlineLevel="1" x14ac:dyDescent="0.25">
      <c r="A65" s="1811" t="s">
        <v>1183</v>
      </c>
      <c r="B65" s="1812">
        <v>5171</v>
      </c>
      <c r="C65" s="1813"/>
      <c r="D65" s="1746">
        <v>0</v>
      </c>
      <c r="E65" s="1746">
        <v>0</v>
      </c>
      <c r="F65" s="1746">
        <v>0</v>
      </c>
      <c r="G65" s="1746">
        <v>0</v>
      </c>
      <c r="H65" s="1746">
        <f>+[4]Spolky!$B$24</f>
        <v>0</v>
      </c>
      <c r="I65" s="1747">
        <f t="shared" si="0"/>
        <v>0</v>
      </c>
      <c r="J65" s="1802"/>
      <c r="K65" s="1816"/>
      <c r="L65" s="1028"/>
    </row>
    <row r="66" spans="1:12" hidden="1" outlineLevel="1" x14ac:dyDescent="0.25">
      <c r="A66" s="1817" t="s">
        <v>1183</v>
      </c>
      <c r="B66" s="1818">
        <v>5171</v>
      </c>
      <c r="C66" s="1813"/>
      <c r="D66" s="1746">
        <v>0</v>
      </c>
      <c r="E66" s="1746">
        <v>0</v>
      </c>
      <c r="F66" s="1746">
        <v>0</v>
      </c>
      <c r="G66" s="1746">
        <v>0</v>
      </c>
      <c r="H66" s="1746">
        <f>+[4]Spolky!$B$25</f>
        <v>0</v>
      </c>
      <c r="I66" s="1747">
        <f t="shared" si="0"/>
        <v>0</v>
      </c>
      <c r="J66" s="1802"/>
      <c r="K66" s="1816"/>
      <c r="L66" s="1028"/>
    </row>
    <row r="67" spans="1:12" hidden="1" outlineLevel="1" x14ac:dyDescent="0.25">
      <c r="A67" s="1817" t="s">
        <v>1183</v>
      </c>
      <c r="B67" s="1818">
        <v>5171</v>
      </c>
      <c r="C67" s="1813"/>
      <c r="D67" s="1746"/>
      <c r="E67" s="1746"/>
      <c r="F67" s="1746"/>
      <c r="G67" s="1746"/>
      <c r="H67" s="1746"/>
      <c r="I67" s="1747">
        <f t="shared" si="0"/>
        <v>0</v>
      </c>
      <c r="J67" s="1802"/>
      <c r="K67" s="1816"/>
      <c r="L67" s="1028"/>
    </row>
    <row r="68" spans="1:12" ht="13.5" thickBot="1" x14ac:dyDescent="0.3">
      <c r="A68" s="3180" t="s">
        <v>1184</v>
      </c>
      <c r="B68" s="3181">
        <v>5171</v>
      </c>
      <c r="C68" s="1814"/>
      <c r="D68" s="1765">
        <v>0</v>
      </c>
      <c r="E68" s="1765">
        <v>0</v>
      </c>
      <c r="F68" s="1765">
        <v>0</v>
      </c>
      <c r="G68" s="1765">
        <v>0</v>
      </c>
      <c r="H68" s="1765">
        <f t="shared" ref="H68" si="12">SUM(H65:H67)</f>
        <v>0</v>
      </c>
      <c r="I68" s="1766">
        <f t="shared" si="0"/>
        <v>0</v>
      </c>
      <c r="J68" s="1815">
        <f>'Výdaje kapitol celkem'!AZ35</f>
        <v>0</v>
      </c>
      <c r="K68" s="1816">
        <f>+J68-H68</f>
        <v>0</v>
      </c>
      <c r="L68" s="1028"/>
    </row>
    <row r="69" spans="1:12" outlineLevel="1" x14ac:dyDescent="0.25">
      <c r="A69" s="1808">
        <v>3113</v>
      </c>
      <c r="B69" s="1809">
        <v>5171</v>
      </c>
      <c r="C69" s="1810" t="s">
        <v>2255</v>
      </c>
      <c r="D69" s="1744">
        <v>55000</v>
      </c>
      <c r="E69" s="1744">
        <v>55000</v>
      </c>
      <c r="F69" s="1744">
        <v>55000</v>
      </c>
      <c r="G69" s="1744">
        <v>55000</v>
      </c>
      <c r="H69" s="1744">
        <f>+[4]ZŠ!$B$12</f>
        <v>55000</v>
      </c>
      <c r="I69" s="1747">
        <f t="shared" si="0"/>
        <v>0</v>
      </c>
      <c r="J69" s="1802"/>
      <c r="K69" s="1816"/>
      <c r="L69" s="1028"/>
    </row>
    <row r="70" spans="1:12" outlineLevel="1" x14ac:dyDescent="0.25">
      <c r="A70" s="1822">
        <v>3113</v>
      </c>
      <c r="B70" s="1823">
        <v>5171</v>
      </c>
      <c r="C70" s="1821"/>
      <c r="D70" s="1769">
        <v>0</v>
      </c>
      <c r="E70" s="1769">
        <v>0</v>
      </c>
      <c r="F70" s="1769">
        <v>0</v>
      </c>
      <c r="G70" s="1769">
        <v>40000</v>
      </c>
      <c r="H70" s="1769">
        <f>+[4]ZŠ!$B$13</f>
        <v>40000</v>
      </c>
      <c r="I70" s="1767">
        <f t="shared" ref="I70:I133" si="13">+H70-G70</f>
        <v>0</v>
      </c>
      <c r="J70" s="1802"/>
      <c r="K70" s="1816"/>
      <c r="L70" s="1028"/>
    </row>
    <row r="71" spans="1:12" ht="13.5" thickBot="1" x14ac:dyDescent="0.3">
      <c r="A71" s="3180" t="s">
        <v>204</v>
      </c>
      <c r="B71" s="3181"/>
      <c r="C71" s="1814"/>
      <c r="D71" s="1765">
        <v>55000</v>
      </c>
      <c r="E71" s="1765">
        <v>55000</v>
      </c>
      <c r="F71" s="1765">
        <v>55000</v>
      </c>
      <c r="G71" s="1765">
        <v>95000</v>
      </c>
      <c r="H71" s="1765">
        <f t="shared" ref="H71" si="14">SUM(H69:H70)</f>
        <v>95000</v>
      </c>
      <c r="I71" s="1766">
        <f t="shared" si="13"/>
        <v>0</v>
      </c>
      <c r="J71" s="1815">
        <f>'Výdaje kapitol celkem'!BC35</f>
        <v>95000</v>
      </c>
      <c r="K71" s="1816">
        <f>+J71-H71</f>
        <v>0</v>
      </c>
      <c r="L71" s="1028"/>
    </row>
    <row r="72" spans="1:12" outlineLevel="1" x14ac:dyDescent="0.25">
      <c r="A72" s="1808">
        <v>3421</v>
      </c>
      <c r="B72" s="1809">
        <v>5171</v>
      </c>
      <c r="C72" s="1810" t="s">
        <v>1769</v>
      </c>
      <c r="D72" s="1744">
        <v>170000</v>
      </c>
      <c r="E72" s="1744">
        <v>170000</v>
      </c>
      <c r="F72" s="1744">
        <v>170000</v>
      </c>
      <c r="G72" s="1744">
        <v>170000</v>
      </c>
      <c r="H72" s="1744">
        <f>+[4]MDDM!$B$12</f>
        <v>170000</v>
      </c>
      <c r="I72" s="1745">
        <f t="shared" si="13"/>
        <v>0</v>
      </c>
      <c r="J72" s="1802"/>
      <c r="K72" s="1816"/>
      <c r="L72" s="1028"/>
    </row>
    <row r="73" spans="1:12" outlineLevel="1" x14ac:dyDescent="0.25">
      <c r="A73" s="1822">
        <v>3421</v>
      </c>
      <c r="B73" s="1823">
        <v>5171</v>
      </c>
      <c r="C73" s="1819" t="s">
        <v>1770</v>
      </c>
      <c r="D73" s="1752">
        <v>50000</v>
      </c>
      <c r="E73" s="1752">
        <v>50000</v>
      </c>
      <c r="F73" s="1752">
        <v>50000</v>
      </c>
      <c r="G73" s="1752">
        <v>50000</v>
      </c>
      <c r="H73" s="1752">
        <f>+[4]MDDM!$B$13</f>
        <v>50000</v>
      </c>
      <c r="I73" s="1767">
        <f t="shared" si="13"/>
        <v>0</v>
      </c>
      <c r="J73" s="1802"/>
      <c r="K73" s="1816"/>
      <c r="L73" s="1028"/>
    </row>
    <row r="74" spans="1:12" hidden="1" outlineLevel="1" x14ac:dyDescent="0.25">
      <c r="A74" s="1822">
        <v>3421</v>
      </c>
      <c r="B74" s="1823">
        <v>5171</v>
      </c>
      <c r="C74" s="1824"/>
      <c r="D74" s="1753"/>
      <c r="E74" s="1753"/>
      <c r="F74" s="1753"/>
      <c r="G74" s="1753"/>
      <c r="H74" s="1753"/>
      <c r="I74" s="1767">
        <f t="shared" si="13"/>
        <v>0</v>
      </c>
      <c r="J74" s="1802"/>
      <c r="K74" s="1816"/>
      <c r="L74" s="1028"/>
    </row>
    <row r="75" spans="1:12" outlineLevel="1" x14ac:dyDescent="0.25">
      <c r="A75" s="1822">
        <v>3421</v>
      </c>
      <c r="B75" s="1823">
        <v>5171</v>
      </c>
      <c r="C75" s="1821"/>
      <c r="D75" s="1769"/>
      <c r="E75" s="1769"/>
      <c r="F75" s="1769"/>
      <c r="G75" s="1769"/>
      <c r="H75" s="1769"/>
      <c r="I75" s="1767">
        <f t="shared" si="13"/>
        <v>0</v>
      </c>
      <c r="J75" s="1802"/>
      <c r="K75" s="1816"/>
      <c r="L75" s="1028"/>
    </row>
    <row r="76" spans="1:12" ht="13.5" thickBot="1" x14ac:dyDescent="0.3">
      <c r="A76" s="3180" t="s">
        <v>205</v>
      </c>
      <c r="B76" s="3181"/>
      <c r="C76" s="1814"/>
      <c r="D76" s="1765">
        <v>220000</v>
      </c>
      <c r="E76" s="1765">
        <v>220000</v>
      </c>
      <c r="F76" s="1765">
        <v>220000</v>
      </c>
      <c r="G76" s="1765">
        <v>220000</v>
      </c>
      <c r="H76" s="1765">
        <f t="shared" ref="H76" si="15">SUM(H72:H75)</f>
        <v>220000</v>
      </c>
      <c r="I76" s="1766">
        <f t="shared" si="13"/>
        <v>0</v>
      </c>
      <c r="J76" s="1815">
        <f>'Výdaje kapitol celkem'!BL35</f>
        <v>220000</v>
      </c>
      <c r="K76" s="1816">
        <f>+J76-H76</f>
        <v>0</v>
      </c>
      <c r="L76" s="1028"/>
    </row>
    <row r="77" spans="1:12" outlineLevel="1" x14ac:dyDescent="0.25">
      <c r="A77" s="1808" t="s">
        <v>191</v>
      </c>
      <c r="B77" s="1809">
        <v>5171</v>
      </c>
      <c r="C77" s="1810" t="s">
        <v>1761</v>
      </c>
      <c r="D77" s="1744">
        <v>80000</v>
      </c>
      <c r="E77" s="1744">
        <v>130000</v>
      </c>
      <c r="F77" s="1744">
        <v>130000</v>
      </c>
      <c r="G77" s="1744">
        <v>130000</v>
      </c>
      <c r="H77" s="1744">
        <f>+'[4]MŠ Kollárova'!$B$12</f>
        <v>130000</v>
      </c>
      <c r="I77" s="1745">
        <f t="shared" si="13"/>
        <v>0</v>
      </c>
      <c r="J77" s="1802"/>
      <c r="K77" s="1816"/>
      <c r="L77" s="1028"/>
    </row>
    <row r="78" spans="1:12" outlineLevel="1" x14ac:dyDescent="0.25">
      <c r="A78" s="1817" t="s">
        <v>191</v>
      </c>
      <c r="B78" s="1818">
        <v>5171</v>
      </c>
      <c r="C78" s="1813" t="s">
        <v>2257</v>
      </c>
      <c r="D78" s="1746">
        <v>0</v>
      </c>
      <c r="E78" s="1746">
        <v>200000</v>
      </c>
      <c r="F78" s="1746">
        <v>200000</v>
      </c>
      <c r="G78" s="1746">
        <v>200000</v>
      </c>
      <c r="H78" s="1746">
        <f>+'[4]MŠ Kollárova'!$B$13</f>
        <v>200000</v>
      </c>
      <c r="I78" s="1747">
        <f t="shared" si="13"/>
        <v>0</v>
      </c>
      <c r="J78" s="1802"/>
      <c r="K78" s="1816"/>
      <c r="L78" s="1028"/>
    </row>
    <row r="79" spans="1:12" outlineLevel="1" x14ac:dyDescent="0.25">
      <c r="A79" s="1817" t="s">
        <v>191</v>
      </c>
      <c r="B79" s="1818">
        <v>5171</v>
      </c>
      <c r="C79" s="1813" t="s">
        <v>2258</v>
      </c>
      <c r="D79" s="1746">
        <v>0</v>
      </c>
      <c r="E79" s="1746">
        <v>155000</v>
      </c>
      <c r="F79" s="1746">
        <v>155000</v>
      </c>
      <c r="G79" s="1746">
        <v>155000</v>
      </c>
      <c r="H79" s="1746">
        <f>+'[4]MŠ Kollárova'!$B$14</f>
        <v>155000</v>
      </c>
      <c r="I79" s="1747">
        <f t="shared" si="13"/>
        <v>0</v>
      </c>
      <c r="J79" s="1802"/>
      <c r="K79" s="1816"/>
      <c r="L79" s="1028"/>
    </row>
    <row r="80" spans="1:12" outlineLevel="1" x14ac:dyDescent="0.25">
      <c r="A80" s="1817" t="s">
        <v>191</v>
      </c>
      <c r="B80" s="1818">
        <v>5171</v>
      </c>
      <c r="C80" s="1819" t="s">
        <v>1766</v>
      </c>
      <c r="D80" s="1752">
        <v>20000</v>
      </c>
      <c r="E80" s="1752">
        <v>20000</v>
      </c>
      <c r="F80" s="1752">
        <v>20000</v>
      </c>
      <c r="G80" s="1752">
        <v>20000</v>
      </c>
      <c r="H80" s="1752">
        <f>+'[4]MŠ Kollárova'!$B$15</f>
        <v>20000</v>
      </c>
      <c r="I80" s="1767">
        <f t="shared" si="13"/>
        <v>0</v>
      </c>
      <c r="J80" s="1802"/>
      <c r="K80" s="1816"/>
      <c r="L80" s="1028"/>
    </row>
    <row r="81" spans="1:12" ht="24.75" outlineLevel="1" x14ac:dyDescent="0.25">
      <c r="A81" s="1817" t="s">
        <v>191</v>
      </c>
      <c r="B81" s="1818">
        <v>5171</v>
      </c>
      <c r="C81" s="1819" t="s">
        <v>2259</v>
      </c>
      <c r="D81" s="1752">
        <v>150000</v>
      </c>
      <c r="E81" s="1752">
        <v>150000</v>
      </c>
      <c r="F81" s="1752">
        <v>150000</v>
      </c>
      <c r="G81" s="1752">
        <v>150000</v>
      </c>
      <c r="H81" s="1752">
        <f>+'[4]MŠ Kollárova'!$B$16</f>
        <v>150000</v>
      </c>
      <c r="I81" s="1767">
        <f t="shared" si="13"/>
        <v>0</v>
      </c>
      <c r="J81" s="1802"/>
      <c r="K81" s="1816"/>
      <c r="L81" s="1028"/>
    </row>
    <row r="82" spans="1:12" outlineLevel="1" x14ac:dyDescent="0.25">
      <c r="A82" s="1822" t="s">
        <v>191</v>
      </c>
      <c r="B82" s="1823">
        <v>5171</v>
      </c>
      <c r="C82" s="1821"/>
      <c r="D82" s="1769"/>
      <c r="E82" s="1769"/>
      <c r="F82" s="1769"/>
      <c r="G82" s="1769"/>
      <c r="H82" s="1769"/>
      <c r="I82" s="1767">
        <f t="shared" si="13"/>
        <v>0</v>
      </c>
      <c r="J82" s="1802"/>
      <c r="K82" s="1816"/>
      <c r="L82" s="1028"/>
    </row>
    <row r="83" spans="1:12" ht="13.5" thickBot="1" x14ac:dyDescent="0.3">
      <c r="A83" s="3180" t="s">
        <v>1222</v>
      </c>
      <c r="B83" s="3181"/>
      <c r="C83" s="1814"/>
      <c r="D83" s="1765">
        <v>250000</v>
      </c>
      <c r="E83" s="1765">
        <v>655000</v>
      </c>
      <c r="F83" s="1765">
        <v>655000</v>
      </c>
      <c r="G83" s="1765">
        <v>655000</v>
      </c>
      <c r="H83" s="1765">
        <f t="shared" ref="H83" si="16">SUM(H77:H82)</f>
        <v>655000</v>
      </c>
      <c r="I83" s="1766">
        <f t="shared" si="13"/>
        <v>0</v>
      </c>
      <c r="J83" s="1815">
        <f>'Výdaje kapitol celkem'!BR35</f>
        <v>655000</v>
      </c>
      <c r="K83" s="1816">
        <f>+J83-H83</f>
        <v>0</v>
      </c>
      <c r="L83" s="1028"/>
    </row>
    <row r="84" spans="1:12" outlineLevel="1" x14ac:dyDescent="0.25">
      <c r="A84" s="1808" t="s">
        <v>192</v>
      </c>
      <c r="B84" s="1809">
        <v>5171</v>
      </c>
      <c r="C84" s="1810" t="s">
        <v>1761</v>
      </c>
      <c r="D84" s="1744">
        <v>70000</v>
      </c>
      <c r="E84" s="1744">
        <v>70000</v>
      </c>
      <c r="F84" s="1744">
        <v>70000</v>
      </c>
      <c r="G84" s="1744">
        <v>70000</v>
      </c>
      <c r="H84" s="1744">
        <f>+'[4]MŠ Pražská'!$B$12</f>
        <v>70000</v>
      </c>
      <c r="I84" s="1745">
        <f t="shared" si="13"/>
        <v>0</v>
      </c>
      <c r="J84" s="1802"/>
      <c r="K84" s="1816"/>
      <c r="L84" s="1028"/>
    </row>
    <row r="85" spans="1:12" outlineLevel="1" x14ac:dyDescent="0.25">
      <c r="A85" s="1825" t="s">
        <v>192</v>
      </c>
      <c r="B85" s="1826">
        <v>5171</v>
      </c>
      <c r="C85" s="1824" t="s">
        <v>1767</v>
      </c>
      <c r="D85" s="1753">
        <v>100000</v>
      </c>
      <c r="E85" s="1753">
        <v>100000</v>
      </c>
      <c r="F85" s="1753">
        <v>100000</v>
      </c>
      <c r="G85" s="1753">
        <v>100000</v>
      </c>
      <c r="H85" s="1753">
        <f>+'[4]MŠ Pražská'!$B$13</f>
        <v>100000</v>
      </c>
      <c r="I85" s="1747">
        <f t="shared" si="13"/>
        <v>0</v>
      </c>
      <c r="J85" s="1802"/>
      <c r="K85" s="1816"/>
      <c r="L85" s="1028"/>
    </row>
    <row r="86" spans="1:12" outlineLevel="1" x14ac:dyDescent="0.25">
      <c r="A86" s="1822" t="s">
        <v>192</v>
      </c>
      <c r="B86" s="1823">
        <v>5171</v>
      </c>
      <c r="C86" s="1821" t="s">
        <v>2852</v>
      </c>
      <c r="D86" s="1769"/>
      <c r="E86" s="1769"/>
      <c r="F86" s="1769"/>
      <c r="G86" s="1769">
        <v>290000</v>
      </c>
      <c r="H86" s="1769">
        <f>+'[4]MŠ Pražská'!$B$14</f>
        <v>290000</v>
      </c>
      <c r="I86" s="1767">
        <f t="shared" si="13"/>
        <v>0</v>
      </c>
      <c r="J86" s="1802"/>
      <c r="K86" s="1816"/>
      <c r="L86" s="1028"/>
    </row>
    <row r="87" spans="1:12" ht="13.5" thickBot="1" x14ac:dyDescent="0.3">
      <c r="A87" s="3180" t="s">
        <v>207</v>
      </c>
      <c r="B87" s="3181"/>
      <c r="C87" s="1814"/>
      <c r="D87" s="1765">
        <v>170000</v>
      </c>
      <c r="E87" s="1765">
        <v>170000</v>
      </c>
      <c r="F87" s="1765">
        <v>170000</v>
      </c>
      <c r="G87" s="1765">
        <v>460000</v>
      </c>
      <c r="H87" s="1765">
        <f>SUM(H84:H86)</f>
        <v>460000</v>
      </c>
      <c r="I87" s="1766">
        <f t="shared" si="13"/>
        <v>0</v>
      </c>
      <c r="J87" s="1815">
        <f>'Výdaje kapitol celkem'!BO35</f>
        <v>460000</v>
      </c>
      <c r="K87" s="1816">
        <f>+J87-H87</f>
        <v>0</v>
      </c>
      <c r="L87" s="1028"/>
    </row>
    <row r="88" spans="1:12" outlineLevel="1" x14ac:dyDescent="0.25">
      <c r="A88" s="1808" t="s">
        <v>217</v>
      </c>
      <c r="B88" s="1809">
        <v>5171</v>
      </c>
      <c r="C88" s="1810" t="s">
        <v>1759</v>
      </c>
      <c r="D88" s="1744">
        <v>80000</v>
      </c>
      <c r="E88" s="1744">
        <v>80000</v>
      </c>
      <c r="F88" s="1744">
        <v>80000</v>
      </c>
      <c r="G88" s="1744">
        <v>80000</v>
      </c>
      <c r="H88" s="1744">
        <f>+'[4]MŠ Cukrovar'!$B$13</f>
        <v>80000</v>
      </c>
      <c r="I88" s="1774">
        <f t="shared" si="13"/>
        <v>0</v>
      </c>
      <c r="J88" s="1802"/>
      <c r="K88" s="1816"/>
      <c r="L88" s="1028"/>
    </row>
    <row r="89" spans="1:12" outlineLevel="1" x14ac:dyDescent="0.25">
      <c r="A89" s="1825" t="s">
        <v>217</v>
      </c>
      <c r="B89" s="1826">
        <v>5171</v>
      </c>
      <c r="C89" s="1824" t="s">
        <v>1760</v>
      </c>
      <c r="D89" s="1753">
        <v>50000</v>
      </c>
      <c r="E89" s="1753">
        <v>50000</v>
      </c>
      <c r="F89" s="1753">
        <v>50000</v>
      </c>
      <c r="G89" s="1753">
        <v>50000</v>
      </c>
      <c r="H89" s="1753">
        <f>+'[4]MŠ Cukrovar'!$B$14</f>
        <v>50000</v>
      </c>
      <c r="I89" s="1768">
        <f t="shared" si="13"/>
        <v>0</v>
      </c>
      <c r="J89" s="1802"/>
      <c r="K89" s="1816"/>
      <c r="L89" s="1028"/>
    </row>
    <row r="90" spans="1:12" outlineLevel="1" x14ac:dyDescent="0.25">
      <c r="A90" s="1822" t="s">
        <v>217</v>
      </c>
      <c r="B90" s="1823">
        <v>5171</v>
      </c>
      <c r="C90" s="1821" t="s">
        <v>1761</v>
      </c>
      <c r="D90" s="1769">
        <v>50000</v>
      </c>
      <c r="E90" s="1769">
        <v>50000</v>
      </c>
      <c r="F90" s="1769">
        <v>50000</v>
      </c>
      <c r="G90" s="1769">
        <v>50000</v>
      </c>
      <c r="H90" s="1769">
        <f>+'[4]MŠ Cukrovar'!$B$15</f>
        <v>50000</v>
      </c>
      <c r="I90" s="1751">
        <f t="shared" si="13"/>
        <v>0</v>
      </c>
      <c r="J90" s="1802"/>
      <c r="K90" s="1816"/>
      <c r="L90" s="1028"/>
    </row>
    <row r="91" spans="1:12" outlineLevel="1" x14ac:dyDescent="0.25">
      <c r="A91" s="1822" t="s">
        <v>649</v>
      </c>
      <c r="B91" s="1823">
        <v>5172</v>
      </c>
      <c r="C91" s="1821" t="s">
        <v>1762</v>
      </c>
      <c r="D91" s="1769">
        <v>100000</v>
      </c>
      <c r="E91" s="1769">
        <v>100000</v>
      </c>
      <c r="F91" s="1769">
        <v>100000</v>
      </c>
      <c r="G91" s="1769">
        <v>100000</v>
      </c>
      <c r="H91" s="1769">
        <f>+'[4]MŠ Cukrovar'!$B$16</f>
        <v>100000</v>
      </c>
      <c r="I91" s="1751">
        <f t="shared" si="13"/>
        <v>0</v>
      </c>
      <c r="J91" s="1802"/>
      <c r="K91" s="1816"/>
      <c r="L91" s="1028"/>
    </row>
    <row r="92" spans="1:12" ht="13.5" thickBot="1" x14ac:dyDescent="0.3">
      <c r="A92" s="3180" t="s">
        <v>1572</v>
      </c>
      <c r="B92" s="3181"/>
      <c r="C92" s="1814"/>
      <c r="D92" s="1765">
        <v>280000</v>
      </c>
      <c r="E92" s="1765">
        <v>280000</v>
      </c>
      <c r="F92" s="1765">
        <v>280000</v>
      </c>
      <c r="G92" s="1765">
        <v>280000</v>
      </c>
      <c r="H92" s="1765">
        <f t="shared" ref="H92" si="17">SUM(H88:H91)</f>
        <v>280000</v>
      </c>
      <c r="I92" s="1766">
        <f t="shared" si="13"/>
        <v>0</v>
      </c>
      <c r="J92" s="1815">
        <f>'Výdaje kapitol celkem'!BY35</f>
        <v>280000</v>
      </c>
      <c r="K92" s="1816">
        <f>+J92-H92</f>
        <v>0</v>
      </c>
      <c r="L92" s="1028"/>
    </row>
    <row r="93" spans="1:12" outlineLevel="1" x14ac:dyDescent="0.25">
      <c r="A93" s="1825" t="s">
        <v>193</v>
      </c>
      <c r="B93" s="1826">
        <v>5171</v>
      </c>
      <c r="C93" s="1824" t="s">
        <v>2260</v>
      </c>
      <c r="D93" s="1753">
        <v>300000</v>
      </c>
      <c r="E93" s="1753">
        <v>300000</v>
      </c>
      <c r="F93" s="1753">
        <v>790000</v>
      </c>
      <c r="G93" s="1753">
        <v>790000</v>
      </c>
      <c r="H93" s="1753">
        <f>+'[4]Jídelna ZŠ'!$B$12</f>
        <v>790000</v>
      </c>
      <c r="I93" s="1747">
        <f t="shared" si="13"/>
        <v>0</v>
      </c>
      <c r="J93" s="1802"/>
      <c r="K93" s="1816"/>
      <c r="L93" s="1028"/>
    </row>
    <row r="94" spans="1:12" outlineLevel="1" x14ac:dyDescent="0.25">
      <c r="A94" s="1822" t="s">
        <v>193</v>
      </c>
      <c r="B94" s="1823">
        <v>5171</v>
      </c>
      <c r="C94" s="1821" t="s">
        <v>1789</v>
      </c>
      <c r="D94" s="1769"/>
      <c r="E94" s="1769"/>
      <c r="F94" s="1769">
        <v>490000</v>
      </c>
      <c r="G94" s="1769">
        <v>1140000</v>
      </c>
      <c r="H94" s="1769">
        <f>+'[4]Jídelna ZŠ'!$B$13</f>
        <v>1140000</v>
      </c>
      <c r="I94" s="1767">
        <f t="shared" si="13"/>
        <v>0</v>
      </c>
      <c r="J94" s="1802"/>
      <c r="K94" s="1816"/>
      <c r="L94" s="1028"/>
    </row>
    <row r="95" spans="1:12" ht="13.5" thickBot="1" x14ac:dyDescent="0.3">
      <c r="A95" s="3180" t="s">
        <v>208</v>
      </c>
      <c r="B95" s="3181"/>
      <c r="C95" s="1814"/>
      <c r="D95" s="1765">
        <v>300000</v>
      </c>
      <c r="E95" s="1765">
        <v>300000</v>
      </c>
      <c r="F95" s="1765">
        <v>1280000</v>
      </c>
      <c r="G95" s="1765">
        <v>1930000</v>
      </c>
      <c r="H95" s="1765">
        <f>SUM(H93:H94)</f>
        <v>1930000</v>
      </c>
      <c r="I95" s="1766">
        <f t="shared" si="13"/>
        <v>0</v>
      </c>
      <c r="J95" s="1815">
        <f>'Výdaje kapitol celkem'!BU35</f>
        <v>1930000</v>
      </c>
      <c r="K95" s="1816">
        <f>+J95-H95</f>
        <v>0</v>
      </c>
      <c r="L95" s="1028"/>
    </row>
    <row r="96" spans="1:12" outlineLevel="1" x14ac:dyDescent="0.25">
      <c r="A96" s="1825" t="s">
        <v>194</v>
      </c>
      <c r="B96" s="1826">
        <v>5171</v>
      </c>
      <c r="C96" s="1824" t="s">
        <v>1764</v>
      </c>
      <c r="D96" s="1753">
        <v>50000</v>
      </c>
      <c r="E96" s="1753">
        <v>50000</v>
      </c>
      <c r="F96" s="1753">
        <v>50000</v>
      </c>
      <c r="G96" s="1753">
        <v>50000</v>
      </c>
      <c r="H96" s="1753">
        <f>+'[4]Jídelna MŠ'!$B$12</f>
        <v>50000</v>
      </c>
      <c r="I96" s="1747">
        <f t="shared" si="13"/>
        <v>0</v>
      </c>
      <c r="J96" s="1802"/>
      <c r="K96" s="1816"/>
      <c r="L96" s="1028"/>
    </row>
    <row r="97" spans="1:12" outlineLevel="1" x14ac:dyDescent="0.25">
      <c r="A97" s="1822" t="s">
        <v>194</v>
      </c>
      <c r="B97" s="1823">
        <v>5171</v>
      </c>
      <c r="C97" s="1821"/>
      <c r="D97" s="1769">
        <v>0</v>
      </c>
      <c r="E97" s="1769">
        <v>0</v>
      </c>
      <c r="F97" s="1769">
        <v>0</v>
      </c>
      <c r="G97" s="1769">
        <v>0</v>
      </c>
      <c r="H97" s="1769">
        <f>+'[4]Jídelna MŠ'!$B$13</f>
        <v>0</v>
      </c>
      <c r="I97" s="1768">
        <f t="shared" si="13"/>
        <v>0</v>
      </c>
      <c r="J97" s="1802"/>
      <c r="K97" s="1816"/>
      <c r="L97" s="1028"/>
    </row>
    <row r="98" spans="1:12" ht="13.5" thickBot="1" x14ac:dyDescent="0.3">
      <c r="A98" s="3180" t="s">
        <v>209</v>
      </c>
      <c r="B98" s="3181"/>
      <c r="C98" s="1814"/>
      <c r="D98" s="1765">
        <v>50000</v>
      </c>
      <c r="E98" s="1765">
        <v>50000</v>
      </c>
      <c r="F98" s="1765">
        <v>50000</v>
      </c>
      <c r="G98" s="1765">
        <v>50000</v>
      </c>
      <c r="H98" s="1765">
        <f>SUM(H96:H97)</f>
        <v>50000</v>
      </c>
      <c r="I98" s="1766">
        <f t="shared" si="13"/>
        <v>0</v>
      </c>
      <c r="J98" s="1815">
        <f>'Výdaje kapitol celkem'!BX35</f>
        <v>50000</v>
      </c>
      <c r="K98" s="1816">
        <f>+J98-H98</f>
        <v>0</v>
      </c>
      <c r="L98" s="1028"/>
    </row>
    <row r="99" spans="1:12" outlineLevel="1" x14ac:dyDescent="0.25">
      <c r="A99" s="1808">
        <v>3631</v>
      </c>
      <c r="B99" s="1809">
        <v>5171</v>
      </c>
      <c r="C99" s="1810" t="s">
        <v>1754</v>
      </c>
      <c r="D99" s="1744">
        <v>350000</v>
      </c>
      <c r="E99" s="1744">
        <v>350000</v>
      </c>
      <c r="F99" s="1744">
        <v>350000</v>
      </c>
      <c r="G99" s="1744">
        <v>350000</v>
      </c>
      <c r="H99" s="1744">
        <f>+[4]VO!$B$30</f>
        <v>350000</v>
      </c>
      <c r="I99" s="1745">
        <f t="shared" si="13"/>
        <v>0</v>
      </c>
      <c r="J99" s="1815"/>
      <c r="K99" s="1816"/>
      <c r="L99" s="1028"/>
    </row>
    <row r="100" spans="1:12" outlineLevel="1" x14ac:dyDescent="0.25">
      <c r="A100" s="1817">
        <v>3631</v>
      </c>
      <c r="B100" s="1818">
        <v>5171</v>
      </c>
      <c r="C100" s="1819" t="s">
        <v>1755</v>
      </c>
      <c r="D100" s="1752">
        <v>100000</v>
      </c>
      <c r="E100" s="1752">
        <v>100000</v>
      </c>
      <c r="F100" s="1752">
        <v>100000</v>
      </c>
      <c r="G100" s="1752">
        <v>100000</v>
      </c>
      <c r="H100" s="1752">
        <f>+[4]VO!$B$31</f>
        <v>100000</v>
      </c>
      <c r="I100" s="1767">
        <f t="shared" si="13"/>
        <v>0</v>
      </c>
      <c r="J100" s="1815"/>
      <c r="K100" s="1816"/>
      <c r="L100" s="1028"/>
    </row>
    <row r="101" spans="1:12" hidden="1" outlineLevel="1" x14ac:dyDescent="0.25">
      <c r="A101" s="1817">
        <v>3631</v>
      </c>
      <c r="B101" s="1818">
        <v>5171</v>
      </c>
      <c r="C101" s="1824"/>
      <c r="D101" s="1753"/>
      <c r="E101" s="1753"/>
      <c r="F101" s="1753"/>
      <c r="G101" s="1753"/>
      <c r="H101" s="1753"/>
      <c r="I101" s="1747">
        <f t="shared" si="13"/>
        <v>0</v>
      </c>
      <c r="J101" s="1815"/>
      <c r="K101" s="1816"/>
      <c r="L101" s="1028"/>
    </row>
    <row r="102" spans="1:12" outlineLevel="1" x14ac:dyDescent="0.25">
      <c r="A102" s="1825">
        <v>3631</v>
      </c>
      <c r="B102" s="1823">
        <v>5171</v>
      </c>
      <c r="C102" s="1821"/>
      <c r="D102" s="1769"/>
      <c r="E102" s="1769"/>
      <c r="F102" s="1769"/>
      <c r="G102" s="1769"/>
      <c r="H102" s="1769"/>
      <c r="I102" s="1767">
        <f t="shared" si="13"/>
        <v>0</v>
      </c>
      <c r="J102" s="1815"/>
      <c r="K102" s="1816"/>
      <c r="L102" s="1028"/>
    </row>
    <row r="103" spans="1:12" ht="13.5" thickBot="1" x14ac:dyDescent="0.3">
      <c r="A103" s="3180" t="s">
        <v>629</v>
      </c>
      <c r="B103" s="3181"/>
      <c r="C103" s="1814"/>
      <c r="D103" s="1765">
        <v>450000</v>
      </c>
      <c r="E103" s="1765">
        <v>450000</v>
      </c>
      <c r="F103" s="1765">
        <v>450000</v>
      </c>
      <c r="G103" s="1765">
        <v>450000</v>
      </c>
      <c r="H103" s="1765">
        <f t="shared" ref="H103" si="18">SUM(H99:H102)</f>
        <v>450000</v>
      </c>
      <c r="I103" s="1766">
        <f t="shared" si="13"/>
        <v>0</v>
      </c>
      <c r="J103" s="1815">
        <f>'Výdaje kapitol celkem'!CC35</f>
        <v>450000</v>
      </c>
      <c r="K103" s="1816">
        <f>+J103-H103</f>
        <v>0</v>
      </c>
      <c r="L103" s="1028"/>
    </row>
    <row r="104" spans="1:12" outlineLevel="1" x14ac:dyDescent="0.25">
      <c r="A104" s="1822">
        <v>2212</v>
      </c>
      <c r="B104" s="1823">
        <v>5171</v>
      </c>
      <c r="C104" s="1821" t="s">
        <v>1741</v>
      </c>
      <c r="D104" s="1769">
        <v>300000</v>
      </c>
      <c r="E104" s="1769">
        <v>300000</v>
      </c>
      <c r="F104" s="1769">
        <v>300000</v>
      </c>
      <c r="G104" s="1769">
        <v>300000</v>
      </c>
      <c r="H104" s="1769">
        <f>+[4]Silnice!$B$40</f>
        <v>300000</v>
      </c>
      <c r="I104" s="1767">
        <f t="shared" si="13"/>
        <v>0</v>
      </c>
      <c r="J104" s="1802"/>
      <c r="K104" s="1816"/>
      <c r="L104" s="1028"/>
    </row>
    <row r="105" spans="1:12" ht="24.75" outlineLevel="1" x14ac:dyDescent="0.25">
      <c r="A105" s="1822">
        <v>2212</v>
      </c>
      <c r="B105" s="1823">
        <v>5171</v>
      </c>
      <c r="C105" s="1821" t="s">
        <v>1742</v>
      </c>
      <c r="D105" s="1769">
        <v>500000</v>
      </c>
      <c r="E105" s="1769">
        <v>500000</v>
      </c>
      <c r="F105" s="1769">
        <v>500000</v>
      </c>
      <c r="G105" s="1769">
        <v>500000</v>
      </c>
      <c r="H105" s="1769">
        <f>+[4]Silnice!$B$41</f>
        <v>500000</v>
      </c>
      <c r="I105" s="1767">
        <f t="shared" si="13"/>
        <v>0</v>
      </c>
      <c r="J105" s="1802"/>
      <c r="K105" s="1816"/>
      <c r="L105" s="1028"/>
    </row>
    <row r="106" spans="1:12" outlineLevel="1" x14ac:dyDescent="0.25">
      <c r="A106" s="1822">
        <v>2212</v>
      </c>
      <c r="B106" s="1823">
        <v>5171</v>
      </c>
      <c r="C106" s="1821" t="s">
        <v>1743</v>
      </c>
      <c r="D106" s="1769">
        <v>500000</v>
      </c>
      <c r="E106" s="1769">
        <v>500000</v>
      </c>
      <c r="F106" s="1769">
        <v>500000</v>
      </c>
      <c r="G106" s="1769">
        <v>500000</v>
      </c>
      <c r="H106" s="1769">
        <f>+[4]Silnice!$B$42</f>
        <v>500000</v>
      </c>
      <c r="I106" s="1767">
        <f t="shared" si="13"/>
        <v>0</v>
      </c>
      <c r="J106" s="1802"/>
      <c r="K106" s="1816"/>
      <c r="L106" s="1028"/>
    </row>
    <row r="107" spans="1:12" outlineLevel="1" x14ac:dyDescent="0.25">
      <c r="A107" s="1822">
        <v>2212</v>
      </c>
      <c r="B107" s="1823">
        <v>5171</v>
      </c>
      <c r="C107" s="1821" t="s">
        <v>1744</v>
      </c>
      <c r="D107" s="1769">
        <v>650000</v>
      </c>
      <c r="E107" s="1769">
        <v>650000</v>
      </c>
      <c r="F107" s="1769">
        <v>650000</v>
      </c>
      <c r="G107" s="1769">
        <v>650000</v>
      </c>
      <c r="H107" s="1769">
        <f>+[4]Silnice!$B$43</f>
        <v>650000</v>
      </c>
      <c r="I107" s="1767">
        <f t="shared" si="13"/>
        <v>0</v>
      </c>
      <c r="J107" s="1802"/>
      <c r="K107" s="1816"/>
      <c r="L107" s="1028"/>
    </row>
    <row r="108" spans="1:12" outlineLevel="1" x14ac:dyDescent="0.25">
      <c r="A108" s="1822">
        <v>2212</v>
      </c>
      <c r="B108" s="1823">
        <v>5171</v>
      </c>
      <c r="C108" s="1821" t="s">
        <v>1745</v>
      </c>
      <c r="D108" s="1769">
        <v>500000</v>
      </c>
      <c r="E108" s="1769">
        <v>500000</v>
      </c>
      <c r="F108" s="1769">
        <v>500000</v>
      </c>
      <c r="G108" s="1769">
        <v>500000</v>
      </c>
      <c r="H108" s="1769">
        <f>+[4]Silnice!$B$44</f>
        <v>500000</v>
      </c>
      <c r="I108" s="1767">
        <f t="shared" si="13"/>
        <v>0</v>
      </c>
      <c r="J108" s="1802"/>
      <c r="K108" s="1816"/>
      <c r="L108" s="1028"/>
    </row>
    <row r="109" spans="1:12" ht="24.75" outlineLevel="1" x14ac:dyDescent="0.25">
      <c r="A109" s="1822">
        <v>2212</v>
      </c>
      <c r="B109" s="1823">
        <v>5171</v>
      </c>
      <c r="C109" s="1821" t="s">
        <v>2410</v>
      </c>
      <c r="D109" s="1769">
        <v>100000</v>
      </c>
      <c r="E109" s="1769">
        <v>100000</v>
      </c>
      <c r="F109" s="1769">
        <v>100000</v>
      </c>
      <c r="G109" s="1769">
        <v>100000</v>
      </c>
      <c r="H109" s="1769">
        <f>+[4]Silnice!$B$45</f>
        <v>100000</v>
      </c>
      <c r="I109" s="1767">
        <f t="shared" si="13"/>
        <v>0</v>
      </c>
      <c r="J109" s="1802"/>
      <c r="K109" s="1816"/>
      <c r="L109" s="1028"/>
    </row>
    <row r="110" spans="1:12" outlineLevel="1" x14ac:dyDescent="0.25">
      <c r="A110" s="1822">
        <v>2212</v>
      </c>
      <c r="B110" s="1823">
        <v>5171</v>
      </c>
      <c r="C110" s="1821" t="s">
        <v>2269</v>
      </c>
      <c r="D110" s="1769">
        <v>550000</v>
      </c>
      <c r="E110" s="1769">
        <v>550000</v>
      </c>
      <c r="F110" s="1769">
        <v>550000</v>
      </c>
      <c r="G110" s="1769">
        <v>550000</v>
      </c>
      <c r="H110" s="1769">
        <f>+[4]Silnice!$B$46</f>
        <v>550000</v>
      </c>
      <c r="I110" s="1767">
        <f t="shared" si="13"/>
        <v>0</v>
      </c>
      <c r="J110" s="1802"/>
      <c r="K110" s="1816"/>
      <c r="L110" s="1028"/>
    </row>
    <row r="111" spans="1:12" outlineLevel="1" x14ac:dyDescent="0.25">
      <c r="A111" s="1822">
        <v>2212</v>
      </c>
      <c r="B111" s="1823">
        <v>5171</v>
      </c>
      <c r="C111" s="1821" t="s">
        <v>1746</v>
      </c>
      <c r="D111" s="1769">
        <v>2000000</v>
      </c>
      <c r="E111" s="1769">
        <v>2000000</v>
      </c>
      <c r="F111" s="1769">
        <v>2000000</v>
      </c>
      <c r="G111" s="1769">
        <v>2000000</v>
      </c>
      <c r="H111" s="1769">
        <f>+[4]Silnice!$B$47</f>
        <v>2000000</v>
      </c>
      <c r="I111" s="1767">
        <f t="shared" si="13"/>
        <v>0</v>
      </c>
      <c r="J111" s="1802"/>
      <c r="K111" s="1816"/>
      <c r="L111" s="1028"/>
    </row>
    <row r="112" spans="1:12" outlineLevel="1" x14ac:dyDescent="0.25">
      <c r="A112" s="1822">
        <v>2212</v>
      </c>
      <c r="B112" s="1823">
        <v>5171</v>
      </c>
      <c r="C112" s="1821" t="s">
        <v>2270</v>
      </c>
      <c r="D112" s="1769">
        <v>500000</v>
      </c>
      <c r="E112" s="1769">
        <v>500000</v>
      </c>
      <c r="F112" s="1769">
        <v>2120000</v>
      </c>
      <c r="G112" s="1769">
        <v>700000</v>
      </c>
      <c r="H112" s="2966">
        <f>+[4]Silnice!$B$48</f>
        <v>700000</v>
      </c>
      <c r="I112" s="1767">
        <f t="shared" si="13"/>
        <v>0</v>
      </c>
      <c r="J112" s="1802"/>
      <c r="K112" s="1816" t="s">
        <v>2895</v>
      </c>
      <c r="L112" s="1028"/>
    </row>
    <row r="113" spans="1:12" outlineLevel="1" x14ac:dyDescent="0.25">
      <c r="A113" s="1822">
        <v>2212</v>
      </c>
      <c r="B113" s="1823">
        <v>5171</v>
      </c>
      <c r="C113" s="1821" t="s">
        <v>2411</v>
      </c>
      <c r="D113" s="1769">
        <v>1100000</v>
      </c>
      <c r="E113" s="1769">
        <v>1100000</v>
      </c>
      <c r="F113" s="1769">
        <v>1100000</v>
      </c>
      <c r="G113" s="1769">
        <v>2015682</v>
      </c>
      <c r="H113" s="1769">
        <f>+[4]Silnice!$B$49</f>
        <v>2015682</v>
      </c>
      <c r="I113" s="1767">
        <f t="shared" si="13"/>
        <v>0</v>
      </c>
      <c r="J113" s="1802"/>
      <c r="K113" s="1816"/>
      <c r="L113" s="1028"/>
    </row>
    <row r="114" spans="1:12" ht="24.75" hidden="1" outlineLevel="1" x14ac:dyDescent="0.25">
      <c r="A114" s="1822">
        <v>2212</v>
      </c>
      <c r="B114" s="1823">
        <v>5171</v>
      </c>
      <c r="C114" s="1821" t="s">
        <v>2412</v>
      </c>
      <c r="D114" s="1769">
        <v>0</v>
      </c>
      <c r="E114" s="1769">
        <v>0</v>
      </c>
      <c r="F114" s="1769">
        <v>0</v>
      </c>
      <c r="G114" s="1769">
        <v>0</v>
      </c>
      <c r="H114" s="1769">
        <f>+[4]Silnice!$B$50</f>
        <v>0</v>
      </c>
      <c r="I114" s="1767">
        <f t="shared" si="13"/>
        <v>0</v>
      </c>
      <c r="J114" s="1802"/>
      <c r="K114" s="1816"/>
      <c r="L114" s="1028"/>
    </row>
    <row r="115" spans="1:12" outlineLevel="1" x14ac:dyDescent="0.25">
      <c r="A115" s="1822">
        <v>2212</v>
      </c>
      <c r="B115" s="1823">
        <v>5171</v>
      </c>
      <c r="C115" s="1821" t="s">
        <v>1747</v>
      </c>
      <c r="D115" s="1769">
        <v>150000</v>
      </c>
      <c r="E115" s="1769">
        <v>150000</v>
      </c>
      <c r="F115" s="1769">
        <v>150000</v>
      </c>
      <c r="G115" s="1769">
        <v>150000</v>
      </c>
      <c r="H115" s="1769">
        <f>+[4]Silnice!$B$51</f>
        <v>150000</v>
      </c>
      <c r="I115" s="1767">
        <f t="shared" si="13"/>
        <v>0</v>
      </c>
      <c r="J115" s="1802"/>
      <c r="K115" s="1816"/>
      <c r="L115" s="1028"/>
    </row>
    <row r="116" spans="1:12" outlineLevel="1" x14ac:dyDescent="0.25">
      <c r="A116" s="1822">
        <v>2212</v>
      </c>
      <c r="B116" s="1823">
        <v>5171</v>
      </c>
      <c r="C116" s="1821" t="s">
        <v>1748</v>
      </c>
      <c r="D116" s="1769">
        <v>250000</v>
      </c>
      <c r="E116" s="1769">
        <v>250000</v>
      </c>
      <c r="F116" s="1769">
        <v>250000</v>
      </c>
      <c r="G116" s="1769">
        <v>250000</v>
      </c>
      <c r="H116" s="1769">
        <f>+[4]Silnice!$B$52</f>
        <v>250000</v>
      </c>
      <c r="I116" s="1767">
        <f t="shared" si="13"/>
        <v>0</v>
      </c>
      <c r="J116" s="1802"/>
      <c r="K116" s="1816"/>
      <c r="L116" s="1028"/>
    </row>
    <row r="117" spans="1:12" outlineLevel="1" x14ac:dyDescent="0.25">
      <c r="A117" s="1822">
        <v>2212</v>
      </c>
      <c r="B117" s="1823">
        <v>5171</v>
      </c>
      <c r="C117" s="1821" t="s">
        <v>2271</v>
      </c>
      <c r="D117" s="1769">
        <v>550000</v>
      </c>
      <c r="E117" s="1769">
        <v>550000</v>
      </c>
      <c r="F117" s="1769">
        <v>550000</v>
      </c>
      <c r="G117" s="1769">
        <v>1116212</v>
      </c>
      <c r="H117" s="1769">
        <f>+[4]Silnice!$B$53</f>
        <v>1116212</v>
      </c>
      <c r="I117" s="1767">
        <f t="shared" si="13"/>
        <v>0</v>
      </c>
      <c r="J117" s="1802"/>
      <c r="K117" s="1816"/>
      <c r="L117" s="1028"/>
    </row>
    <row r="118" spans="1:12" outlineLevel="1" x14ac:dyDescent="0.25">
      <c r="A118" s="1822">
        <v>2212</v>
      </c>
      <c r="B118" s="1823">
        <v>5171</v>
      </c>
      <c r="C118" s="1821" t="s">
        <v>1749</v>
      </c>
      <c r="D118" s="1769">
        <v>711480</v>
      </c>
      <c r="E118" s="1769">
        <v>711480</v>
      </c>
      <c r="F118" s="1769">
        <v>711480</v>
      </c>
      <c r="G118" s="1769">
        <v>711480</v>
      </c>
      <c r="H118" s="1769">
        <f>+[4]Silnice!$B$54</f>
        <v>711480</v>
      </c>
      <c r="I118" s="1767">
        <f t="shared" si="13"/>
        <v>0</v>
      </c>
      <c r="J118" s="1802"/>
      <c r="K118" s="1816"/>
      <c r="L118" s="1028"/>
    </row>
    <row r="119" spans="1:12" outlineLevel="1" x14ac:dyDescent="0.25">
      <c r="A119" s="1822">
        <v>2212</v>
      </c>
      <c r="B119" s="1823">
        <v>5171</v>
      </c>
      <c r="C119" s="1821" t="s">
        <v>2413</v>
      </c>
      <c r="D119" s="1769">
        <v>3000000</v>
      </c>
      <c r="E119" s="1769">
        <v>3000000</v>
      </c>
      <c r="F119" s="1769">
        <v>3850000</v>
      </c>
      <c r="G119" s="1769">
        <v>4646548</v>
      </c>
      <c r="H119" s="1769">
        <f>+[4]Silnice!$B$55</f>
        <v>4646548</v>
      </c>
      <c r="I119" s="1767">
        <f t="shared" si="13"/>
        <v>0</v>
      </c>
      <c r="J119" s="1802"/>
      <c r="K119" s="1816"/>
      <c r="L119" s="1028"/>
    </row>
    <row r="120" spans="1:12" outlineLevel="1" x14ac:dyDescent="0.25">
      <c r="A120" s="1822">
        <v>2212</v>
      </c>
      <c r="B120" s="1823">
        <v>5171</v>
      </c>
      <c r="C120" s="1821" t="s">
        <v>2414</v>
      </c>
      <c r="D120" s="1769">
        <v>0</v>
      </c>
      <c r="E120" s="1769">
        <v>1200000</v>
      </c>
      <c r="F120" s="1769">
        <v>1200000</v>
      </c>
      <c r="G120" s="1769">
        <v>1852222</v>
      </c>
      <c r="H120" s="1769">
        <f>+[4]Silnice!$B$56</f>
        <v>1852222</v>
      </c>
      <c r="I120" s="1767">
        <f t="shared" si="13"/>
        <v>0</v>
      </c>
      <c r="J120" s="1802"/>
      <c r="K120" s="1816"/>
      <c r="L120" s="1028"/>
    </row>
    <row r="121" spans="1:12" hidden="1" outlineLevel="1" x14ac:dyDescent="0.25">
      <c r="A121" s="1822">
        <v>2212</v>
      </c>
      <c r="B121" s="1823">
        <v>5171</v>
      </c>
      <c r="C121" s="1821" t="s">
        <v>2272</v>
      </c>
      <c r="D121" s="1769">
        <v>0</v>
      </c>
      <c r="E121" s="1769">
        <v>0</v>
      </c>
      <c r="F121" s="1769">
        <v>0</v>
      </c>
      <c r="G121" s="1769">
        <v>0</v>
      </c>
      <c r="H121" s="1769">
        <f>+[4]Silnice!$B$57</f>
        <v>0</v>
      </c>
      <c r="I121" s="1767">
        <f t="shared" si="13"/>
        <v>0</v>
      </c>
      <c r="J121" s="1802"/>
      <c r="K121" s="1816"/>
      <c r="L121" s="1028"/>
    </row>
    <row r="122" spans="1:12" outlineLevel="1" x14ac:dyDescent="0.25">
      <c r="A122" s="1822">
        <v>2212</v>
      </c>
      <c r="B122" s="1823">
        <v>5171</v>
      </c>
      <c r="C122" s="1821" t="s">
        <v>2273</v>
      </c>
      <c r="D122" s="1769">
        <v>250000</v>
      </c>
      <c r="E122" s="1769">
        <v>250000</v>
      </c>
      <c r="F122" s="1769">
        <v>250000</v>
      </c>
      <c r="G122" s="1769">
        <v>250000</v>
      </c>
      <c r="H122" s="1769">
        <f>+[4]Silnice!$B$58</f>
        <v>250000</v>
      </c>
      <c r="I122" s="1767">
        <f t="shared" si="13"/>
        <v>0</v>
      </c>
      <c r="J122" s="1802"/>
      <c r="K122" s="1816"/>
      <c r="L122" s="1028"/>
    </row>
    <row r="123" spans="1:12" ht="24.75" hidden="1" outlineLevel="1" x14ac:dyDescent="0.25">
      <c r="A123" s="1822">
        <v>2212</v>
      </c>
      <c r="B123" s="1823">
        <v>5171</v>
      </c>
      <c r="C123" s="1821" t="s">
        <v>2274</v>
      </c>
      <c r="D123" s="1769">
        <v>0</v>
      </c>
      <c r="E123" s="1769">
        <v>0</v>
      </c>
      <c r="F123" s="1769">
        <v>0</v>
      </c>
      <c r="G123" s="1769">
        <v>0</v>
      </c>
      <c r="H123" s="1769">
        <f>+[4]Silnice!$B$59</f>
        <v>0</v>
      </c>
      <c r="I123" s="1767">
        <f t="shared" si="13"/>
        <v>0</v>
      </c>
      <c r="J123" s="1802"/>
      <c r="K123" s="1816"/>
      <c r="L123" s="1028"/>
    </row>
    <row r="124" spans="1:12" outlineLevel="1" x14ac:dyDescent="0.25">
      <c r="A124" s="1822">
        <v>2212</v>
      </c>
      <c r="B124" s="1823">
        <v>5171</v>
      </c>
      <c r="C124" s="1821" t="s">
        <v>2275</v>
      </c>
      <c r="D124" s="1769">
        <v>900000</v>
      </c>
      <c r="E124" s="1769">
        <v>900000</v>
      </c>
      <c r="F124" s="1769">
        <v>900000</v>
      </c>
      <c r="G124" s="1769">
        <v>1778964</v>
      </c>
      <c r="H124" s="1769">
        <f>+[4]Silnice!$B$60</f>
        <v>1778964</v>
      </c>
      <c r="I124" s="1767">
        <f t="shared" si="13"/>
        <v>0</v>
      </c>
      <c r="J124" s="1802"/>
      <c r="K124" s="1816"/>
      <c r="L124" s="1028"/>
    </row>
    <row r="125" spans="1:12" outlineLevel="1" x14ac:dyDescent="0.25">
      <c r="A125" s="1822">
        <v>2212</v>
      </c>
      <c r="B125" s="1823">
        <v>5171</v>
      </c>
      <c r="C125" s="1821" t="s">
        <v>2276</v>
      </c>
      <c r="D125" s="1769">
        <v>500000</v>
      </c>
      <c r="E125" s="1769">
        <v>500000</v>
      </c>
      <c r="F125" s="1769">
        <v>500000</v>
      </c>
      <c r="G125" s="1769">
        <v>500000</v>
      </c>
      <c r="H125" s="1769">
        <f>+[4]Silnice!$B$61</f>
        <v>500000</v>
      </c>
      <c r="I125" s="1767">
        <f t="shared" si="13"/>
        <v>0</v>
      </c>
      <c r="J125" s="1802"/>
      <c r="K125" s="1816"/>
      <c r="L125" s="1028"/>
    </row>
    <row r="126" spans="1:12" hidden="1" outlineLevel="1" x14ac:dyDescent="0.25">
      <c r="A126" s="1822">
        <v>2212</v>
      </c>
      <c r="B126" s="1823">
        <v>5171</v>
      </c>
      <c r="C126" s="1821" t="s">
        <v>2363</v>
      </c>
      <c r="D126" s="1769">
        <v>0</v>
      </c>
      <c r="E126" s="1769">
        <v>0</v>
      </c>
      <c r="F126" s="1769">
        <v>0</v>
      </c>
      <c r="G126" s="1769">
        <v>0</v>
      </c>
      <c r="H126" s="1769">
        <f>+[4]Silnice!$B$62</f>
        <v>0</v>
      </c>
      <c r="I126" s="1767">
        <f t="shared" si="13"/>
        <v>0</v>
      </c>
      <c r="J126" s="1802"/>
      <c r="K126" s="1816"/>
      <c r="L126" s="1028"/>
    </row>
    <row r="127" spans="1:12" hidden="1" outlineLevel="1" x14ac:dyDescent="0.25">
      <c r="A127" s="1822">
        <v>2212</v>
      </c>
      <c r="B127" s="1823">
        <v>5171</v>
      </c>
      <c r="C127" s="1821"/>
      <c r="D127" s="1769"/>
      <c r="E127" s="1769"/>
      <c r="F127" s="1769"/>
      <c r="G127" s="1769"/>
      <c r="H127" s="1769"/>
      <c r="I127" s="1767">
        <f t="shared" si="13"/>
        <v>0</v>
      </c>
      <c r="J127" s="1802"/>
      <c r="K127" s="1816"/>
      <c r="L127" s="1028"/>
    </row>
    <row r="128" spans="1:12" outlineLevel="1" x14ac:dyDescent="0.25">
      <c r="A128" s="1822">
        <v>2212</v>
      </c>
      <c r="B128" s="1823">
        <v>5171</v>
      </c>
      <c r="C128" s="1821" t="s">
        <v>2853</v>
      </c>
      <c r="D128" s="1769"/>
      <c r="E128" s="1769"/>
      <c r="F128" s="1769"/>
      <c r="G128" s="1769">
        <v>604000</v>
      </c>
      <c r="H128" s="1769">
        <f>+[4]Silnice!$B$63</f>
        <v>604000</v>
      </c>
      <c r="I128" s="1767">
        <f t="shared" si="13"/>
        <v>0</v>
      </c>
      <c r="J128" s="1802"/>
      <c r="K128" s="1816"/>
      <c r="L128" s="1028"/>
    </row>
    <row r="129" spans="1:12" ht="13.5" thickBot="1" x14ac:dyDescent="0.3">
      <c r="A129" s="3180" t="s">
        <v>253</v>
      </c>
      <c r="B129" s="3181"/>
      <c r="C129" s="1814"/>
      <c r="D129" s="1765">
        <v>13011480</v>
      </c>
      <c r="E129" s="1765">
        <v>14211480</v>
      </c>
      <c r="F129" s="1765">
        <v>16681480</v>
      </c>
      <c r="G129" s="1765">
        <v>19675108</v>
      </c>
      <c r="H129" s="1765">
        <f>SUM(H104:H128)</f>
        <v>19675108</v>
      </c>
      <c r="I129" s="1766">
        <f t="shared" si="13"/>
        <v>0</v>
      </c>
      <c r="J129" s="1815">
        <f>'Výdaje kapitol celkem'!CF35</f>
        <v>19675108</v>
      </c>
      <c r="K129" s="1816">
        <f>+J129-H129</f>
        <v>0</v>
      </c>
      <c r="L129" s="1028"/>
    </row>
    <row r="130" spans="1:12" outlineLevel="1" x14ac:dyDescent="0.25">
      <c r="A130" s="1808">
        <v>2310</v>
      </c>
      <c r="B130" s="1809">
        <v>5171</v>
      </c>
      <c r="C130" s="1810" t="s">
        <v>1739</v>
      </c>
      <c r="D130" s="1744">
        <v>0</v>
      </c>
      <c r="E130" s="1744">
        <v>0</v>
      </c>
      <c r="F130" s="1744">
        <v>0</v>
      </c>
      <c r="G130" s="1744">
        <v>0</v>
      </c>
      <c r="H130" s="1744">
        <f>+[4]Vodovod!$B$20</f>
        <v>0</v>
      </c>
      <c r="I130" s="1745">
        <f t="shared" si="13"/>
        <v>0</v>
      </c>
      <c r="J130" s="1802"/>
      <c r="K130" s="1816"/>
      <c r="L130" s="1028"/>
    </row>
    <row r="131" spans="1:12" outlineLevel="1" x14ac:dyDescent="0.25">
      <c r="A131" s="1822">
        <v>2310</v>
      </c>
      <c r="B131" s="1823">
        <v>5171</v>
      </c>
      <c r="C131" s="1824" t="s">
        <v>1740</v>
      </c>
      <c r="D131" s="1753">
        <v>100000</v>
      </c>
      <c r="E131" s="1753">
        <v>100000</v>
      </c>
      <c r="F131" s="1753">
        <v>100000</v>
      </c>
      <c r="G131" s="1753">
        <v>100000</v>
      </c>
      <c r="H131" s="1753">
        <f>+[4]Vodovod!$B$21</f>
        <v>100000</v>
      </c>
      <c r="I131" s="1747">
        <f t="shared" si="13"/>
        <v>0</v>
      </c>
      <c r="J131" s="1802"/>
      <c r="K131" s="1816"/>
      <c r="L131" s="1028"/>
    </row>
    <row r="132" spans="1:12" outlineLevel="1" x14ac:dyDescent="0.25">
      <c r="A132" s="1822">
        <v>2310</v>
      </c>
      <c r="B132" s="1823">
        <v>5171</v>
      </c>
      <c r="C132" s="1821"/>
      <c r="D132" s="1769"/>
      <c r="E132" s="1769"/>
      <c r="F132" s="1769"/>
      <c r="G132" s="1769"/>
      <c r="H132" s="1769"/>
      <c r="I132" s="1767">
        <f t="shared" si="13"/>
        <v>0</v>
      </c>
      <c r="J132" s="1802"/>
      <c r="K132" s="1816"/>
      <c r="L132" s="1028"/>
    </row>
    <row r="133" spans="1:12" ht="13.5" thickBot="1" x14ac:dyDescent="0.3">
      <c r="A133" s="3180" t="s">
        <v>210</v>
      </c>
      <c r="B133" s="3181"/>
      <c r="C133" s="1814"/>
      <c r="D133" s="1765">
        <v>100000</v>
      </c>
      <c r="E133" s="1765">
        <v>100000</v>
      </c>
      <c r="F133" s="1765">
        <v>100000</v>
      </c>
      <c r="G133" s="1765">
        <v>100000</v>
      </c>
      <c r="H133" s="1765">
        <f t="shared" ref="H133" si="19">SUM(H130:H132)</f>
        <v>100000</v>
      </c>
      <c r="I133" s="1766">
        <f t="shared" si="13"/>
        <v>0</v>
      </c>
      <c r="J133" s="1815">
        <f>'Výdaje kapitol celkem'!CJ35</f>
        <v>100000</v>
      </c>
      <c r="K133" s="1816">
        <f>+J133-H133</f>
        <v>0</v>
      </c>
      <c r="L133" s="1028"/>
    </row>
    <row r="134" spans="1:12" outlineLevel="1" x14ac:dyDescent="0.25">
      <c r="A134" s="1825">
        <v>3633</v>
      </c>
      <c r="B134" s="1826">
        <v>5171</v>
      </c>
      <c r="C134" s="1824" t="s">
        <v>1729</v>
      </c>
      <c r="D134" s="1744">
        <v>100000</v>
      </c>
      <c r="E134" s="1744">
        <v>100000</v>
      </c>
      <c r="F134" s="1744">
        <v>100000</v>
      </c>
      <c r="G134" s="1744">
        <v>100000</v>
      </c>
      <c r="H134" s="1744">
        <f>+'[4]Inženýrské sítě'!$B$12</f>
        <v>0</v>
      </c>
      <c r="I134" s="1751">
        <f t="shared" ref="I134:I159" si="20">+H134-G134</f>
        <v>-100000</v>
      </c>
      <c r="J134" s="1802"/>
      <c r="K134" s="1816"/>
      <c r="L134" s="1028"/>
    </row>
    <row r="135" spans="1:12" outlineLevel="1" x14ac:dyDescent="0.25">
      <c r="A135" s="1822">
        <v>3633</v>
      </c>
      <c r="B135" s="1823">
        <v>5171</v>
      </c>
      <c r="C135" s="1821" t="s">
        <v>1730</v>
      </c>
      <c r="D135" s="1752">
        <v>0</v>
      </c>
      <c r="E135" s="1752">
        <v>0</v>
      </c>
      <c r="F135" s="1752">
        <v>0</v>
      </c>
      <c r="G135" s="1752">
        <v>0</v>
      </c>
      <c r="H135" s="1752">
        <f>+'[4]Inženýrské sítě'!$B$13</f>
        <v>890000</v>
      </c>
      <c r="I135" s="1751">
        <f t="shared" si="20"/>
        <v>890000</v>
      </c>
      <c r="J135" s="1802"/>
      <c r="K135" s="1816"/>
      <c r="L135" s="1028"/>
    </row>
    <row r="136" spans="1:12" outlineLevel="1" x14ac:dyDescent="0.25">
      <c r="A136" s="1822">
        <v>3633</v>
      </c>
      <c r="B136" s="1823">
        <v>5171</v>
      </c>
      <c r="C136" s="1821"/>
      <c r="D136" s="1753"/>
      <c r="E136" s="1753"/>
      <c r="F136" s="1753"/>
      <c r="G136" s="1753"/>
      <c r="H136" s="1753"/>
      <c r="I136" s="1751">
        <f t="shared" si="20"/>
        <v>0</v>
      </c>
      <c r="J136" s="1802"/>
      <c r="K136" s="1816"/>
      <c r="L136" s="1028"/>
    </row>
    <row r="137" spans="1:12" ht="13.5" thickBot="1" x14ac:dyDescent="0.3">
      <c r="A137" s="3180" t="s">
        <v>250</v>
      </c>
      <c r="B137" s="3181"/>
      <c r="C137" s="1814"/>
      <c r="D137" s="1765">
        <v>100000</v>
      </c>
      <c r="E137" s="1765">
        <v>100000</v>
      </c>
      <c r="F137" s="1765">
        <v>100000</v>
      </c>
      <c r="G137" s="1765">
        <v>100000</v>
      </c>
      <c r="H137" s="1765">
        <f t="shared" ref="H137" si="21">SUM(H134:H136)</f>
        <v>890000</v>
      </c>
      <c r="I137" s="1766">
        <f t="shared" si="20"/>
        <v>790000</v>
      </c>
      <c r="J137" s="1815">
        <f>'Výdaje kapitol celkem'!CV35</f>
        <v>890000</v>
      </c>
      <c r="K137" s="1816">
        <f>+J137-H137</f>
        <v>0</v>
      </c>
      <c r="L137" s="1028"/>
    </row>
    <row r="138" spans="1:12" outlineLevel="1" x14ac:dyDescent="0.25">
      <c r="A138" s="1825" t="s">
        <v>218</v>
      </c>
      <c r="B138" s="1826">
        <v>5171</v>
      </c>
      <c r="C138" s="1824" t="s">
        <v>1727</v>
      </c>
      <c r="D138" s="1753">
        <v>2000000</v>
      </c>
      <c r="E138" s="1753">
        <v>3000000</v>
      </c>
      <c r="F138" s="1753">
        <v>3000000</v>
      </c>
      <c r="G138" s="1753">
        <v>500000</v>
      </c>
      <c r="H138" s="1753">
        <f>+'[5]Kanalizace obnova'!$B$6</f>
        <v>500000</v>
      </c>
      <c r="I138" s="1747">
        <f t="shared" si="20"/>
        <v>0</v>
      </c>
      <c r="J138" s="1802"/>
      <c r="K138" s="1816"/>
      <c r="L138" s="1028"/>
    </row>
    <row r="139" spans="1:12" hidden="1" outlineLevel="1" x14ac:dyDescent="0.25">
      <c r="A139" s="1822" t="s">
        <v>218</v>
      </c>
      <c r="B139" s="1823">
        <v>5171</v>
      </c>
      <c r="C139" s="1821"/>
      <c r="D139" s="1769">
        <v>0</v>
      </c>
      <c r="E139" s="1769">
        <v>0</v>
      </c>
      <c r="F139" s="1769">
        <v>0</v>
      </c>
      <c r="G139" s="1769">
        <v>0</v>
      </c>
      <c r="H139" s="1769">
        <f>+'[5]Kanalizace obnova'!$B$7</f>
        <v>0</v>
      </c>
      <c r="I139" s="1767">
        <f t="shared" si="20"/>
        <v>0</v>
      </c>
      <c r="J139" s="1802"/>
      <c r="K139" s="1816"/>
      <c r="L139" s="1028"/>
    </row>
    <row r="140" spans="1:12" outlineLevel="1" x14ac:dyDescent="0.25">
      <c r="A140" s="1822" t="s">
        <v>218</v>
      </c>
      <c r="B140" s="1823">
        <v>5171</v>
      </c>
      <c r="C140" s="1819"/>
      <c r="D140" s="1769"/>
      <c r="E140" s="1769"/>
      <c r="F140" s="1769"/>
      <c r="G140" s="1769"/>
      <c r="H140" s="1769"/>
      <c r="I140" s="1768">
        <f t="shared" si="20"/>
        <v>0</v>
      </c>
      <c r="J140" s="1802"/>
      <c r="K140" s="1816"/>
      <c r="L140" s="1028"/>
    </row>
    <row r="141" spans="1:12" ht="13.5" thickBot="1" x14ac:dyDescent="0.3">
      <c r="A141" s="3180" t="s">
        <v>249</v>
      </c>
      <c r="B141" s="3181"/>
      <c r="C141" s="1814"/>
      <c r="D141" s="1765">
        <v>2000000</v>
      </c>
      <c r="E141" s="1765">
        <v>3000000</v>
      </c>
      <c r="F141" s="1765">
        <v>3000000</v>
      </c>
      <c r="G141" s="1765">
        <v>500000</v>
      </c>
      <c r="H141" s="1765">
        <f t="shared" ref="H141" si="22">SUM(H138:H140)</f>
        <v>500000</v>
      </c>
      <c r="I141" s="1766">
        <f t="shared" si="20"/>
        <v>0</v>
      </c>
      <c r="J141" s="1815">
        <f>'Výdaje kapitol celkem'!CS35</f>
        <v>500000</v>
      </c>
      <c r="K141" s="1816">
        <f>+J141-H141</f>
        <v>0</v>
      </c>
      <c r="L141" s="1028"/>
    </row>
    <row r="142" spans="1:12" outlineLevel="1" x14ac:dyDescent="0.25">
      <c r="A142" s="1817" t="s">
        <v>195</v>
      </c>
      <c r="B142" s="1818">
        <v>5171</v>
      </c>
      <c r="C142" s="1819" t="s">
        <v>1732</v>
      </c>
      <c r="D142" s="1752">
        <v>200000</v>
      </c>
      <c r="E142" s="1752">
        <v>200000</v>
      </c>
      <c r="F142" s="1752">
        <v>200000</v>
      </c>
      <c r="G142" s="1752">
        <v>200000</v>
      </c>
      <c r="H142" s="1752">
        <f>+[4]Kanalizace!$B$21</f>
        <v>0</v>
      </c>
      <c r="I142" s="1779">
        <f t="shared" si="20"/>
        <v>-200000</v>
      </c>
      <c r="J142" s="1802"/>
      <c r="K142" s="1816"/>
      <c r="L142" s="1028"/>
    </row>
    <row r="143" spans="1:12" outlineLevel="1" x14ac:dyDescent="0.25">
      <c r="A143" s="1822" t="s">
        <v>195</v>
      </c>
      <c r="B143" s="1823">
        <v>5171</v>
      </c>
      <c r="C143" s="1819" t="s">
        <v>1733</v>
      </c>
      <c r="D143" s="1752">
        <v>140000</v>
      </c>
      <c r="E143" s="1752">
        <v>140000</v>
      </c>
      <c r="F143" s="1752">
        <v>140000</v>
      </c>
      <c r="G143" s="1752">
        <v>140000</v>
      </c>
      <c r="H143" s="1752">
        <f>+[4]Kanalizace!$B$22</f>
        <v>0</v>
      </c>
      <c r="I143" s="1767">
        <f t="shared" si="20"/>
        <v>-140000</v>
      </c>
      <c r="J143" s="1802"/>
      <c r="K143" s="1816"/>
      <c r="L143" s="1028"/>
    </row>
    <row r="144" spans="1:12" outlineLevel="1" x14ac:dyDescent="0.25">
      <c r="A144" s="1822" t="s">
        <v>195</v>
      </c>
      <c r="B144" s="1823">
        <v>5171</v>
      </c>
      <c r="C144" s="1819"/>
      <c r="D144" s="1769"/>
      <c r="E144" s="1769"/>
      <c r="F144" s="1769"/>
      <c r="G144" s="1769"/>
      <c r="H144" s="1769"/>
      <c r="I144" s="1768">
        <f t="shared" si="20"/>
        <v>0</v>
      </c>
      <c r="J144" s="1802"/>
      <c r="K144" s="1816"/>
      <c r="L144" s="1028"/>
    </row>
    <row r="145" spans="1:12" ht="13.5" thickBot="1" x14ac:dyDescent="0.3">
      <c r="A145" s="3180" t="s">
        <v>685</v>
      </c>
      <c r="B145" s="3181"/>
      <c r="C145" s="1814"/>
      <c r="D145" s="1765">
        <v>340000</v>
      </c>
      <c r="E145" s="1765">
        <v>340000</v>
      </c>
      <c r="F145" s="1765">
        <v>340000</v>
      </c>
      <c r="G145" s="1765">
        <v>340000</v>
      </c>
      <c r="H145" s="1765">
        <f t="shared" ref="H145" si="23">SUM(H142:H144)</f>
        <v>0</v>
      </c>
      <c r="I145" s="1766">
        <f t="shared" si="20"/>
        <v>-340000</v>
      </c>
      <c r="J145" s="1815">
        <f>'Výdaje kapitol celkem'!CP35</f>
        <v>0</v>
      </c>
      <c r="K145" s="1816">
        <f>+J145-H145</f>
        <v>0</v>
      </c>
      <c r="L145" s="1028"/>
    </row>
    <row r="146" spans="1:12" outlineLevel="1" x14ac:dyDescent="0.25">
      <c r="A146" s="1808">
        <v>3114</v>
      </c>
      <c r="B146" s="1809">
        <v>5171</v>
      </c>
      <c r="C146" s="1810" t="s">
        <v>1761</v>
      </c>
      <c r="D146" s="1744">
        <v>80000</v>
      </c>
      <c r="E146" s="1744">
        <v>80000</v>
      </c>
      <c r="F146" s="1744">
        <v>80000</v>
      </c>
      <c r="G146" s="1744">
        <v>80000</v>
      </c>
      <c r="H146" s="1744">
        <f>+'[4]Č.p. 65'!$B$12</f>
        <v>80000</v>
      </c>
      <c r="I146" s="1745">
        <f t="shared" si="20"/>
        <v>0</v>
      </c>
      <c r="J146" s="1802"/>
      <c r="K146" s="1816"/>
      <c r="L146" s="1028"/>
    </row>
    <row r="147" spans="1:12" outlineLevel="1" x14ac:dyDescent="0.25">
      <c r="A147" s="1817">
        <v>3114</v>
      </c>
      <c r="B147" s="1818">
        <v>5171</v>
      </c>
      <c r="C147" s="1819" t="s">
        <v>1773</v>
      </c>
      <c r="D147" s="1752">
        <v>80000</v>
      </c>
      <c r="E147" s="1752">
        <v>80000</v>
      </c>
      <c r="F147" s="1752">
        <v>80000</v>
      </c>
      <c r="G147" s="1752">
        <v>80000</v>
      </c>
      <c r="H147" s="1752">
        <f>+'[4]Č.p. 65'!$B$13</f>
        <v>80000</v>
      </c>
      <c r="I147" s="1767">
        <f t="shared" si="20"/>
        <v>0</v>
      </c>
      <c r="J147" s="1802"/>
      <c r="K147" s="1816"/>
      <c r="L147" s="1028"/>
    </row>
    <row r="148" spans="1:12" hidden="1" outlineLevel="1" x14ac:dyDescent="0.25">
      <c r="A148" s="1817">
        <v>3114</v>
      </c>
      <c r="B148" s="1818">
        <v>5171</v>
      </c>
      <c r="C148" s="1819"/>
      <c r="D148" s="1752">
        <v>0</v>
      </c>
      <c r="E148" s="1752">
        <v>0</v>
      </c>
      <c r="F148" s="1752">
        <v>0</v>
      </c>
      <c r="G148" s="1752">
        <v>0</v>
      </c>
      <c r="H148" s="1752">
        <f>+[3]č.p.65!$B$33</f>
        <v>0</v>
      </c>
      <c r="I148" s="1747">
        <f t="shared" si="20"/>
        <v>0</v>
      </c>
      <c r="J148" s="1802"/>
      <c r="K148" s="1816"/>
      <c r="L148" s="1028"/>
    </row>
    <row r="149" spans="1:12" outlineLevel="1" x14ac:dyDescent="0.25">
      <c r="A149" s="1825">
        <v>3114</v>
      </c>
      <c r="B149" s="1826">
        <v>5171</v>
      </c>
      <c r="C149" s="1824"/>
      <c r="D149" s="1753">
        <v>0</v>
      </c>
      <c r="E149" s="1753">
        <v>0</v>
      </c>
      <c r="F149" s="1753">
        <v>0</v>
      </c>
      <c r="G149" s="1753">
        <v>0</v>
      </c>
      <c r="H149" s="1753">
        <f>+[3]č.p.65!$B$34</f>
        <v>0</v>
      </c>
      <c r="I149" s="1747">
        <f t="shared" si="20"/>
        <v>0</v>
      </c>
      <c r="J149" s="1802"/>
      <c r="K149" s="1816"/>
      <c r="L149" s="1028"/>
    </row>
    <row r="150" spans="1:12" ht="13.5" collapsed="1" thickBot="1" x14ac:dyDescent="0.3">
      <c r="A150" s="3180" t="s">
        <v>211</v>
      </c>
      <c r="B150" s="3181"/>
      <c r="C150" s="1814"/>
      <c r="D150" s="1765">
        <v>160000</v>
      </c>
      <c r="E150" s="1765">
        <v>160000</v>
      </c>
      <c r="F150" s="1765">
        <v>160000</v>
      </c>
      <c r="G150" s="1765">
        <v>160000</v>
      </c>
      <c r="H150" s="1765">
        <f t="shared" ref="H150" si="24">SUM(H146:H149)</f>
        <v>160000</v>
      </c>
      <c r="I150" s="1766">
        <f t="shared" si="20"/>
        <v>0</v>
      </c>
      <c r="J150" s="1815">
        <f>'Výdaje kapitol celkem'!BI35</f>
        <v>160000</v>
      </c>
      <c r="K150" s="1816">
        <f>+J150-H150</f>
        <v>0</v>
      </c>
      <c r="L150" s="1028"/>
    </row>
    <row r="151" spans="1:12" hidden="1" outlineLevel="1" x14ac:dyDescent="0.25">
      <c r="A151" s="1825">
        <v>3749</v>
      </c>
      <c r="B151" s="1826">
        <v>5171</v>
      </c>
      <c r="C151" s="1824"/>
      <c r="D151" s="1753"/>
      <c r="E151" s="1753"/>
      <c r="F151" s="1753"/>
      <c r="G151" s="1753"/>
      <c r="H151" s="1753"/>
      <c r="I151" s="1747">
        <f t="shared" si="20"/>
        <v>0</v>
      </c>
      <c r="J151" s="1802"/>
      <c r="K151" s="1816"/>
      <c r="L151" s="1028"/>
    </row>
    <row r="152" spans="1:12" hidden="1" outlineLevel="1" x14ac:dyDescent="0.25">
      <c r="A152" s="1817">
        <v>3749</v>
      </c>
      <c r="B152" s="1818">
        <v>5171</v>
      </c>
      <c r="C152" s="1819"/>
      <c r="D152" s="1752"/>
      <c r="E152" s="1752"/>
      <c r="F152" s="1752"/>
      <c r="G152" s="1752"/>
      <c r="H152" s="1752"/>
      <c r="I152" s="1767">
        <f t="shared" si="20"/>
        <v>0</v>
      </c>
      <c r="J152" s="1802"/>
      <c r="K152" s="1816"/>
      <c r="L152" s="1028"/>
    </row>
    <row r="153" spans="1:12" hidden="1" outlineLevel="1" x14ac:dyDescent="0.25">
      <c r="A153" s="1811">
        <v>3749</v>
      </c>
      <c r="B153" s="1812">
        <v>5171</v>
      </c>
      <c r="C153" s="1813"/>
      <c r="D153" s="1750"/>
      <c r="E153" s="1750"/>
      <c r="F153" s="1750"/>
      <c r="G153" s="1750"/>
      <c r="H153" s="1750"/>
      <c r="I153" s="1751">
        <f t="shared" si="20"/>
        <v>0</v>
      </c>
      <c r="J153" s="1802"/>
      <c r="K153" s="1816"/>
      <c r="L153" s="1028"/>
    </row>
    <row r="154" spans="1:12" ht="13.5" thickBot="1" x14ac:dyDescent="0.3">
      <c r="A154" s="3180" t="s">
        <v>1195</v>
      </c>
      <c r="B154" s="3181"/>
      <c r="C154" s="1814"/>
      <c r="D154" s="1765">
        <v>0</v>
      </c>
      <c r="E154" s="1765">
        <v>0</v>
      </c>
      <c r="F154" s="1765">
        <v>0</v>
      </c>
      <c r="G154" s="1765">
        <v>0</v>
      </c>
      <c r="H154" s="1765">
        <f t="shared" ref="H154" si="25">SUM(H151:H153)</f>
        <v>0</v>
      </c>
      <c r="I154" s="1766">
        <f t="shared" si="20"/>
        <v>0</v>
      </c>
      <c r="J154" s="1815">
        <f>'Výdaje kapitol celkem'!DN35</f>
        <v>0</v>
      </c>
      <c r="K154" s="1816">
        <f>+J154-H154</f>
        <v>0</v>
      </c>
      <c r="L154" s="1028"/>
    </row>
    <row r="155" spans="1:12" outlineLevel="1" x14ac:dyDescent="0.25">
      <c r="A155" s="1825" t="s">
        <v>197</v>
      </c>
      <c r="B155" s="1826">
        <v>5171</v>
      </c>
      <c r="C155" s="1824" t="s">
        <v>1727</v>
      </c>
      <c r="D155" s="1753">
        <v>2500000</v>
      </c>
      <c r="E155" s="1753">
        <v>3000000</v>
      </c>
      <c r="F155" s="1753">
        <v>3000000</v>
      </c>
      <c r="G155" s="1753">
        <v>5500000</v>
      </c>
      <c r="H155" s="1753">
        <f>+'[5]Vodovod obnova'!$B$6</f>
        <v>5500000</v>
      </c>
      <c r="I155" s="1747">
        <f t="shared" si="20"/>
        <v>0</v>
      </c>
      <c r="J155" s="1802"/>
      <c r="K155" s="1816"/>
      <c r="L155" s="1028"/>
    </row>
    <row r="156" spans="1:12" outlineLevel="1" x14ac:dyDescent="0.25">
      <c r="A156" s="1817" t="s">
        <v>197</v>
      </c>
      <c r="B156" s="1818">
        <v>5171</v>
      </c>
      <c r="C156" s="1819" t="s">
        <v>2240</v>
      </c>
      <c r="D156" s="1752">
        <v>0</v>
      </c>
      <c r="E156" s="1752">
        <v>0</v>
      </c>
      <c r="F156" s="1752">
        <v>0</v>
      </c>
      <c r="G156" s="1752">
        <v>0</v>
      </c>
      <c r="H156" s="1752">
        <f>+'[5]Vodovod obnova'!$B$7</f>
        <v>0</v>
      </c>
      <c r="I156" s="1767">
        <f t="shared" si="20"/>
        <v>0</v>
      </c>
      <c r="J156" s="1802"/>
      <c r="K156" s="1816"/>
      <c r="L156" s="1028"/>
    </row>
    <row r="157" spans="1:12" outlineLevel="1" x14ac:dyDescent="0.25">
      <c r="A157" s="1811" t="s">
        <v>197</v>
      </c>
      <c r="B157" s="1812">
        <v>5171</v>
      </c>
      <c r="C157" s="1813"/>
      <c r="D157" s="1750">
        <v>0</v>
      </c>
      <c r="E157" s="1750">
        <v>0</v>
      </c>
      <c r="F157" s="1750">
        <v>0</v>
      </c>
      <c r="G157" s="1750">
        <v>0</v>
      </c>
      <c r="H157" s="1750">
        <f>+[4]Rybníky!$B$12</f>
        <v>0</v>
      </c>
      <c r="I157" s="1751">
        <f t="shared" si="20"/>
        <v>0</v>
      </c>
      <c r="J157" s="1802"/>
      <c r="K157" s="1816"/>
      <c r="L157" s="1028"/>
    </row>
    <row r="158" spans="1:12" ht="13.5" thickBot="1" x14ac:dyDescent="0.3">
      <c r="A158" s="3180" t="s">
        <v>214</v>
      </c>
      <c r="B158" s="3181"/>
      <c r="C158" s="1814"/>
      <c r="D158" s="1765">
        <v>2500000</v>
      </c>
      <c r="E158" s="1765">
        <v>3000000</v>
      </c>
      <c r="F158" s="1765">
        <v>3000000</v>
      </c>
      <c r="G158" s="1765">
        <v>5500000</v>
      </c>
      <c r="H158" s="1765">
        <f t="shared" ref="H158" si="26">SUM(H155:H157)</f>
        <v>5500000</v>
      </c>
      <c r="I158" s="1766">
        <f t="shared" si="20"/>
        <v>0</v>
      </c>
      <c r="J158" s="1815">
        <f>'Výdaje kapitol celkem'!CM35</f>
        <v>5500000</v>
      </c>
      <c r="K158" s="1816">
        <v>0</v>
      </c>
      <c r="L158" s="1028"/>
    </row>
    <row r="159" spans="1:12" s="1029" customFormat="1" ht="13.5" thickBot="1" x14ac:dyDescent="0.3">
      <c r="A159" s="3173" t="s">
        <v>215</v>
      </c>
      <c r="B159" s="3174"/>
      <c r="C159" s="3175"/>
      <c r="D159" s="1755">
        <v>27516480</v>
      </c>
      <c r="E159" s="1755">
        <v>31321480</v>
      </c>
      <c r="F159" s="1755">
        <v>34771480</v>
      </c>
      <c r="G159" s="1755">
        <v>39749108</v>
      </c>
      <c r="H159" s="1755">
        <f>+H158+H150+H145+H141+H137+H133+H129+H103+H98+H95+H92+H87+H83+H76+H71+H50+H47+H42+H31+H25+H18+H15+H12+H8+H60+H56+H53+H68+H64+H35</f>
        <v>40199108</v>
      </c>
      <c r="I159" s="1756">
        <f t="shared" si="20"/>
        <v>450000</v>
      </c>
      <c r="J159" s="1802"/>
      <c r="K159" s="1827"/>
      <c r="L159" s="1028"/>
    </row>
    <row r="160" spans="1:12" x14ac:dyDescent="0.25">
      <c r="A160" s="1800"/>
      <c r="B160" s="1801"/>
      <c r="C160" s="1801"/>
      <c r="D160" s="1776">
        <v>27516480</v>
      </c>
      <c r="E160" s="1776">
        <v>31321480</v>
      </c>
      <c r="F160" s="1776">
        <v>34771480</v>
      </c>
      <c r="G160" s="1776">
        <v>39749108</v>
      </c>
      <c r="H160" s="1776">
        <f>'Výdaje kapitol celkem'!G35</f>
        <v>40199108</v>
      </c>
      <c r="I160" s="1764"/>
      <c r="J160" s="1802"/>
      <c r="K160" s="1803"/>
    </row>
    <row r="161" spans="1:11" s="1031" customFormat="1" x14ac:dyDescent="0.25">
      <c r="A161" s="1828"/>
      <c r="B161" s="1829"/>
      <c r="C161" s="1829" t="s">
        <v>216</v>
      </c>
      <c r="D161" s="1764">
        <v>0</v>
      </c>
      <c r="E161" s="1764">
        <v>0</v>
      </c>
      <c r="F161" s="1764">
        <v>0</v>
      </c>
      <c r="G161" s="1764">
        <v>0</v>
      </c>
      <c r="H161" s="1764">
        <f t="shared" ref="H161" si="27">+H159-H160</f>
        <v>0</v>
      </c>
      <c r="I161" s="1764"/>
      <c r="J161" s="1802"/>
      <c r="K161" s="1803"/>
    </row>
    <row r="162" spans="1:11" x14ac:dyDescent="0.25">
      <c r="A162" s="1830" t="s">
        <v>544</v>
      </c>
    </row>
  </sheetData>
  <sheetProtection algorithmName="SHA-512" hashValue="CddwA+p5IvE/C5+mAAsxaF98iZPNDhs3mjl6qCApywBbq1ZC5OdOnFg3EoBPC5XxZXETVYJ/Ii2NaNUMkGfIog==" saltValue="DXDBdztSHq9Ehl2iGHFmpA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0:B60"/>
    <mergeCell ref="A83:B83"/>
    <mergeCell ref="A68:B68"/>
    <mergeCell ref="A92:B92"/>
    <mergeCell ref="A2:C2"/>
    <mergeCell ref="A71:B71"/>
    <mergeCell ref="A76:B76"/>
    <mergeCell ref="A159:C159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58:B158"/>
    <mergeCell ref="A137:B137"/>
    <mergeCell ref="A141:B141"/>
    <mergeCell ref="A145:B145"/>
    <mergeCell ref="A150:B150"/>
    <mergeCell ref="A154:B154"/>
    <mergeCell ref="A95:B95"/>
    <mergeCell ref="A98:B98"/>
    <mergeCell ref="A103:B103"/>
    <mergeCell ref="A129:B129"/>
    <mergeCell ref="A133:B133"/>
  </mergeCells>
  <pageMargins left="0.31496062992125984" right="0.31496062992125984" top="0.19685039370078741" bottom="0.19685039370078741" header="0.31496062992125984" footer="0.31496062992125984"/>
  <pageSetup paperSize="9" scale="64" fitToHeight="3" orientation="portrait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4" zoomScaleNormal="84" workbookViewId="0">
      <selection activeCell="C31" sqref="C31"/>
    </sheetView>
  </sheetViews>
  <sheetFormatPr defaultColWidth="9" defaultRowHeight="13.5" outlineLevelRow="1" x14ac:dyDescent="0.25"/>
  <cols>
    <col min="1" max="1" width="16" style="1831" customWidth="1"/>
    <col min="2" max="2" width="11.5703125" style="1831" customWidth="1"/>
    <col min="3" max="3" width="65.28515625" style="1831" bestFit="1" customWidth="1"/>
    <col min="4" max="6" width="10.28515625" style="1777" hidden="1" customWidth="1"/>
    <col min="7" max="7" width="10.28515625" style="1777" customWidth="1"/>
    <col min="8" max="8" width="10.28515625" style="1777" bestFit="1" customWidth="1"/>
    <col min="9" max="9" width="9.28515625" style="1778" bestFit="1" customWidth="1"/>
    <col min="10" max="10" width="16.7109375" style="1858" customWidth="1"/>
    <col min="11" max="11" width="16.28515625" style="1833" customWidth="1"/>
    <col min="12" max="16384" width="9" style="967"/>
  </cols>
  <sheetData>
    <row r="1" spans="1:12" s="980" customFormat="1" ht="24" customHeight="1" x14ac:dyDescent="0.25">
      <c r="A1" s="1859" t="s">
        <v>2163</v>
      </c>
      <c r="B1" s="1859"/>
      <c r="C1" s="1759"/>
      <c r="D1" s="1759"/>
      <c r="E1" s="1759"/>
      <c r="F1" s="1759"/>
      <c r="G1" s="1759"/>
      <c r="H1" s="1759"/>
      <c r="I1" s="1760"/>
      <c r="J1" s="1853"/>
      <c r="K1" s="1797"/>
    </row>
    <row r="2" spans="1:12" s="1009" customFormat="1" ht="20.25" customHeight="1" x14ac:dyDescent="0.25">
      <c r="A2" s="3168" t="s">
        <v>1166</v>
      </c>
      <c r="B2" s="3168"/>
      <c r="C2" s="3169"/>
      <c r="D2" s="1761"/>
      <c r="E2" s="1761"/>
      <c r="F2" s="1761"/>
      <c r="G2" s="1761"/>
      <c r="H2" s="1761"/>
      <c r="I2" s="1762"/>
      <c r="J2" s="1854"/>
      <c r="K2" s="1799"/>
    </row>
    <row r="3" spans="1:12" ht="14.25" thickBot="1" x14ac:dyDescent="0.3">
      <c r="A3" s="1801"/>
      <c r="B3" s="1801"/>
      <c r="C3" s="1801"/>
      <c r="D3" s="1763"/>
      <c r="E3" s="1763"/>
      <c r="F3" s="1763"/>
      <c r="G3" s="1763"/>
      <c r="H3" s="1763"/>
      <c r="I3" s="1764"/>
      <c r="J3" s="1807"/>
      <c r="K3" s="1803"/>
    </row>
    <row r="4" spans="1:12" ht="27.4" customHeight="1" thickBot="1" x14ac:dyDescent="0.3">
      <c r="A4" s="1804" t="s">
        <v>1</v>
      </c>
      <c r="B4" s="1805" t="s">
        <v>63</v>
      </c>
      <c r="C4" s="1806" t="s">
        <v>6</v>
      </c>
      <c r="D4" s="1742" t="s">
        <v>2167</v>
      </c>
      <c r="E4" s="1742" t="s">
        <v>1985</v>
      </c>
      <c r="F4" s="1742" t="s">
        <v>2495</v>
      </c>
      <c r="G4" s="1742" t="s">
        <v>2566</v>
      </c>
      <c r="H4" s="1742" t="s">
        <v>2896</v>
      </c>
      <c r="I4" s="1743" t="s">
        <v>5</v>
      </c>
      <c r="J4" s="1807"/>
      <c r="K4" s="1803" t="s">
        <v>707</v>
      </c>
    </row>
    <row r="5" spans="1:12" outlineLevel="1" x14ac:dyDescent="0.25">
      <c r="A5" s="1835">
        <v>6171</v>
      </c>
      <c r="B5" s="1809">
        <v>5172</v>
      </c>
      <c r="C5" s="1810" t="s">
        <v>2949</v>
      </c>
      <c r="D5" s="1744">
        <v>2450000</v>
      </c>
      <c r="E5" s="1744">
        <v>2450000</v>
      </c>
      <c r="F5" s="1744">
        <v>2450000</v>
      </c>
      <c r="G5" s="1744">
        <v>2450000</v>
      </c>
      <c r="H5" s="1744">
        <f>+[3]Správa!$B$77</f>
        <v>2450000</v>
      </c>
      <c r="I5" s="1745">
        <f>+H5-G5</f>
        <v>0</v>
      </c>
      <c r="J5" s="1807"/>
      <c r="K5" s="1803"/>
    </row>
    <row r="6" spans="1:12" outlineLevel="1" x14ac:dyDescent="0.25">
      <c r="A6" s="1836">
        <v>6171</v>
      </c>
      <c r="B6" s="1812">
        <v>5172</v>
      </c>
      <c r="C6" s="1813" t="s">
        <v>2950</v>
      </c>
      <c r="D6" s="1746">
        <v>650000</v>
      </c>
      <c r="E6" s="1746">
        <v>650000</v>
      </c>
      <c r="F6" s="1746">
        <v>650000</v>
      </c>
      <c r="G6" s="1746">
        <v>650000</v>
      </c>
      <c r="H6" s="1746">
        <f>+[3]Správa!$B$78</f>
        <v>650000</v>
      </c>
      <c r="I6" s="1747">
        <f t="shared" ref="I6:I23" si="0">+H6-G6</f>
        <v>0</v>
      </c>
      <c r="J6" s="1807"/>
      <c r="K6" s="1803"/>
    </row>
    <row r="7" spans="1:12" s="969" customFormat="1" ht="14.25" thickBot="1" x14ac:dyDescent="0.3">
      <c r="A7" s="3166" t="s">
        <v>212</v>
      </c>
      <c r="B7" s="3167"/>
      <c r="C7" s="1855"/>
      <c r="D7" s="1748">
        <v>3100000</v>
      </c>
      <c r="E7" s="1748">
        <v>3100000</v>
      </c>
      <c r="F7" s="1748">
        <v>3100000</v>
      </c>
      <c r="G7" s="1748">
        <v>3100000</v>
      </c>
      <c r="H7" s="1748">
        <f>SUM(H5:H6)</f>
        <v>3100000</v>
      </c>
      <c r="I7" s="1749">
        <f t="shared" si="0"/>
        <v>0</v>
      </c>
      <c r="J7" s="1856">
        <f>'Výdaje kapitol celkem'!Q36</f>
        <v>3100000</v>
      </c>
      <c r="K7" s="1816">
        <f>+J7-H7</f>
        <v>0</v>
      </c>
      <c r="L7" s="972"/>
    </row>
    <row r="8" spans="1:12" outlineLevel="1" x14ac:dyDescent="0.25">
      <c r="A8" s="1835">
        <v>4351</v>
      </c>
      <c r="B8" s="1809">
        <v>5172</v>
      </c>
      <c r="C8" s="1810" t="s">
        <v>1979</v>
      </c>
      <c r="D8" s="1744">
        <v>10000</v>
      </c>
      <c r="E8" s="1744">
        <v>10000</v>
      </c>
      <c r="F8" s="1744">
        <v>10000</v>
      </c>
      <c r="G8" s="1744">
        <v>10000</v>
      </c>
      <c r="H8" s="1744">
        <f>+'[3]Pečovatelská služba'!$B$67</f>
        <v>10000</v>
      </c>
      <c r="I8" s="1745">
        <f t="shared" si="0"/>
        <v>0</v>
      </c>
      <c r="J8" s="1807"/>
      <c r="K8" s="1816"/>
      <c r="L8" s="972"/>
    </row>
    <row r="9" spans="1:12" outlineLevel="1" x14ac:dyDescent="0.25">
      <c r="A9" s="1836">
        <v>4351</v>
      </c>
      <c r="B9" s="1812">
        <v>5137</v>
      </c>
      <c r="C9" s="1813"/>
      <c r="D9" s="1746">
        <v>0</v>
      </c>
      <c r="E9" s="1746">
        <v>0</v>
      </c>
      <c r="F9" s="1746">
        <v>0</v>
      </c>
      <c r="G9" s="1746">
        <v>0</v>
      </c>
      <c r="H9" s="1746">
        <f>+'[3]Pečovatelská služba'!$B$68</f>
        <v>0</v>
      </c>
      <c r="I9" s="1751">
        <f t="shared" si="0"/>
        <v>0</v>
      </c>
      <c r="J9" s="1807"/>
      <c r="K9" s="1816"/>
      <c r="L9" s="972"/>
    </row>
    <row r="10" spans="1:12" s="969" customFormat="1" ht="14.25" thickBot="1" x14ac:dyDescent="0.3">
      <c r="A10" s="3166" t="s">
        <v>213</v>
      </c>
      <c r="B10" s="3167"/>
      <c r="C10" s="1855"/>
      <c r="D10" s="1748">
        <v>10000</v>
      </c>
      <c r="E10" s="1748">
        <v>10000</v>
      </c>
      <c r="F10" s="1748">
        <v>10000</v>
      </c>
      <c r="G10" s="1748">
        <v>10000</v>
      </c>
      <c r="H10" s="1748">
        <f>SUM(H8:H9)</f>
        <v>10000</v>
      </c>
      <c r="I10" s="1749">
        <f t="shared" si="0"/>
        <v>0</v>
      </c>
      <c r="J10" s="1856">
        <f>'Výdaje kapitol celkem'!V36</f>
        <v>10000</v>
      </c>
      <c r="K10" s="1816">
        <f>+J10-H10</f>
        <v>0</v>
      </c>
      <c r="L10" s="972"/>
    </row>
    <row r="11" spans="1:12" outlineLevel="1" x14ac:dyDescent="0.25">
      <c r="A11" s="1835" t="s">
        <v>196</v>
      </c>
      <c r="B11" s="1809">
        <v>5172</v>
      </c>
      <c r="C11" s="1810" t="s">
        <v>1980</v>
      </c>
      <c r="D11" s="1744">
        <v>200000</v>
      </c>
      <c r="E11" s="1744">
        <v>200000</v>
      </c>
      <c r="F11" s="1744">
        <v>200000</v>
      </c>
      <c r="G11" s="1744">
        <v>200000</v>
      </c>
      <c r="H11" s="1744">
        <f>+'[3]Městská policie'!$B$94</f>
        <v>200000</v>
      </c>
      <c r="I11" s="1745">
        <f t="shared" si="0"/>
        <v>0</v>
      </c>
      <c r="J11" s="1807"/>
      <c r="K11" s="1816"/>
      <c r="L11" s="972"/>
    </row>
    <row r="12" spans="1:12" outlineLevel="1" x14ac:dyDescent="0.25">
      <c r="A12" s="1836" t="s">
        <v>196</v>
      </c>
      <c r="B12" s="1812">
        <v>5172</v>
      </c>
      <c r="C12" s="1813"/>
      <c r="D12" s="1746">
        <v>0</v>
      </c>
      <c r="E12" s="1746">
        <v>0</v>
      </c>
      <c r="F12" s="1746">
        <v>0</v>
      </c>
      <c r="G12" s="1746">
        <v>0</v>
      </c>
      <c r="H12" s="1746">
        <f>+'[3]Městská policie'!$B$93</f>
        <v>0</v>
      </c>
      <c r="I12" s="1747">
        <f t="shared" si="0"/>
        <v>0</v>
      </c>
      <c r="J12" s="1807"/>
      <c r="K12" s="1816"/>
      <c r="L12" s="972"/>
    </row>
    <row r="13" spans="1:12" s="969" customFormat="1" ht="14.25" thickBot="1" x14ac:dyDescent="0.3">
      <c r="A13" s="3166" t="s">
        <v>1176</v>
      </c>
      <c r="B13" s="3167"/>
      <c r="C13" s="1855"/>
      <c r="D13" s="1748">
        <v>200000</v>
      </c>
      <c r="E13" s="1748">
        <v>200000</v>
      </c>
      <c r="F13" s="1748">
        <v>200000</v>
      </c>
      <c r="G13" s="1748">
        <v>200000</v>
      </c>
      <c r="H13" s="1748">
        <f>SUM(H11:H12)</f>
        <v>200000</v>
      </c>
      <c r="I13" s="1749">
        <f t="shared" si="0"/>
        <v>0</v>
      </c>
      <c r="J13" s="1856">
        <f>'Výdaje kapitol celkem'!Y36</f>
        <v>200000</v>
      </c>
      <c r="K13" s="1816">
        <f>+J13-H13</f>
        <v>0</v>
      </c>
      <c r="L13" s="972"/>
    </row>
    <row r="14" spans="1:12" outlineLevel="1" x14ac:dyDescent="0.25">
      <c r="A14" s="1835">
        <v>3319</v>
      </c>
      <c r="B14" s="1809">
        <v>5172</v>
      </c>
      <c r="C14" s="1810" t="s">
        <v>1981</v>
      </c>
      <c r="D14" s="1744">
        <v>8000</v>
      </c>
      <c r="E14" s="1744">
        <v>8000</v>
      </c>
      <c r="F14" s="1744">
        <v>8000</v>
      </c>
      <c r="G14" s="1744">
        <v>8000</v>
      </c>
      <c r="H14" s="1744">
        <f>+[3]Kronika!$B$26</f>
        <v>8000</v>
      </c>
      <c r="I14" s="1745">
        <f t="shared" si="0"/>
        <v>0</v>
      </c>
      <c r="J14" s="1807"/>
      <c r="K14" s="1816"/>
      <c r="L14" s="972"/>
    </row>
    <row r="15" spans="1:12" outlineLevel="1" x14ac:dyDescent="0.25">
      <c r="A15" s="1836">
        <v>3319</v>
      </c>
      <c r="B15" s="1812">
        <v>5137</v>
      </c>
      <c r="C15" s="1813"/>
      <c r="D15" s="1746">
        <v>0</v>
      </c>
      <c r="E15" s="1746">
        <v>0</v>
      </c>
      <c r="F15" s="1746">
        <v>0</v>
      </c>
      <c r="G15" s="1746">
        <v>0</v>
      </c>
      <c r="H15" s="1746">
        <f>+[3]Kronika!$B$27</f>
        <v>0</v>
      </c>
      <c r="I15" s="1751">
        <f t="shared" si="0"/>
        <v>0</v>
      </c>
      <c r="J15" s="1807"/>
      <c r="K15" s="1816"/>
      <c r="L15" s="972"/>
    </row>
    <row r="16" spans="1:12" s="969" customFormat="1" ht="14.25" thickBot="1" x14ac:dyDescent="0.3">
      <c r="A16" s="3166" t="s">
        <v>1175</v>
      </c>
      <c r="B16" s="3167"/>
      <c r="C16" s="1855"/>
      <c r="D16" s="1748">
        <v>8000</v>
      </c>
      <c r="E16" s="1748">
        <v>8000</v>
      </c>
      <c r="F16" s="1748">
        <v>8000</v>
      </c>
      <c r="G16" s="1748">
        <v>8000</v>
      </c>
      <c r="H16" s="1748">
        <f>SUM(H14:H15)</f>
        <v>8000</v>
      </c>
      <c r="I16" s="1749">
        <f t="shared" si="0"/>
        <v>0</v>
      </c>
      <c r="J16" s="1856">
        <f>'Výdaje kapitol celkem'!Z36</f>
        <v>8000</v>
      </c>
      <c r="K16" s="1816">
        <f>+J16-H16</f>
        <v>0</v>
      </c>
      <c r="L16" s="972"/>
    </row>
    <row r="17" spans="1:12" outlineLevel="1" x14ac:dyDescent="0.25">
      <c r="A17" s="1835">
        <v>3314</v>
      </c>
      <c r="B17" s="1809">
        <v>5172</v>
      </c>
      <c r="C17" s="1810" t="s">
        <v>1979</v>
      </c>
      <c r="D17" s="1744">
        <v>30000</v>
      </c>
      <c r="E17" s="1744">
        <v>30000</v>
      </c>
      <c r="F17" s="1744">
        <v>30000</v>
      </c>
      <c r="G17" s="1744">
        <v>30000</v>
      </c>
      <c r="H17" s="1744">
        <f>+[3]Knihovna!$B$69</f>
        <v>30000</v>
      </c>
      <c r="I17" s="1745">
        <f t="shared" si="0"/>
        <v>0</v>
      </c>
      <c r="J17" s="1807"/>
      <c r="K17" s="1816"/>
      <c r="L17" s="972"/>
    </row>
    <row r="18" spans="1:12" outlineLevel="1" x14ac:dyDescent="0.25">
      <c r="A18" s="1836">
        <v>3314</v>
      </c>
      <c r="B18" s="1812">
        <v>5172</v>
      </c>
      <c r="C18" s="1813"/>
      <c r="D18" s="1746">
        <v>0</v>
      </c>
      <c r="E18" s="1746">
        <v>0</v>
      </c>
      <c r="F18" s="1746">
        <v>0</v>
      </c>
      <c r="G18" s="1746">
        <v>0</v>
      </c>
      <c r="H18" s="1746">
        <f>+[3]Knihovna!$B$70</f>
        <v>0</v>
      </c>
      <c r="I18" s="1751">
        <f t="shared" si="0"/>
        <v>0</v>
      </c>
      <c r="J18" s="1807"/>
      <c r="K18" s="1816"/>
      <c r="L18" s="972"/>
    </row>
    <row r="19" spans="1:12" s="969" customFormat="1" ht="14.25" thickBot="1" x14ac:dyDescent="0.3">
      <c r="A19" s="3166" t="s">
        <v>1177</v>
      </c>
      <c r="B19" s="3167"/>
      <c r="C19" s="1855"/>
      <c r="D19" s="1748">
        <v>30000</v>
      </c>
      <c r="E19" s="1748">
        <v>30000</v>
      </c>
      <c r="F19" s="1748">
        <v>30000</v>
      </c>
      <c r="G19" s="1748">
        <v>30000</v>
      </c>
      <c r="H19" s="1748">
        <f>SUM(H17:H18)</f>
        <v>30000</v>
      </c>
      <c r="I19" s="1749">
        <f t="shared" si="0"/>
        <v>0</v>
      </c>
      <c r="J19" s="1856">
        <f>'Výdaje kapitol celkem'!AB36</f>
        <v>30000</v>
      </c>
      <c r="K19" s="1816">
        <f>+J19-H19</f>
        <v>0</v>
      </c>
      <c r="L19" s="972"/>
    </row>
    <row r="20" spans="1:12" outlineLevel="1" x14ac:dyDescent="0.25">
      <c r="A20" s="1836">
        <v>5512</v>
      </c>
      <c r="B20" s="1812">
        <v>5172</v>
      </c>
      <c r="C20" s="1810" t="s">
        <v>1979</v>
      </c>
      <c r="D20" s="1746">
        <v>30000</v>
      </c>
      <c r="E20" s="1746">
        <v>30000</v>
      </c>
      <c r="F20" s="1746">
        <v>30000</v>
      </c>
      <c r="G20" s="1746">
        <v>30000</v>
      </c>
      <c r="H20" s="1746">
        <f>+[3]Hasiči!$B$69</f>
        <v>30000</v>
      </c>
      <c r="I20" s="1751">
        <f t="shared" si="0"/>
        <v>0</v>
      </c>
      <c r="J20" s="1807"/>
      <c r="K20" s="1816"/>
      <c r="L20" s="972"/>
    </row>
    <row r="21" spans="1:12" outlineLevel="1" x14ac:dyDescent="0.25">
      <c r="A21" s="1836">
        <v>5512</v>
      </c>
      <c r="B21" s="1812">
        <v>5137</v>
      </c>
      <c r="C21" s="1813"/>
      <c r="D21" s="1746">
        <v>0</v>
      </c>
      <c r="E21" s="1746">
        <v>0</v>
      </c>
      <c r="F21" s="1746">
        <v>0</v>
      </c>
      <c r="G21" s="1746">
        <v>0</v>
      </c>
      <c r="H21" s="1746">
        <f>+[3]Hasiči!$B$70</f>
        <v>0</v>
      </c>
      <c r="I21" s="1751">
        <f t="shared" si="0"/>
        <v>0</v>
      </c>
      <c r="J21" s="1807"/>
      <c r="K21" s="1816"/>
      <c r="L21" s="972"/>
    </row>
    <row r="22" spans="1:12" ht="14.25" thickBot="1" x14ac:dyDescent="0.3">
      <c r="A22" s="3166" t="s">
        <v>202</v>
      </c>
      <c r="B22" s="3167"/>
      <c r="C22" s="1855"/>
      <c r="D22" s="1748">
        <v>30000</v>
      </c>
      <c r="E22" s="1748">
        <v>30000</v>
      </c>
      <c r="F22" s="1748">
        <v>30000</v>
      </c>
      <c r="G22" s="1748">
        <v>30000</v>
      </c>
      <c r="H22" s="1748">
        <f>SUM(H20:H21)</f>
        <v>30000</v>
      </c>
      <c r="I22" s="1749">
        <f t="shared" si="0"/>
        <v>0</v>
      </c>
      <c r="J22" s="1856">
        <f>'Výdaje kapitol celkem'!AN36</f>
        <v>30000</v>
      </c>
      <c r="K22" s="1816">
        <f>+J22-H22</f>
        <v>0</v>
      </c>
      <c r="L22" s="972"/>
    </row>
    <row r="23" spans="1:12" s="985" customFormat="1" ht="16.5" thickBot="1" x14ac:dyDescent="0.35">
      <c r="A23" s="3170" t="s">
        <v>1167</v>
      </c>
      <c r="B23" s="3171"/>
      <c r="C23" s="3172"/>
      <c r="D23" s="1862">
        <v>3378000</v>
      </c>
      <c r="E23" s="1862">
        <v>3378000</v>
      </c>
      <c r="F23" s="1862">
        <v>3378000</v>
      </c>
      <c r="G23" s="1862">
        <v>3378000</v>
      </c>
      <c r="H23" s="1862">
        <f>+H22+H19+H16+H13+H10+H7</f>
        <v>3378000</v>
      </c>
      <c r="I23" s="1863">
        <f t="shared" si="0"/>
        <v>0</v>
      </c>
      <c r="J23" s="1807"/>
      <c r="K23" s="1827"/>
      <c r="L23" s="1735"/>
    </row>
    <row r="24" spans="1:12" x14ac:dyDescent="0.25">
      <c r="A24" s="1801"/>
      <c r="B24" s="1801"/>
      <c r="C24" s="1801"/>
      <c r="D24" s="1776">
        <v>3378000</v>
      </c>
      <c r="E24" s="1776">
        <v>3378000</v>
      </c>
      <c r="F24" s="1776">
        <v>3378000</v>
      </c>
      <c r="G24" s="1776">
        <v>3378000</v>
      </c>
      <c r="H24" s="1776">
        <f>'Výdaje kapitol celkem'!G36</f>
        <v>3378000</v>
      </c>
      <c r="I24" s="1764"/>
      <c r="J24" s="1807"/>
      <c r="K24" s="1803"/>
    </row>
    <row r="25" spans="1:12" s="970" customFormat="1" x14ac:dyDescent="0.25">
      <c r="A25" s="1829"/>
      <c r="B25" s="1829"/>
      <c r="C25" s="1829" t="s">
        <v>216</v>
      </c>
      <c r="D25" s="1764">
        <v>0</v>
      </c>
      <c r="E25" s="1764">
        <v>0</v>
      </c>
      <c r="F25" s="1764">
        <v>0</v>
      </c>
      <c r="G25" s="1764">
        <v>0</v>
      </c>
      <c r="H25" s="1764">
        <f>+H24-H23</f>
        <v>0</v>
      </c>
      <c r="I25" s="1764"/>
      <c r="J25" s="1807"/>
      <c r="K25" s="1803"/>
    </row>
    <row r="26" spans="1:12" x14ac:dyDescent="0.25">
      <c r="A26" s="1847" t="s">
        <v>544</v>
      </c>
      <c r="B26" s="1801"/>
      <c r="C26" s="1801"/>
      <c r="D26" s="1776"/>
      <c r="E26" s="1776"/>
      <c r="F26" s="1776"/>
      <c r="G26" s="1776"/>
      <c r="H26" s="1776"/>
      <c r="I26" s="1764"/>
      <c r="J26" s="1807"/>
      <c r="K26" s="1803"/>
    </row>
  </sheetData>
  <sheetProtection algorithmName="SHA-512" hashValue="rKEUkyzEjCzzYQSjqHuNwQ/xS3LtrrV15q/ltK02PIxMQJmi7Wo/pYsIb1lNbxx/lYFt+PEbwOib6KRX8PTXGQ==" saltValue="gdqjH26e7gKz9o6X7oa6+w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opLeftCell="A7" zoomScale="86" zoomScaleNormal="86" workbookViewId="0">
      <selection activeCell="J24" sqref="J24"/>
    </sheetView>
  </sheetViews>
  <sheetFormatPr defaultColWidth="9" defaultRowHeight="12.75" x14ac:dyDescent="0.25"/>
  <cols>
    <col min="1" max="1" width="26.28515625" style="1026" customWidth="1"/>
    <col min="2" max="2" width="8.85546875" style="1026" customWidth="1"/>
    <col min="3" max="3" width="19" style="1026" bestFit="1" customWidth="1"/>
    <col min="4" max="6" width="11.28515625" style="1831" hidden="1" customWidth="1"/>
    <col min="7" max="7" width="11.28515625" style="1831" customWidth="1"/>
    <col min="8" max="8" width="11.28515625" style="1831" bestFit="1" customWidth="1"/>
    <col min="9" max="9" width="7.5703125" style="1026" bestFit="1" customWidth="1"/>
    <col min="10" max="10" width="15.5703125" style="1033" customWidth="1"/>
    <col min="11" max="11" width="14" style="1034" bestFit="1" customWidth="1"/>
    <col min="12" max="12" width="23.7109375" style="1026" customWidth="1"/>
    <col min="13" max="16384" width="9" style="1026"/>
  </cols>
  <sheetData>
    <row r="1" spans="1:12" x14ac:dyDescent="0.25">
      <c r="A1" s="2113" t="s">
        <v>2163</v>
      </c>
      <c r="B1" s="1022"/>
      <c r="C1" s="1022"/>
      <c r="D1" s="1801"/>
      <c r="E1" s="1801"/>
      <c r="F1" s="1801"/>
      <c r="G1" s="1801"/>
      <c r="H1" s="1801"/>
      <c r="I1" s="1022"/>
      <c r="J1" s="1016"/>
      <c r="K1" s="1017"/>
      <c r="L1" s="1022"/>
    </row>
    <row r="2" spans="1:12" x14ac:dyDescent="0.25">
      <c r="A2" s="2114" t="s">
        <v>97</v>
      </c>
      <c r="B2" s="1022"/>
      <c r="C2" s="1022"/>
      <c r="D2" s="1801"/>
      <c r="E2" s="1801"/>
      <c r="F2" s="1801"/>
      <c r="G2" s="1801"/>
      <c r="H2" s="1801"/>
      <c r="I2" s="1022"/>
      <c r="J2" s="1016"/>
      <c r="K2" s="1017"/>
      <c r="L2" s="1022"/>
    </row>
    <row r="3" spans="1:12" ht="13.5" thickBot="1" x14ac:dyDescent="0.3">
      <c r="A3" s="2114"/>
      <c r="B3" s="1022"/>
      <c r="C3" s="1022"/>
      <c r="D3" s="1801"/>
      <c r="E3" s="1801"/>
      <c r="F3" s="1801"/>
      <c r="G3" s="1801"/>
      <c r="H3" s="1801"/>
      <c r="I3" s="1022"/>
      <c r="J3" s="1019"/>
      <c r="K3" s="1020"/>
      <c r="L3" s="1022"/>
    </row>
    <row r="4" spans="1:12" s="2121" customFormat="1" ht="20.25" customHeight="1" thickBot="1" x14ac:dyDescent="0.25">
      <c r="A4" s="1011" t="s">
        <v>1</v>
      </c>
      <c r="B4" s="1012" t="s">
        <v>63</v>
      </c>
      <c r="C4" s="2115" t="s">
        <v>6</v>
      </c>
      <c r="D4" s="2116" t="s">
        <v>2166</v>
      </c>
      <c r="E4" s="2116" t="s">
        <v>1985</v>
      </c>
      <c r="F4" s="2116" t="s">
        <v>2495</v>
      </c>
      <c r="G4" s="2116" t="s">
        <v>2566</v>
      </c>
      <c r="H4" s="2116" t="s">
        <v>2896</v>
      </c>
      <c r="I4" s="2117" t="s">
        <v>5</v>
      </c>
      <c r="J4" s="2118" t="s">
        <v>762</v>
      </c>
      <c r="K4" s="2119" t="s">
        <v>707</v>
      </c>
      <c r="L4" s="2120" t="s">
        <v>547</v>
      </c>
    </row>
    <row r="5" spans="1:12" s="2128" customFormat="1" ht="24" customHeight="1" x14ac:dyDescent="0.25">
      <c r="A5" s="2122">
        <v>3113</v>
      </c>
      <c r="B5" s="2123">
        <v>5331</v>
      </c>
      <c r="C5" s="2124" t="s">
        <v>144</v>
      </c>
      <c r="D5" s="2125">
        <v>15538400</v>
      </c>
      <c r="E5" s="2125">
        <v>15538400</v>
      </c>
      <c r="F5" s="2125">
        <v>15538400</v>
      </c>
      <c r="G5" s="2125">
        <v>15538400</v>
      </c>
      <c r="H5" s="2125">
        <f>+[2]ZŠ!$B$32</f>
        <v>15538400</v>
      </c>
      <c r="I5" s="2126">
        <f>+H5-G5</f>
        <v>0</v>
      </c>
      <c r="J5" s="1027">
        <f>'Výdaje kapitol celkem'!BC44</f>
        <v>15538400</v>
      </c>
      <c r="K5" s="2127">
        <f t="shared" ref="K5:K11" si="0">+J5-H5</f>
        <v>0</v>
      </c>
      <c r="L5" s="2120"/>
    </row>
    <row r="6" spans="1:12" ht="24" customHeight="1" x14ac:dyDescent="0.25">
      <c r="A6" s="1013" t="s">
        <v>247</v>
      </c>
      <c r="B6" s="1014">
        <v>5331</v>
      </c>
      <c r="C6" s="1015" t="s">
        <v>247</v>
      </c>
      <c r="D6" s="2129">
        <v>26209403</v>
      </c>
      <c r="E6" s="2129">
        <v>26209403</v>
      </c>
      <c r="F6" s="2129">
        <v>26209403</v>
      </c>
      <c r="G6" s="2129">
        <v>26209403</v>
      </c>
      <c r="H6" s="2129">
        <f>+'Výdaje kapitol celkem'!U44</f>
        <v>26209403</v>
      </c>
      <c r="I6" s="2130">
        <f t="shared" ref="I6:I12" si="1">+H6-G6</f>
        <v>0</v>
      </c>
      <c r="J6" s="1027">
        <f>'Výdaje kapitol celkem'!U44</f>
        <v>26209403</v>
      </c>
      <c r="K6" s="2127">
        <f>+J6-H6</f>
        <v>0</v>
      </c>
      <c r="L6" s="1390"/>
    </row>
    <row r="7" spans="1:12" ht="24" customHeight="1" x14ac:dyDescent="0.25">
      <c r="A7" s="1013">
        <v>3421</v>
      </c>
      <c r="B7" s="1014">
        <v>5331</v>
      </c>
      <c r="C7" s="1015" t="s">
        <v>146</v>
      </c>
      <c r="D7" s="2129">
        <v>600000</v>
      </c>
      <c r="E7" s="2129">
        <v>600000</v>
      </c>
      <c r="F7" s="2129">
        <v>600000</v>
      </c>
      <c r="G7" s="2129">
        <v>600000</v>
      </c>
      <c r="H7" s="2129">
        <f>+[2]MDDM!$B$5</f>
        <v>600000</v>
      </c>
      <c r="I7" s="2130">
        <f t="shared" si="1"/>
        <v>0</v>
      </c>
      <c r="J7" s="1027">
        <f>'Výdaje kapitol celkem'!BL44</f>
        <v>600000</v>
      </c>
      <c r="K7" s="2127">
        <f t="shared" si="0"/>
        <v>0</v>
      </c>
      <c r="L7" s="1010"/>
    </row>
    <row r="8" spans="1:12" ht="24" customHeight="1" x14ac:dyDescent="0.25">
      <c r="A8" s="1013" t="s">
        <v>172</v>
      </c>
      <c r="B8" s="1014">
        <v>5331</v>
      </c>
      <c r="C8" s="1015" t="s">
        <v>768</v>
      </c>
      <c r="D8" s="2129">
        <v>4274000</v>
      </c>
      <c r="E8" s="2129">
        <v>4274000</v>
      </c>
      <c r="F8" s="2129">
        <v>4274000</v>
      </c>
      <c r="G8" s="2129">
        <v>4274000</v>
      </c>
      <c r="H8" s="2129">
        <f>+'[2]MŠ Koll'!$B$4</f>
        <v>4274000</v>
      </c>
      <c r="I8" s="2130">
        <f t="shared" si="1"/>
        <v>0</v>
      </c>
      <c r="J8" s="1027">
        <f>'Výdaje kapitol celkem'!BR44</f>
        <v>4274000</v>
      </c>
      <c r="K8" s="2127">
        <f t="shared" si="0"/>
        <v>0</v>
      </c>
      <c r="L8" s="1022"/>
    </row>
    <row r="9" spans="1:12" ht="24" hidden="1" customHeight="1" x14ac:dyDescent="0.25">
      <c r="A9" s="1013" t="s">
        <v>173</v>
      </c>
      <c r="B9" s="1014">
        <v>5331</v>
      </c>
      <c r="C9" s="1015" t="s">
        <v>769</v>
      </c>
      <c r="D9" s="2129">
        <v>0</v>
      </c>
      <c r="E9" s="2129">
        <v>0</v>
      </c>
      <c r="F9" s="2129">
        <v>0</v>
      </c>
      <c r="G9" s="2129">
        <v>0</v>
      </c>
      <c r="H9" s="2129">
        <f>+'[2]Jídelna ZŠ'!$B$4</f>
        <v>0</v>
      </c>
      <c r="I9" s="2130">
        <f t="shared" si="1"/>
        <v>0</v>
      </c>
      <c r="J9" s="1027">
        <f>'Výdaje kapitol celkem'!BU44</f>
        <v>0</v>
      </c>
      <c r="K9" s="2127">
        <f t="shared" si="0"/>
        <v>0</v>
      </c>
      <c r="L9" s="1022"/>
    </row>
    <row r="10" spans="1:12" ht="24" customHeight="1" x14ac:dyDescent="0.25">
      <c r="A10" s="1013" t="s">
        <v>770</v>
      </c>
      <c r="B10" s="1014">
        <v>5331</v>
      </c>
      <c r="C10" s="1015" t="s">
        <v>771</v>
      </c>
      <c r="D10" s="2131">
        <v>200000</v>
      </c>
      <c r="E10" s="2131">
        <v>200000</v>
      </c>
      <c r="F10" s="2131">
        <v>200000</v>
      </c>
      <c r="G10" s="2131">
        <v>200000</v>
      </c>
      <c r="H10" s="2131">
        <f>+'[2]Jídelna MŠ Koll.'!$B$4</f>
        <v>200000</v>
      </c>
      <c r="I10" s="2130">
        <f t="shared" si="1"/>
        <v>0</v>
      </c>
      <c r="J10" s="1027">
        <f>'Výdaje kapitol celkem'!BX44</f>
        <v>200000</v>
      </c>
      <c r="K10" s="2127">
        <f t="shared" si="0"/>
        <v>0</v>
      </c>
      <c r="L10" s="1022"/>
    </row>
    <row r="11" spans="1:12" ht="24" hidden="1" customHeight="1" x14ac:dyDescent="0.25">
      <c r="A11" s="1013" t="s">
        <v>478</v>
      </c>
      <c r="B11" s="1014">
        <v>5331</v>
      </c>
      <c r="C11" s="1015" t="s">
        <v>772</v>
      </c>
      <c r="D11" s="1746">
        <v>0</v>
      </c>
      <c r="E11" s="1746">
        <v>0</v>
      </c>
      <c r="F11" s="1746">
        <v>0</v>
      </c>
      <c r="G11" s="1746">
        <v>0</v>
      </c>
      <c r="H11" s="1746">
        <v>0</v>
      </c>
      <c r="I11" s="2130">
        <f t="shared" si="1"/>
        <v>0</v>
      </c>
      <c r="J11" s="1027">
        <f>'Výdaje kapitol celkem'!BY44</f>
        <v>0</v>
      </c>
      <c r="K11" s="2127">
        <f t="shared" si="0"/>
        <v>0</v>
      </c>
      <c r="L11" s="1022"/>
    </row>
    <row r="12" spans="1:12" ht="19.149999999999999" customHeight="1" thickBot="1" x14ac:dyDescent="0.3">
      <c r="A12" s="3182" t="s">
        <v>97</v>
      </c>
      <c r="B12" s="3183"/>
      <c r="C12" s="2132"/>
      <c r="D12" s="2133">
        <v>46821803</v>
      </c>
      <c r="E12" s="2133">
        <v>46821803</v>
      </c>
      <c r="F12" s="2133">
        <v>46821803</v>
      </c>
      <c r="G12" s="2133">
        <v>46821803</v>
      </c>
      <c r="H12" s="2133">
        <f>SUM(H5:H11)</f>
        <v>46821803</v>
      </c>
      <c r="I12" s="2134">
        <f t="shared" si="1"/>
        <v>0</v>
      </c>
      <c r="J12" s="1024"/>
      <c r="K12" s="1025"/>
      <c r="L12" s="1022"/>
    </row>
    <row r="13" spans="1:12" x14ac:dyDescent="0.25">
      <c r="A13" s="1022"/>
      <c r="B13" s="1022"/>
      <c r="C13" s="1022"/>
      <c r="D13" s="1776">
        <v>46821803</v>
      </c>
      <c r="E13" s="1776">
        <v>46821803</v>
      </c>
      <c r="F13" s="1776">
        <v>46821803</v>
      </c>
      <c r="G13" s="1776">
        <v>46821803</v>
      </c>
      <c r="H13" s="1776">
        <f>'Výdaje kapitol celkem'!G44</f>
        <v>46821803</v>
      </c>
      <c r="I13" s="1022"/>
      <c r="J13" s="1024"/>
      <c r="K13" s="1025"/>
      <c r="L13" s="1022"/>
    </row>
    <row r="14" spans="1:12" s="1031" customFormat="1" x14ac:dyDescent="0.25">
      <c r="A14" s="1030"/>
      <c r="B14" s="1030"/>
      <c r="C14" s="1030" t="s">
        <v>235</v>
      </c>
      <c r="D14" s="1764">
        <v>0</v>
      </c>
      <c r="E14" s="1764">
        <v>0</v>
      </c>
      <c r="F14" s="1764">
        <v>0</v>
      </c>
      <c r="G14" s="1764">
        <v>0</v>
      </c>
      <c r="H14" s="1764">
        <f>+H13-H12</f>
        <v>0</v>
      </c>
      <c r="I14" s="1030"/>
      <c r="J14" s="1024"/>
      <c r="K14" s="1025"/>
      <c r="L14" s="1030"/>
    </row>
    <row r="15" spans="1:12" s="1031" customFormat="1" x14ac:dyDescent="0.25">
      <c r="A15" s="1032" t="s">
        <v>544</v>
      </c>
      <c r="B15" s="1030"/>
      <c r="C15" s="1030"/>
      <c r="D15" s="1764"/>
      <c r="E15" s="1764"/>
      <c r="F15" s="1764"/>
      <c r="G15" s="1764"/>
      <c r="H15" s="1764"/>
      <c r="I15" s="1030"/>
      <c r="J15" s="1024"/>
      <c r="K15" s="1025"/>
      <c r="L15" s="1030"/>
    </row>
    <row r="16" spans="1:12" x14ac:dyDescent="0.25">
      <c r="K16" s="2135"/>
    </row>
    <row r="17" spans="10:11" x14ac:dyDescent="0.25">
      <c r="K17" s="2135"/>
    </row>
    <row r="18" spans="10:11" x14ac:dyDescent="0.25">
      <c r="J18" s="2136"/>
      <c r="K18" s="2135"/>
    </row>
    <row r="19" spans="10:11" x14ac:dyDescent="0.25">
      <c r="K19" s="2135"/>
    </row>
    <row r="20" spans="10:11" x14ac:dyDescent="0.25">
      <c r="K20" s="2135"/>
    </row>
    <row r="21" spans="10:11" x14ac:dyDescent="0.25">
      <c r="J21" s="2136"/>
      <c r="K21" s="2135"/>
    </row>
    <row r="22" spans="10:11" x14ac:dyDescent="0.25">
      <c r="K22" s="2135"/>
    </row>
    <row r="23" spans="10:11" x14ac:dyDescent="0.25">
      <c r="K23" s="2135"/>
    </row>
    <row r="24" spans="10:11" x14ac:dyDescent="0.25">
      <c r="J24" s="2136"/>
      <c r="K24" s="2135"/>
    </row>
    <row r="25" spans="10:11" x14ac:dyDescent="0.25">
      <c r="K25" s="2135"/>
    </row>
    <row r="26" spans="10:11" x14ac:dyDescent="0.25">
      <c r="K26" s="2135"/>
    </row>
    <row r="27" spans="10:11" x14ac:dyDescent="0.25">
      <c r="J27" s="2136"/>
      <c r="K27" s="2135"/>
    </row>
    <row r="28" spans="10:11" x14ac:dyDescent="0.25">
      <c r="K28" s="2135"/>
    </row>
    <row r="29" spans="10:11" x14ac:dyDescent="0.25">
      <c r="K29" s="2135"/>
    </row>
    <row r="30" spans="10:11" x14ac:dyDescent="0.25">
      <c r="J30" s="2136"/>
      <c r="K30" s="2135"/>
    </row>
    <row r="31" spans="10:11" x14ac:dyDescent="0.25">
      <c r="K31" s="2135"/>
    </row>
    <row r="32" spans="10:11" x14ac:dyDescent="0.25">
      <c r="J32" s="2136"/>
      <c r="K32" s="2135"/>
    </row>
    <row r="33" spans="10:11" x14ac:dyDescent="0.25">
      <c r="K33" s="2135"/>
    </row>
    <row r="34" spans="10:11" x14ac:dyDescent="0.25">
      <c r="K34" s="2135"/>
    </row>
    <row r="35" spans="10:11" x14ac:dyDescent="0.25">
      <c r="K35" s="2135"/>
    </row>
    <row r="36" spans="10:11" x14ac:dyDescent="0.25">
      <c r="K36" s="2135"/>
    </row>
    <row r="37" spans="10:11" x14ac:dyDescent="0.25">
      <c r="K37" s="2135"/>
    </row>
    <row r="38" spans="10:11" x14ac:dyDescent="0.25">
      <c r="J38" s="2136"/>
      <c r="K38" s="2135"/>
    </row>
    <row r="39" spans="10:11" x14ac:dyDescent="0.25">
      <c r="K39" s="2135"/>
    </row>
    <row r="40" spans="10:11" x14ac:dyDescent="0.25">
      <c r="K40" s="2135"/>
    </row>
    <row r="41" spans="10:11" x14ac:dyDescent="0.25">
      <c r="J41" s="2136"/>
      <c r="K41" s="2135"/>
    </row>
    <row r="42" spans="10:11" x14ac:dyDescent="0.25">
      <c r="K42" s="2135"/>
    </row>
    <row r="43" spans="10:11" x14ac:dyDescent="0.25">
      <c r="K43" s="2135"/>
    </row>
    <row r="44" spans="10:11" x14ac:dyDescent="0.25">
      <c r="J44" s="2136"/>
      <c r="K44" s="2135"/>
    </row>
    <row r="45" spans="10:11" x14ac:dyDescent="0.25">
      <c r="K45" s="2135"/>
    </row>
    <row r="46" spans="10:11" x14ac:dyDescent="0.25">
      <c r="K46" s="2135"/>
    </row>
    <row r="47" spans="10:11" x14ac:dyDescent="0.25">
      <c r="J47" s="2136"/>
      <c r="K47" s="2135"/>
    </row>
    <row r="48" spans="10:11" x14ac:dyDescent="0.25">
      <c r="K48" s="2135"/>
    </row>
    <row r="49" spans="10:11" x14ac:dyDescent="0.25">
      <c r="K49" s="2135"/>
    </row>
    <row r="50" spans="10:11" x14ac:dyDescent="0.25">
      <c r="K50" s="2135"/>
    </row>
    <row r="51" spans="10:11" x14ac:dyDescent="0.25">
      <c r="K51" s="2135"/>
    </row>
    <row r="52" spans="10:11" x14ac:dyDescent="0.25">
      <c r="J52" s="2136"/>
      <c r="K52" s="2135"/>
    </row>
    <row r="53" spans="10:11" x14ac:dyDescent="0.25">
      <c r="K53" s="2135"/>
    </row>
    <row r="54" spans="10:11" x14ac:dyDescent="0.25">
      <c r="K54" s="2135"/>
    </row>
    <row r="55" spans="10:11" x14ac:dyDescent="0.25">
      <c r="J55" s="2136"/>
      <c r="K55" s="2135"/>
    </row>
    <row r="56" spans="10:11" x14ac:dyDescent="0.25">
      <c r="K56" s="2135"/>
    </row>
    <row r="57" spans="10:11" x14ac:dyDescent="0.25">
      <c r="K57" s="2135"/>
    </row>
    <row r="58" spans="10:11" x14ac:dyDescent="0.25">
      <c r="K58" s="2135"/>
    </row>
    <row r="59" spans="10:11" x14ac:dyDescent="0.25">
      <c r="J59" s="2136"/>
      <c r="K59" s="2135"/>
    </row>
    <row r="60" spans="10:11" x14ac:dyDescent="0.25">
      <c r="K60" s="2135"/>
    </row>
    <row r="61" spans="10:11" x14ac:dyDescent="0.25">
      <c r="K61" s="2135"/>
    </row>
    <row r="62" spans="10:11" x14ac:dyDescent="0.25">
      <c r="K62" s="2135"/>
    </row>
    <row r="63" spans="10:11" x14ac:dyDescent="0.25">
      <c r="J63" s="2136"/>
      <c r="K63" s="2135"/>
    </row>
    <row r="64" spans="10:11" x14ac:dyDescent="0.25">
      <c r="K64" s="2135"/>
    </row>
    <row r="65" spans="10:11" x14ac:dyDescent="0.25">
      <c r="K65" s="2135"/>
    </row>
    <row r="66" spans="10:11" x14ac:dyDescent="0.25">
      <c r="K66" s="2135"/>
    </row>
    <row r="67" spans="10:11" x14ac:dyDescent="0.25">
      <c r="K67" s="2135"/>
    </row>
    <row r="68" spans="10:11" x14ac:dyDescent="0.25">
      <c r="K68" s="2135"/>
    </row>
    <row r="69" spans="10:11" x14ac:dyDescent="0.25">
      <c r="J69" s="2136"/>
      <c r="K69" s="2135"/>
    </row>
    <row r="70" spans="10:11" x14ac:dyDescent="0.25">
      <c r="K70" s="2135"/>
    </row>
    <row r="71" spans="10:11" x14ac:dyDescent="0.25">
      <c r="K71" s="2135"/>
    </row>
    <row r="72" spans="10:11" x14ac:dyDescent="0.25">
      <c r="K72" s="2135"/>
    </row>
    <row r="73" spans="10:11" x14ac:dyDescent="0.25">
      <c r="K73" s="2135"/>
    </row>
    <row r="74" spans="10:11" x14ac:dyDescent="0.25">
      <c r="J74" s="2136"/>
      <c r="K74" s="2135"/>
    </row>
    <row r="75" spans="10:11" x14ac:dyDescent="0.25">
      <c r="K75" s="2135"/>
    </row>
    <row r="76" spans="10:11" x14ac:dyDescent="0.25">
      <c r="K76" s="2135"/>
    </row>
    <row r="77" spans="10:11" x14ac:dyDescent="0.25">
      <c r="J77" s="2136"/>
      <c r="K77" s="2135"/>
    </row>
    <row r="78" spans="10:11" x14ac:dyDescent="0.25">
      <c r="K78" s="2135"/>
    </row>
    <row r="79" spans="10:11" x14ac:dyDescent="0.25">
      <c r="K79" s="2135"/>
    </row>
    <row r="80" spans="10:11" x14ac:dyDescent="0.25">
      <c r="J80" s="2136"/>
      <c r="K80" s="2135"/>
    </row>
    <row r="81" spans="10:11" x14ac:dyDescent="0.25">
      <c r="K81" s="2135"/>
    </row>
    <row r="82" spans="10:11" x14ac:dyDescent="0.25">
      <c r="K82" s="2135"/>
    </row>
    <row r="83" spans="10:11" x14ac:dyDescent="0.25">
      <c r="J83" s="2136"/>
      <c r="K83" s="2135"/>
    </row>
    <row r="84" spans="10:11" x14ac:dyDescent="0.25">
      <c r="K84" s="2135"/>
    </row>
    <row r="85" spans="10:11" x14ac:dyDescent="0.25">
      <c r="K85" s="2135"/>
    </row>
    <row r="86" spans="10:11" x14ac:dyDescent="0.25">
      <c r="K86" s="2135"/>
    </row>
    <row r="87" spans="10:11" x14ac:dyDescent="0.25">
      <c r="J87" s="2136"/>
      <c r="K87" s="2135"/>
    </row>
    <row r="88" spans="10:11" x14ac:dyDescent="0.25">
      <c r="K88" s="2135"/>
    </row>
    <row r="89" spans="10:11" x14ac:dyDescent="0.25">
      <c r="K89" s="2135"/>
    </row>
    <row r="90" spans="10:11" x14ac:dyDescent="0.25">
      <c r="J90" s="2136"/>
      <c r="K90" s="2135"/>
    </row>
    <row r="91" spans="10:11" x14ac:dyDescent="0.25">
      <c r="K91" s="2135"/>
    </row>
    <row r="92" spans="10:11" x14ac:dyDescent="0.25">
      <c r="K92" s="2135"/>
    </row>
    <row r="93" spans="10:11" x14ac:dyDescent="0.25">
      <c r="J93" s="2136"/>
      <c r="K93" s="2135"/>
    </row>
    <row r="94" spans="10:11" x14ac:dyDescent="0.25">
      <c r="K94" s="2135"/>
    </row>
    <row r="95" spans="10:11" x14ac:dyDescent="0.25">
      <c r="K95" s="2135"/>
    </row>
    <row r="96" spans="10:11" x14ac:dyDescent="0.25">
      <c r="J96" s="2136"/>
      <c r="K96" s="2135"/>
    </row>
    <row r="97" spans="10:11" x14ac:dyDescent="0.25">
      <c r="J97" s="2136"/>
      <c r="K97" s="2135"/>
    </row>
    <row r="98" spans="10:11" x14ac:dyDescent="0.25">
      <c r="J98" s="2136"/>
      <c r="K98" s="2135"/>
    </row>
    <row r="99" spans="10:11" x14ac:dyDescent="0.25">
      <c r="J99" s="2136"/>
      <c r="K99" s="2135"/>
    </row>
    <row r="100" spans="10:11" x14ac:dyDescent="0.25">
      <c r="J100" s="2136"/>
      <c r="K100" s="2135"/>
    </row>
    <row r="101" spans="10:11" x14ac:dyDescent="0.25">
      <c r="J101" s="2136"/>
      <c r="K101" s="2135"/>
    </row>
    <row r="102" spans="10:11" x14ac:dyDescent="0.25">
      <c r="K102" s="2135"/>
    </row>
    <row r="103" spans="10:11" x14ac:dyDescent="0.25">
      <c r="K103" s="2135"/>
    </row>
    <row r="104" spans="10:11" x14ac:dyDescent="0.25">
      <c r="K104" s="2135"/>
    </row>
    <row r="105" spans="10:11" x14ac:dyDescent="0.25">
      <c r="J105" s="2136"/>
      <c r="K105" s="2135"/>
    </row>
    <row r="106" spans="10:11" x14ac:dyDescent="0.25">
      <c r="K106" s="2135"/>
    </row>
    <row r="107" spans="10:11" x14ac:dyDescent="0.25">
      <c r="K107" s="2135"/>
    </row>
    <row r="108" spans="10:11" x14ac:dyDescent="0.25">
      <c r="J108" s="2136"/>
      <c r="K108" s="2135"/>
    </row>
    <row r="109" spans="10:11" x14ac:dyDescent="0.25">
      <c r="K109" s="2135"/>
    </row>
    <row r="110" spans="10:11" x14ac:dyDescent="0.25">
      <c r="K110" s="2135"/>
    </row>
    <row r="111" spans="10:11" x14ac:dyDescent="0.25">
      <c r="J111" s="2136"/>
      <c r="K111" s="2135"/>
    </row>
    <row r="112" spans="10:11" x14ac:dyDescent="0.25">
      <c r="K112" s="2135"/>
    </row>
    <row r="113" spans="10:11" x14ac:dyDescent="0.25">
      <c r="K113" s="2135"/>
    </row>
    <row r="114" spans="10:11" x14ac:dyDescent="0.25">
      <c r="K114" s="2135"/>
    </row>
    <row r="115" spans="10:11" x14ac:dyDescent="0.25">
      <c r="K115" s="2135"/>
    </row>
    <row r="116" spans="10:11" x14ac:dyDescent="0.25">
      <c r="K116" s="2135"/>
    </row>
    <row r="117" spans="10:11" x14ac:dyDescent="0.25">
      <c r="J117" s="2136"/>
      <c r="K117" s="2135"/>
    </row>
    <row r="118" spans="10:11" x14ac:dyDescent="0.25">
      <c r="K118" s="2135"/>
    </row>
    <row r="119" spans="10:11" x14ac:dyDescent="0.25">
      <c r="K119" s="2135"/>
    </row>
    <row r="120" spans="10:11" x14ac:dyDescent="0.25">
      <c r="K120" s="2135"/>
    </row>
    <row r="121" spans="10:11" x14ac:dyDescent="0.25">
      <c r="J121" s="2136"/>
      <c r="K121" s="2135"/>
    </row>
    <row r="122" spans="10:11" x14ac:dyDescent="0.25">
      <c r="K122" s="2135"/>
    </row>
    <row r="123" spans="10:11" x14ac:dyDescent="0.25">
      <c r="K123" s="2135"/>
    </row>
    <row r="124" spans="10:11" x14ac:dyDescent="0.25">
      <c r="K124" s="2135"/>
    </row>
    <row r="125" spans="10:11" x14ac:dyDescent="0.25">
      <c r="J125" s="2136"/>
      <c r="K125" s="2135"/>
    </row>
    <row r="126" spans="10:11" x14ac:dyDescent="0.25">
      <c r="K126" s="2135"/>
    </row>
    <row r="127" spans="10:11" x14ac:dyDescent="0.25">
      <c r="K127" s="2135"/>
    </row>
    <row r="128" spans="10:11" x14ac:dyDescent="0.25">
      <c r="J128" s="2136"/>
      <c r="K128" s="2135"/>
    </row>
    <row r="129" spans="10:11" x14ac:dyDescent="0.25">
      <c r="K129" s="2135"/>
    </row>
    <row r="130" spans="10:11" x14ac:dyDescent="0.25">
      <c r="K130" s="2135"/>
    </row>
    <row r="131" spans="10:11" x14ac:dyDescent="0.25">
      <c r="J131" s="2136"/>
      <c r="K131" s="2135"/>
    </row>
    <row r="132" spans="10:11" x14ac:dyDescent="0.25">
      <c r="K132" s="2135"/>
    </row>
    <row r="133" spans="10:11" x14ac:dyDescent="0.25">
      <c r="K133" s="2135"/>
    </row>
    <row r="134" spans="10:11" x14ac:dyDescent="0.25">
      <c r="K134" s="2135"/>
    </row>
    <row r="135" spans="10:11" x14ac:dyDescent="0.25">
      <c r="J135" s="2136"/>
      <c r="K135" s="2135"/>
    </row>
    <row r="136" spans="10:11" x14ac:dyDescent="0.25">
      <c r="K136" s="2135"/>
    </row>
    <row r="137" spans="10:11" x14ac:dyDescent="0.25">
      <c r="K137" s="2135"/>
    </row>
    <row r="138" spans="10:11" x14ac:dyDescent="0.25">
      <c r="J138" s="2136"/>
      <c r="K138" s="2135"/>
    </row>
    <row r="139" spans="10:11" x14ac:dyDescent="0.25">
      <c r="K139" s="2135"/>
    </row>
    <row r="140" spans="10:11" x14ac:dyDescent="0.25">
      <c r="K140" s="2135"/>
    </row>
    <row r="141" spans="10:11" x14ac:dyDescent="0.25">
      <c r="K141" s="2135"/>
    </row>
    <row r="142" spans="10:11" x14ac:dyDescent="0.25">
      <c r="J142" s="2136"/>
      <c r="K142" s="2135"/>
    </row>
    <row r="143" spans="10:11" x14ac:dyDescent="0.25">
      <c r="K143" s="2135"/>
    </row>
    <row r="144" spans="10:11" x14ac:dyDescent="0.25">
      <c r="K144" s="2135"/>
    </row>
    <row r="145" spans="10:11" x14ac:dyDescent="0.25">
      <c r="K145" s="2135"/>
    </row>
    <row r="146" spans="10:11" x14ac:dyDescent="0.25">
      <c r="K146" s="2135"/>
    </row>
    <row r="147" spans="10:11" x14ac:dyDescent="0.25">
      <c r="J147" s="2136"/>
      <c r="K147" s="2135"/>
    </row>
    <row r="148" spans="10:11" x14ac:dyDescent="0.25">
      <c r="K148" s="2135"/>
    </row>
    <row r="149" spans="10:11" x14ac:dyDescent="0.25">
      <c r="K149" s="2135"/>
    </row>
    <row r="150" spans="10:11" x14ac:dyDescent="0.25">
      <c r="J150" s="2136"/>
      <c r="K150" s="2135"/>
    </row>
    <row r="151" spans="10:11" x14ac:dyDescent="0.25">
      <c r="K151" s="2135"/>
    </row>
    <row r="152" spans="10:11" x14ac:dyDescent="0.25">
      <c r="K152" s="2135"/>
    </row>
    <row r="153" spans="10:11" x14ac:dyDescent="0.25">
      <c r="J153" s="2136"/>
      <c r="K153" s="2135"/>
    </row>
    <row r="154" spans="10:11" x14ac:dyDescent="0.25">
      <c r="K154" s="2135"/>
    </row>
    <row r="155" spans="10:11" x14ac:dyDescent="0.25">
      <c r="K155" s="2135"/>
    </row>
    <row r="156" spans="10:11" x14ac:dyDescent="0.25">
      <c r="J156" s="2136"/>
      <c r="K156" s="2135"/>
    </row>
    <row r="157" spans="10:11" x14ac:dyDescent="0.25">
      <c r="K157" s="2135"/>
    </row>
    <row r="158" spans="10:11" x14ac:dyDescent="0.25">
      <c r="K158" s="2135"/>
    </row>
    <row r="159" spans="10:11" x14ac:dyDescent="0.25">
      <c r="K159" s="2135"/>
    </row>
    <row r="160" spans="10:11" x14ac:dyDescent="0.25">
      <c r="K160" s="2135"/>
    </row>
    <row r="161" spans="10:11" x14ac:dyDescent="0.25">
      <c r="J161" s="2136"/>
      <c r="K161" s="2135"/>
    </row>
    <row r="162" spans="10:11" x14ac:dyDescent="0.25">
      <c r="K162" s="2135"/>
    </row>
    <row r="163" spans="10:11" x14ac:dyDescent="0.25">
      <c r="K163" s="2135"/>
    </row>
    <row r="164" spans="10:11" x14ac:dyDescent="0.25">
      <c r="K164" s="2135"/>
    </row>
    <row r="165" spans="10:11" x14ac:dyDescent="0.25">
      <c r="J165" s="2136"/>
      <c r="K165" s="2135"/>
    </row>
    <row r="166" spans="10:11" x14ac:dyDescent="0.25">
      <c r="J166" s="2136"/>
      <c r="K166" s="2137"/>
    </row>
  </sheetData>
  <sheetProtection algorithmName="SHA-512" hashValue="LSZy+jiZZSO/hugKTyDziN9Zvu0X54A0PgAzHDhyJmGtMKWNz6ujuHVSy3igIDJlcCkbCuZ6IpBTseAN9n2bcQ==" saltValue="SOxAsRd23r8uPwQ/KbZLSA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8"/>
  <sheetViews>
    <sheetView topLeftCell="A35" workbookViewId="0">
      <selection activeCell="F25" sqref="F25"/>
    </sheetView>
  </sheetViews>
  <sheetFormatPr defaultColWidth="8.7109375" defaultRowHeight="15" customHeight="1" outlineLevelCol="1" x14ac:dyDescent="0.25"/>
  <cols>
    <col min="1" max="1" width="50.7109375" style="2138" customWidth="1"/>
    <col min="2" max="3" width="11.5703125" style="2139" bestFit="1" customWidth="1"/>
    <col min="4" max="4" width="16.28515625" style="2139" hidden="1" customWidth="1"/>
    <col min="5" max="5" width="15.5703125" style="2138" hidden="1" customWidth="1"/>
    <col min="6" max="6" width="11.5703125" style="2138" bestFit="1" customWidth="1"/>
    <col min="7" max="7" width="14.28515625" style="2138" bestFit="1" customWidth="1"/>
    <col min="8" max="8" width="11.5703125" style="2138" bestFit="1" customWidth="1"/>
    <col min="9" max="11" width="14.28515625" style="2138" bestFit="1" customWidth="1" outlineLevel="1"/>
    <col min="12" max="12" width="15.28515625" style="2138" customWidth="1" outlineLevel="1"/>
    <col min="13" max="13" width="11.5703125" style="2138" bestFit="1" customWidth="1" outlineLevel="1"/>
    <col min="14" max="17" width="14.28515625" style="2138" bestFit="1" customWidth="1" outlineLevel="1"/>
    <col min="18" max="18" width="11.5703125" style="2138" bestFit="1" customWidth="1" outlineLevel="1"/>
    <col min="19" max="22" width="14.28515625" style="2138" bestFit="1" customWidth="1" outlineLevel="1"/>
    <col min="23" max="26" width="11.5703125" style="2138" bestFit="1" customWidth="1" outlineLevel="1"/>
    <col min="27" max="27" width="10.85546875" style="2138" customWidth="1"/>
    <col min="28" max="28" width="8.85546875" style="2138" customWidth="1"/>
    <col min="29" max="16384" width="8.7109375" style="2138"/>
  </cols>
  <sheetData>
    <row r="1" spans="1:27" ht="12.75" x14ac:dyDescent="0.25"/>
    <row r="2" spans="1:27" s="2140" customFormat="1" ht="12.75" x14ac:dyDescent="0.25">
      <c r="B2" s="2141" t="s">
        <v>698</v>
      </c>
      <c r="C2" s="2142" t="s">
        <v>699</v>
      </c>
      <c r="D2" s="2143"/>
      <c r="E2" s="2143"/>
    </row>
    <row r="3" spans="1:27" s="2140" customFormat="1" ht="12.75" x14ac:dyDescent="0.25">
      <c r="A3" s="2140" t="s">
        <v>657</v>
      </c>
      <c r="B3" s="2144">
        <v>110000000</v>
      </c>
      <c r="D3" s="2143"/>
      <c r="E3" s="2143"/>
    </row>
    <row r="4" spans="1:27" s="2145" customFormat="1" ht="12.75" x14ac:dyDescent="0.25">
      <c r="A4" s="2145" t="s">
        <v>700</v>
      </c>
      <c r="C4" s="2146">
        <v>20000000</v>
      </c>
      <c r="D4" s="2144"/>
      <c r="E4" s="2144">
        <v>90000000</v>
      </c>
    </row>
    <row r="5" spans="1:27" s="2145" customFormat="1" ht="12.75" x14ac:dyDescent="0.25">
      <c r="A5" s="2145" t="s">
        <v>764</v>
      </c>
      <c r="B5" s="2146">
        <v>30000000</v>
      </c>
      <c r="C5" s="2146"/>
      <c r="D5" s="2144"/>
      <c r="E5" s="2144"/>
    </row>
    <row r="6" spans="1:27" s="2145" customFormat="1" ht="12.75" x14ac:dyDescent="0.25">
      <c r="A6" s="2145" t="s">
        <v>1136</v>
      </c>
      <c r="B6" s="2146">
        <v>15000000</v>
      </c>
      <c r="C6" s="2146"/>
      <c r="D6" s="2144"/>
      <c r="E6" s="2144"/>
    </row>
    <row r="7" spans="1:27" s="2145" customFormat="1" ht="12.75" x14ac:dyDescent="0.25">
      <c r="A7" s="2145" t="s">
        <v>1136</v>
      </c>
      <c r="B7" s="2146">
        <v>2500000</v>
      </c>
      <c r="C7" s="2146"/>
      <c r="D7" s="2144"/>
      <c r="E7" s="2144"/>
    </row>
    <row r="8" spans="1:27" ht="13.5" thickBot="1" x14ac:dyDescent="0.3">
      <c r="A8" s="2147"/>
      <c r="B8" s="2147"/>
      <c r="C8" s="2147"/>
      <c r="D8" s="2147"/>
      <c r="E8" s="2148"/>
      <c r="F8" s="2147"/>
      <c r="G8" s="2147"/>
      <c r="H8" s="2148"/>
      <c r="I8" s="2147"/>
      <c r="J8" s="2147"/>
      <c r="K8" s="2147"/>
      <c r="L8" s="2147"/>
      <c r="M8" s="2147"/>
      <c r="N8" s="2147"/>
      <c r="O8" s="2147"/>
      <c r="P8" s="2147"/>
      <c r="Q8" s="2147"/>
      <c r="R8" s="2147"/>
      <c r="S8" s="2147"/>
      <c r="T8" s="2147"/>
      <c r="U8" s="2147"/>
      <c r="V8" s="2147"/>
      <c r="W8" s="2147"/>
      <c r="X8" s="2147"/>
      <c r="Y8" s="2147"/>
      <c r="Z8" s="2147"/>
      <c r="AA8" s="2147"/>
    </row>
    <row r="9" spans="1:27" ht="13.5" thickBot="1" x14ac:dyDescent="0.3">
      <c r="A9" s="2149" t="s">
        <v>658</v>
      </c>
      <c r="B9" s="2150">
        <v>2016</v>
      </c>
      <c r="C9" s="2151">
        <v>2017</v>
      </c>
      <c r="D9" s="2151">
        <v>2018</v>
      </c>
      <c r="E9" s="2152">
        <v>2019</v>
      </c>
      <c r="F9" s="2153">
        <v>2020</v>
      </c>
      <c r="G9" s="2154">
        <v>2021</v>
      </c>
      <c r="H9" s="2152">
        <v>2022</v>
      </c>
      <c r="I9" s="2155">
        <v>2023</v>
      </c>
      <c r="J9" s="2156">
        <v>2024</v>
      </c>
      <c r="K9" s="2156">
        <v>2025</v>
      </c>
      <c r="L9" s="2156">
        <v>2026</v>
      </c>
      <c r="M9" s="2157">
        <v>2027</v>
      </c>
      <c r="N9" s="2157">
        <v>2028</v>
      </c>
      <c r="O9" s="2157">
        <v>2029</v>
      </c>
      <c r="P9" s="2157">
        <v>2030</v>
      </c>
      <c r="Q9" s="2151">
        <v>2031</v>
      </c>
      <c r="R9" s="2151">
        <v>2032</v>
      </c>
      <c r="S9" s="2151">
        <v>2033</v>
      </c>
      <c r="T9" s="2151">
        <v>2034</v>
      </c>
      <c r="U9" s="2151">
        <v>2035</v>
      </c>
      <c r="V9" s="2158">
        <v>2036</v>
      </c>
      <c r="W9" s="2151">
        <v>2037</v>
      </c>
      <c r="X9" s="2151">
        <v>2038</v>
      </c>
      <c r="Y9" s="2159">
        <v>2040</v>
      </c>
      <c r="Z9" s="2160">
        <v>2041</v>
      </c>
      <c r="AA9" s="2161"/>
    </row>
    <row r="10" spans="1:27" s="2139" customFormat="1" ht="12.75" x14ac:dyDescent="0.25">
      <c r="A10" s="2162" t="s">
        <v>659</v>
      </c>
      <c r="B10" s="2163"/>
      <c r="C10" s="2164">
        <v>46524.695976266659</v>
      </c>
      <c r="D10" s="2164">
        <v>464498.05917600001</v>
      </c>
      <c r="E10" s="2165">
        <f>0.0056*B3*0.25</f>
        <v>154000</v>
      </c>
      <c r="F10" s="2163"/>
      <c r="G10" s="2164"/>
      <c r="H10" s="2166"/>
      <c r="I10" s="2163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7"/>
      <c r="W10" s="2164"/>
      <c r="X10" s="2164"/>
      <c r="Y10" s="2168"/>
      <c r="Z10" s="2169"/>
      <c r="AA10" s="2147"/>
    </row>
    <row r="11" spans="1:27" s="2139" customFormat="1" ht="12.75" x14ac:dyDescent="0.25">
      <c r="A11" s="2170" t="s">
        <v>660</v>
      </c>
      <c r="B11" s="2171"/>
      <c r="C11" s="2172">
        <v>1554732</v>
      </c>
      <c r="D11" s="2172">
        <v>454732</v>
      </c>
      <c r="E11" s="2173"/>
      <c r="F11" s="2171"/>
      <c r="G11" s="2172"/>
      <c r="H11" s="2174"/>
      <c r="I11" s="2171"/>
      <c r="J11" s="2172"/>
      <c r="K11" s="2172"/>
      <c r="L11" s="2172"/>
      <c r="M11" s="2172"/>
      <c r="N11" s="2172"/>
      <c r="O11" s="2172"/>
      <c r="P11" s="2172"/>
      <c r="Q11" s="2172"/>
      <c r="R11" s="2172"/>
      <c r="S11" s="2172"/>
      <c r="T11" s="2172"/>
      <c r="U11" s="2172"/>
      <c r="V11" s="2175"/>
      <c r="W11" s="2172"/>
      <c r="X11" s="2172"/>
      <c r="Y11" s="2176"/>
      <c r="Z11" s="2177"/>
      <c r="AA11" s="2147"/>
    </row>
    <row r="12" spans="1:27" s="2183" customFormat="1" ht="12.75" x14ac:dyDescent="0.25">
      <c r="A12" s="2178" t="s">
        <v>661</v>
      </c>
      <c r="B12" s="2179"/>
      <c r="C12" s="939"/>
      <c r="D12" s="939"/>
      <c r="E12" s="2180">
        <v>1834352</v>
      </c>
      <c r="F12" s="2179">
        <f>0.009*E32</f>
        <v>794571.4439999999</v>
      </c>
      <c r="G12" s="939">
        <v>737549</v>
      </c>
      <c r="H12" s="2181">
        <v>690754</v>
      </c>
      <c r="I12" s="2179">
        <f>'přepočet úroků'!Q4</f>
        <v>531882</v>
      </c>
      <c r="J12" s="939">
        <f>+'přepočet úroků'!Q16</f>
        <v>509999.86479999998</v>
      </c>
      <c r="K12" s="939">
        <f>+'přepočet úroků'!Q26</f>
        <v>794994.14610000001</v>
      </c>
      <c r="L12" s="939">
        <f>+'přepočet úroků'!Q35</f>
        <v>754994.33729999978</v>
      </c>
      <c r="M12" s="939">
        <f>+'přepočet úroků'!Q44</f>
        <v>0</v>
      </c>
      <c r="N12" s="939">
        <f>+'přepočet úroků'!Q53</f>
        <v>0</v>
      </c>
      <c r="O12" s="939">
        <f>+'přepočet úroků'!Q62</f>
        <v>0</v>
      </c>
      <c r="P12" s="939">
        <f>+'přepočet úroků'!Q71</f>
        <v>0</v>
      </c>
      <c r="Q12" s="939">
        <f>+'přepočet úroků'!Q80</f>
        <v>0</v>
      </c>
      <c r="R12" s="939">
        <f>+'přepočet úroků'!Q89</f>
        <v>0</v>
      </c>
      <c r="S12" s="939">
        <f>+'přepočet úroků'!Q98</f>
        <v>0</v>
      </c>
      <c r="T12" s="939">
        <f>+'přepočet úroků'!Q107</f>
        <v>0</v>
      </c>
      <c r="U12" s="939">
        <f>+'přepočet úroků'!Q116</f>
        <v>0</v>
      </c>
      <c r="V12" s="2182">
        <f>+'přepočet úroků'!Q125</f>
        <v>0</v>
      </c>
      <c r="W12" s="939">
        <f>+'přepočet úroků'!Q134</f>
        <v>0</v>
      </c>
      <c r="Y12" s="939"/>
      <c r="Z12" s="2184"/>
      <c r="AA12" s="2147"/>
    </row>
    <row r="13" spans="1:27" s="2183" customFormat="1" ht="12.75" x14ac:dyDescent="0.25">
      <c r="A13" s="2178" t="s">
        <v>662</v>
      </c>
      <c r="B13" s="2179"/>
      <c r="C13" s="939"/>
      <c r="D13" s="939"/>
      <c r="E13" s="2180">
        <f>428571*4+C4</f>
        <v>21714284</v>
      </c>
      <c r="F13" s="2179">
        <f>428571*12</f>
        <v>5142852</v>
      </c>
      <c r="G13" s="939">
        <v>5118493</v>
      </c>
      <c r="H13" s="2181">
        <f>426541*12</f>
        <v>5118492</v>
      </c>
      <c r="I13" s="2179">
        <f>+'přepočet úroků'!C5*12</f>
        <v>5118492</v>
      </c>
      <c r="J13" s="939">
        <f t="shared" ref="J13:V13" si="0">+I13</f>
        <v>5118492</v>
      </c>
      <c r="K13" s="939">
        <f t="shared" si="0"/>
        <v>5118492</v>
      </c>
      <c r="L13" s="939">
        <f t="shared" si="0"/>
        <v>5118492</v>
      </c>
      <c r="M13" s="939">
        <f t="shared" si="0"/>
        <v>5118492</v>
      </c>
      <c r="N13" s="939">
        <f t="shared" si="0"/>
        <v>5118492</v>
      </c>
      <c r="O13" s="939">
        <f t="shared" si="0"/>
        <v>5118492</v>
      </c>
      <c r="P13" s="939">
        <f t="shared" si="0"/>
        <v>5118492</v>
      </c>
      <c r="Q13" s="939">
        <f t="shared" si="0"/>
        <v>5118492</v>
      </c>
      <c r="R13" s="939">
        <f t="shared" si="0"/>
        <v>5118492</v>
      </c>
      <c r="S13" s="939">
        <f t="shared" si="0"/>
        <v>5118492</v>
      </c>
      <c r="T13" s="939">
        <f t="shared" si="0"/>
        <v>5118492</v>
      </c>
      <c r="U13" s="939">
        <f t="shared" si="0"/>
        <v>5118492</v>
      </c>
      <c r="V13" s="2182">
        <f t="shared" si="0"/>
        <v>5118492</v>
      </c>
      <c r="W13" s="939"/>
      <c r="X13" s="939"/>
      <c r="Y13" s="2185"/>
      <c r="Z13" s="2184"/>
      <c r="AA13" s="2147"/>
    </row>
    <row r="14" spans="1:27" s="2194" customFormat="1" ht="12.75" x14ac:dyDescent="0.25">
      <c r="A14" s="2186" t="s">
        <v>663</v>
      </c>
      <c r="B14" s="2187"/>
      <c r="C14" s="2188">
        <v>1455000</v>
      </c>
      <c r="D14" s="2188">
        <f t="shared" ref="D14:F14" si="1">+C31*0.0122</f>
        <v>821839.22620000003</v>
      </c>
      <c r="E14" s="2189">
        <f t="shared" si="1"/>
        <v>682648.30379999999</v>
      </c>
      <c r="F14" s="2187">
        <f t="shared" si="1"/>
        <v>543457.38140000007</v>
      </c>
      <c r="G14" s="2188">
        <v>531073.92999999993</v>
      </c>
      <c r="H14" s="2190">
        <v>1172702</v>
      </c>
      <c r="I14" s="2187">
        <f>'přepočet úroků'!Q5</f>
        <v>644049</v>
      </c>
      <c r="J14" s="2188">
        <f>+'přepočet úroků'!Q15</f>
        <v>566758</v>
      </c>
      <c r="K14" s="2188"/>
      <c r="L14" s="2188"/>
      <c r="M14" s="2188"/>
      <c r="N14" s="2188"/>
      <c r="O14" s="2188"/>
      <c r="P14" s="2188"/>
      <c r="Q14" s="2188"/>
      <c r="R14" s="2188"/>
      <c r="S14" s="2188"/>
      <c r="T14" s="2188"/>
      <c r="U14" s="2188"/>
      <c r="V14" s="2191"/>
      <c r="W14" s="2188"/>
      <c r="X14" s="2188"/>
      <c r="Y14" s="2192"/>
      <c r="Z14" s="2193"/>
      <c r="AA14" s="2147"/>
    </row>
    <row r="15" spans="1:27" s="2194" customFormat="1" ht="12.75" x14ac:dyDescent="0.25">
      <c r="A15" s="2186" t="s">
        <v>664</v>
      </c>
      <c r="B15" s="2187"/>
      <c r="C15" s="2188">
        <v>11409092</v>
      </c>
      <c r="D15" s="2188">
        <v>11409092</v>
      </c>
      <c r="E15" s="2189">
        <f>11409092</f>
        <v>11409092</v>
      </c>
      <c r="F15" s="2187">
        <v>11409092</v>
      </c>
      <c r="G15" s="2188">
        <v>10909092</v>
      </c>
      <c r="H15" s="2190">
        <v>11409092</v>
      </c>
      <c r="I15" s="2187">
        <v>11409092</v>
      </c>
      <c r="J15" s="2188">
        <f>+'přepočet úroků'!C15</f>
        <v>426541</v>
      </c>
      <c r="K15" s="2188"/>
      <c r="L15" s="2188"/>
      <c r="M15" s="2188"/>
      <c r="N15" s="2188"/>
      <c r="O15" s="2188"/>
      <c r="P15" s="2188"/>
      <c r="Q15" s="2188"/>
      <c r="R15" s="2188"/>
      <c r="S15" s="2188"/>
      <c r="T15" s="2188"/>
      <c r="U15" s="2188"/>
      <c r="V15" s="2191"/>
      <c r="W15" s="2188"/>
      <c r="X15" s="2188"/>
      <c r="Y15" s="2192"/>
      <c r="Z15" s="2193"/>
      <c r="AA15" s="2147"/>
    </row>
    <row r="16" spans="1:27" s="2139" customFormat="1" ht="12.75" hidden="1" x14ac:dyDescent="0.25">
      <c r="A16" s="2170" t="s">
        <v>665</v>
      </c>
      <c r="B16" s="2171"/>
      <c r="C16" s="2172">
        <v>3600000</v>
      </c>
      <c r="D16" s="2172">
        <v>3640000</v>
      </c>
      <c r="E16" s="2173">
        <v>1500000</v>
      </c>
      <c r="F16" s="2171">
        <v>1500000</v>
      </c>
      <c r="G16" s="2172"/>
      <c r="H16" s="2173"/>
      <c r="I16" s="2171"/>
      <c r="J16" s="2172"/>
      <c r="K16" s="2172"/>
      <c r="L16" s="2172"/>
      <c r="M16" s="2172"/>
      <c r="N16" s="2172"/>
      <c r="O16" s="2172"/>
      <c r="P16" s="2172"/>
      <c r="Q16" s="2172"/>
      <c r="R16" s="2172"/>
      <c r="S16" s="2172"/>
      <c r="T16" s="2172"/>
      <c r="U16" s="2172"/>
      <c r="V16" s="2175"/>
      <c r="W16" s="2172"/>
      <c r="X16" s="2172"/>
      <c r="Y16" s="2176"/>
      <c r="Z16" s="2177"/>
      <c r="AA16" s="2147"/>
    </row>
    <row r="17" spans="1:27" s="2203" customFormat="1" ht="12.75" x14ac:dyDescent="0.25">
      <c r="A17" s="2195" t="s">
        <v>766</v>
      </c>
      <c r="B17" s="2196"/>
      <c r="C17" s="2197"/>
      <c r="D17" s="2197"/>
      <c r="E17" s="2198">
        <f>+B5*0.0251</f>
        <v>753000</v>
      </c>
      <c r="F17" s="2196">
        <f>+E33*0.0251</f>
        <v>753000</v>
      </c>
      <c r="G17" s="2197">
        <v>142294</v>
      </c>
      <c r="H17" s="2198">
        <f>+G33*0.0044*4</f>
        <v>498113.08800000005</v>
      </c>
      <c r="I17" s="2196">
        <f>'přepočet úroků'!Q6</f>
        <v>497861</v>
      </c>
      <c r="J17" s="2197">
        <f>+'přepočet úroků'!Q17</f>
        <v>698469.89464999991</v>
      </c>
      <c r="K17" s="2197">
        <f>+'přepočet úroků'!Q27</f>
        <v>657594.39960999996</v>
      </c>
      <c r="L17" s="2197">
        <f>+'přepočet úroků'!Q36</f>
        <v>0</v>
      </c>
      <c r="M17" s="2197">
        <f>+'přepočet úroků'!Q45</f>
        <v>0</v>
      </c>
      <c r="N17" s="2197">
        <f>+'přepočet úroků'!Q54</f>
        <v>0</v>
      </c>
      <c r="O17" s="2197">
        <f>+'přepočet úroků'!Q63</f>
        <v>0</v>
      </c>
      <c r="P17" s="2197">
        <f>+'přepočet úroků'!Q72</f>
        <v>0</v>
      </c>
      <c r="Q17" s="2197"/>
      <c r="R17" s="2197"/>
      <c r="S17" s="2197"/>
      <c r="T17" s="2197"/>
      <c r="U17" s="2197"/>
      <c r="V17" s="2199">
        <f t="shared" ref="V17" si="2">+U33*0.0044*4</f>
        <v>0</v>
      </c>
      <c r="W17" s="2197"/>
      <c r="X17" s="2197"/>
      <c r="Y17" s="2200"/>
      <c r="Z17" s="2201"/>
      <c r="AA17" s="2202"/>
    </row>
    <row r="18" spans="1:27" s="2203" customFormat="1" ht="12" customHeight="1" x14ac:dyDescent="0.25">
      <c r="A18" s="2195" t="s">
        <v>767</v>
      </c>
      <c r="B18" s="2196"/>
      <c r="C18" s="2197"/>
      <c r="D18" s="2197"/>
      <c r="E18" s="2198"/>
      <c r="F18" s="2196"/>
      <c r="G18" s="2197">
        <v>1698120</v>
      </c>
      <c r="H18" s="2198">
        <f>566040*4</f>
        <v>2264160</v>
      </c>
      <c r="I18" s="2196">
        <f>+'přepočet úroků'!C6*4</f>
        <v>2264160</v>
      </c>
      <c r="J18" s="2197">
        <f>+'přepočet úroků'!C17*4</f>
        <v>227220</v>
      </c>
      <c r="K18" s="2197">
        <f>+'přepočet úroků'!C17*4</f>
        <v>227220</v>
      </c>
      <c r="L18" s="2197">
        <f>+K18</f>
        <v>227220</v>
      </c>
      <c r="M18" s="2197">
        <f>+L18</f>
        <v>227220</v>
      </c>
      <c r="N18" s="2197">
        <f>+M18</f>
        <v>227220</v>
      </c>
      <c r="O18" s="2197">
        <f>+N18</f>
        <v>227220</v>
      </c>
      <c r="P18" s="2197">
        <f>+O18</f>
        <v>227220</v>
      </c>
      <c r="Q18" s="2197"/>
      <c r="R18" s="2197"/>
      <c r="S18" s="2197"/>
      <c r="T18" s="2197"/>
      <c r="U18" s="2197"/>
      <c r="V18" s="2199"/>
      <c r="W18" s="2197"/>
      <c r="X18" s="2197"/>
      <c r="Y18" s="2200"/>
      <c r="Z18" s="2201"/>
      <c r="AA18" s="2202"/>
    </row>
    <row r="19" spans="1:27" s="2183" customFormat="1" ht="12" customHeight="1" x14ac:dyDescent="0.25">
      <c r="A19" s="2204" t="s">
        <v>1132</v>
      </c>
      <c r="B19" s="2205"/>
      <c r="C19" s="2206"/>
      <c r="D19" s="2206"/>
      <c r="E19" s="2207"/>
      <c r="F19" s="2205">
        <v>135000</v>
      </c>
      <c r="G19" s="2206">
        <v>40714</v>
      </c>
      <c r="H19" s="2207">
        <f>+G34*0.006*10.06</f>
        <v>843832.8</v>
      </c>
      <c r="I19" s="2205">
        <f>+'přepočet úroků'!C7*7</f>
        <v>420000</v>
      </c>
      <c r="J19" s="2206"/>
      <c r="K19" s="2206"/>
      <c r="L19" s="2206"/>
      <c r="M19" s="2206"/>
      <c r="N19" s="2206"/>
      <c r="O19" s="2206"/>
      <c r="P19" s="2206"/>
      <c r="Q19" s="2206"/>
      <c r="R19" s="2206"/>
      <c r="S19" s="2206"/>
      <c r="T19" s="2206"/>
      <c r="U19" s="2206"/>
      <c r="V19" s="2208"/>
      <c r="W19" s="2206"/>
      <c r="X19" s="2206"/>
      <c r="Y19" s="2209"/>
      <c r="Z19" s="2210"/>
      <c r="AA19" s="2211"/>
    </row>
    <row r="20" spans="1:27" s="2183" customFormat="1" ht="12" customHeight="1" x14ac:dyDescent="0.25">
      <c r="A20" s="2204" t="s">
        <v>1133</v>
      </c>
      <c r="B20" s="2205"/>
      <c r="C20" s="2206"/>
      <c r="D20" s="2206"/>
      <c r="E20" s="2207"/>
      <c r="F20" s="2205">
        <v>420000</v>
      </c>
      <c r="G20" s="2206">
        <v>600000</v>
      </c>
      <c r="H20" s="2207">
        <v>831000</v>
      </c>
      <c r="I20" s="2205">
        <f>+'přepočet úroků'!Q7</f>
        <v>664192</v>
      </c>
      <c r="J20" s="2206"/>
      <c r="K20" s="2206"/>
      <c r="L20" s="2206"/>
      <c r="M20" s="2206"/>
      <c r="N20" s="2206"/>
      <c r="O20" s="2206"/>
      <c r="P20" s="2206"/>
      <c r="Q20" s="2206"/>
      <c r="R20" s="2206"/>
      <c r="S20" s="2206"/>
      <c r="T20" s="2206"/>
      <c r="U20" s="2206"/>
      <c r="V20" s="2208"/>
      <c r="W20" s="2206"/>
      <c r="X20" s="2206"/>
      <c r="Y20" s="2209"/>
      <c r="Z20" s="2210"/>
      <c r="AA20" s="2211"/>
    </row>
    <row r="21" spans="1:27" s="2220" customFormat="1" ht="12" customHeight="1" x14ac:dyDescent="0.25">
      <c r="A21" s="2212" t="s">
        <v>1135</v>
      </c>
      <c r="B21" s="2213"/>
      <c r="C21" s="2214"/>
      <c r="D21" s="2214"/>
      <c r="E21" s="2215"/>
      <c r="F21" s="2213">
        <f>2500000*0.009</f>
        <v>22500</v>
      </c>
      <c r="G21" s="2214">
        <v>6748</v>
      </c>
      <c r="H21" s="2215">
        <f>+G35*0.00685*12</f>
        <v>184948.35600000003</v>
      </c>
      <c r="I21" s="2213">
        <f>+'přepočet úroků'!C8*7</f>
        <v>97230</v>
      </c>
      <c r="J21" s="2214"/>
      <c r="K21" s="2214"/>
      <c r="L21" s="2214"/>
      <c r="M21" s="2214"/>
      <c r="N21" s="2214"/>
      <c r="O21" s="2214"/>
      <c r="P21" s="2214"/>
      <c r="Q21" s="2214"/>
      <c r="R21" s="2214"/>
      <c r="S21" s="2214"/>
      <c r="T21" s="2214"/>
      <c r="U21" s="2214"/>
      <c r="V21" s="2216"/>
      <c r="W21" s="2214"/>
      <c r="X21" s="2214"/>
      <c r="Y21" s="2217"/>
      <c r="Z21" s="2218"/>
      <c r="AA21" s="2219"/>
    </row>
    <row r="22" spans="1:27" s="2220" customFormat="1" ht="12" customHeight="1" x14ac:dyDescent="0.25">
      <c r="A22" s="2212" t="s">
        <v>1134</v>
      </c>
      <c r="B22" s="2213"/>
      <c r="C22" s="2214"/>
      <c r="D22" s="2214"/>
      <c r="E22" s="2215"/>
      <c r="F22" s="2213">
        <f>13890*6</f>
        <v>83340</v>
      </c>
      <c r="G22" s="2214">
        <v>166680</v>
      </c>
      <c r="H22" s="2215">
        <f>13890*12</f>
        <v>166680</v>
      </c>
      <c r="I22" s="2213">
        <f>+'přepočet úroků'!Q8</f>
        <v>103547</v>
      </c>
      <c r="J22" s="2214"/>
      <c r="K22" s="2214"/>
      <c r="L22" s="2214"/>
      <c r="M22" s="2214"/>
      <c r="N22" s="2214"/>
      <c r="O22" s="2214"/>
      <c r="P22" s="2214"/>
      <c r="Q22" s="2214"/>
      <c r="R22" s="2214"/>
      <c r="S22" s="2214"/>
      <c r="T22" s="2214"/>
      <c r="U22" s="2214"/>
      <c r="V22" s="2216"/>
      <c r="W22" s="2214"/>
      <c r="X22" s="2214"/>
      <c r="Y22" s="2217"/>
      <c r="Z22" s="2218"/>
      <c r="AA22" s="2219"/>
    </row>
    <row r="23" spans="1:27" s="2220" customFormat="1" ht="12" customHeight="1" x14ac:dyDescent="0.25">
      <c r="A23" s="2221" t="s">
        <v>2170</v>
      </c>
      <c r="B23" s="2222"/>
      <c r="C23" s="2223"/>
      <c r="D23" s="2223"/>
      <c r="E23" s="2224"/>
      <c r="F23" s="2222"/>
      <c r="G23" s="2223"/>
      <c r="H23" s="2224"/>
      <c r="I23" s="2222">
        <f>+'přepočet úroků'!C9*7</f>
        <v>397635</v>
      </c>
      <c r="J23" s="2223">
        <f>+'přepočet úroků'!Q17</f>
        <v>698469.89464999991</v>
      </c>
      <c r="K23" s="2223">
        <f>+'přepočet úroků'!Q28</f>
        <v>1769201.3971799999</v>
      </c>
      <c r="L23" s="2223">
        <f>+'přepočet úroků'!Q37</f>
        <v>1635176.0923799998</v>
      </c>
      <c r="M23" s="2223">
        <f>+'přepočet úroků'!Q46</f>
        <v>0</v>
      </c>
      <c r="N23" s="2223">
        <f>+'přepočet úroků'!Q55</f>
        <v>0</v>
      </c>
      <c r="O23" s="2223">
        <f>+'přepočet úroků'!Q64</f>
        <v>0</v>
      </c>
      <c r="P23" s="2223">
        <f>+'přepočet úroků'!Q73</f>
        <v>0</v>
      </c>
      <c r="Q23" s="2223">
        <f>+'přepočet úroků'!Q82</f>
        <v>0</v>
      </c>
      <c r="R23" s="2223">
        <f>+'přepočet úroků'!Q91</f>
        <v>0</v>
      </c>
      <c r="S23" s="2223">
        <f>+'přepočet úroků'!Q100</f>
        <v>0</v>
      </c>
      <c r="T23" s="2223">
        <f>+'přepočet úroků'!Q109</f>
        <v>0</v>
      </c>
      <c r="U23" s="2223">
        <f>+'přepočet úroků'!Q118</f>
        <v>0</v>
      </c>
      <c r="V23" s="2225">
        <f>+'přepočet úroků'!Q127</f>
        <v>0</v>
      </c>
      <c r="W23" s="2223">
        <f>+'přepočet úroků'!Q136</f>
        <v>0</v>
      </c>
      <c r="X23" s="2223">
        <f>+'přepočet úroků'!Q145</f>
        <v>0</v>
      </c>
      <c r="Y23" s="2226">
        <f>+'přepočet úroků'!Q154</f>
        <v>0</v>
      </c>
      <c r="Z23" s="2227">
        <f>+'přepočet úroků'!Q163</f>
        <v>0</v>
      </c>
      <c r="AA23" s="2219"/>
    </row>
    <row r="24" spans="1:27" s="2220" customFormat="1" ht="12" customHeight="1" x14ac:dyDescent="0.25">
      <c r="A24" s="2221" t="s">
        <v>2171</v>
      </c>
      <c r="B24" s="2222"/>
      <c r="C24" s="2223"/>
      <c r="D24" s="2223"/>
      <c r="E24" s="2224"/>
      <c r="F24" s="2222"/>
      <c r="G24" s="2223"/>
      <c r="H24" s="2224"/>
      <c r="I24" s="2222">
        <f>+'přepočet úroků'!Q9</f>
        <v>231099</v>
      </c>
      <c r="J24" s="2223">
        <f>+'přepočet úroků'!C17*12</f>
        <v>681660</v>
      </c>
      <c r="K24" s="2223">
        <f t="shared" ref="K24:Z24" si="3">+J24</f>
        <v>681660</v>
      </c>
      <c r="L24" s="2223">
        <f t="shared" si="3"/>
        <v>681660</v>
      </c>
      <c r="M24" s="2223">
        <f t="shared" si="3"/>
        <v>681660</v>
      </c>
      <c r="N24" s="2223">
        <f t="shared" si="3"/>
        <v>681660</v>
      </c>
      <c r="O24" s="2223">
        <f t="shared" si="3"/>
        <v>681660</v>
      </c>
      <c r="P24" s="2223">
        <f t="shared" si="3"/>
        <v>681660</v>
      </c>
      <c r="Q24" s="2223">
        <f t="shared" si="3"/>
        <v>681660</v>
      </c>
      <c r="R24" s="2223">
        <f t="shared" si="3"/>
        <v>681660</v>
      </c>
      <c r="S24" s="2223">
        <f t="shared" si="3"/>
        <v>681660</v>
      </c>
      <c r="T24" s="2223">
        <f t="shared" si="3"/>
        <v>681660</v>
      </c>
      <c r="U24" s="2223">
        <f t="shared" si="3"/>
        <v>681660</v>
      </c>
      <c r="V24" s="2225">
        <f t="shared" si="3"/>
        <v>681660</v>
      </c>
      <c r="W24" s="2223">
        <f t="shared" si="3"/>
        <v>681660</v>
      </c>
      <c r="X24" s="2223">
        <f t="shared" si="3"/>
        <v>681660</v>
      </c>
      <c r="Y24" s="2226">
        <f t="shared" si="3"/>
        <v>681660</v>
      </c>
      <c r="Z24" s="2227">
        <f t="shared" si="3"/>
        <v>681660</v>
      </c>
      <c r="AA24" s="2219"/>
    </row>
    <row r="25" spans="1:27" s="2220" customFormat="1" ht="12" customHeight="1" x14ac:dyDescent="0.25">
      <c r="A25" s="2221" t="s">
        <v>2173</v>
      </c>
      <c r="B25" s="2222"/>
      <c r="C25" s="2223"/>
      <c r="D25" s="2223"/>
      <c r="E25" s="2224"/>
      <c r="F25" s="2222"/>
      <c r="G25" s="2223"/>
      <c r="H25" s="2224"/>
      <c r="I25" s="2222"/>
      <c r="J25" s="2223">
        <f>+'přepočet úroků'!Q10</f>
        <v>389641</v>
      </c>
      <c r="K25" s="2223"/>
      <c r="L25" s="2223"/>
      <c r="M25" s="2223"/>
      <c r="N25" s="2223"/>
      <c r="O25" s="2223"/>
      <c r="P25" s="2223"/>
      <c r="Q25" s="2223"/>
      <c r="R25" s="2223"/>
      <c r="S25" s="2223"/>
      <c r="T25" s="2223"/>
      <c r="U25" s="2223"/>
      <c r="V25" s="2225"/>
      <c r="W25" s="2223"/>
      <c r="X25" s="2223"/>
      <c r="Y25" s="2226"/>
      <c r="Z25" s="2227"/>
      <c r="AA25" s="2219"/>
    </row>
    <row r="26" spans="1:27" s="2220" customFormat="1" ht="12" customHeight="1" x14ac:dyDescent="0.25">
      <c r="A26" s="2221" t="s">
        <v>2172</v>
      </c>
      <c r="B26" s="2222"/>
      <c r="C26" s="2223"/>
      <c r="D26" s="2223"/>
      <c r="E26" s="2224"/>
      <c r="F26" s="2222"/>
      <c r="G26" s="2223"/>
      <c r="H26" s="2224"/>
      <c r="I26" s="2222"/>
      <c r="J26" s="2223"/>
      <c r="K26" s="2223">
        <f>+'přepočet úroků'!C27*7</f>
        <v>3208331</v>
      </c>
      <c r="L26" s="2223"/>
      <c r="M26" s="2223"/>
      <c r="N26" s="2223"/>
      <c r="O26" s="2223"/>
      <c r="P26" s="2223"/>
      <c r="Q26" s="2223"/>
      <c r="R26" s="2223"/>
      <c r="S26" s="2223"/>
      <c r="T26" s="2223"/>
      <c r="U26" s="2223"/>
      <c r="V26" s="2225"/>
      <c r="W26" s="2223"/>
      <c r="X26" s="2223"/>
      <c r="Y26" s="2226"/>
      <c r="Z26" s="2227"/>
      <c r="AA26" s="2219"/>
    </row>
    <row r="27" spans="1:27" s="2220" customFormat="1" ht="12" customHeight="1" x14ac:dyDescent="0.25">
      <c r="A27" s="2186" t="s">
        <v>2856</v>
      </c>
      <c r="B27" s="2222"/>
      <c r="C27" s="2223"/>
      <c r="D27" s="2223"/>
      <c r="E27" s="2224"/>
      <c r="F27" s="2222"/>
      <c r="G27" s="2223"/>
      <c r="H27" s="2224"/>
      <c r="I27" s="2222"/>
      <c r="J27" s="2222"/>
      <c r="K27" s="2222"/>
      <c r="L27" s="2222"/>
      <c r="M27" s="2222"/>
      <c r="N27" s="2222"/>
      <c r="O27" s="2222"/>
      <c r="P27" s="2222"/>
      <c r="Q27" s="2222"/>
      <c r="R27" s="2222"/>
      <c r="S27" s="2222"/>
      <c r="T27" s="2222"/>
      <c r="U27" s="2222"/>
      <c r="V27" s="2266"/>
      <c r="W27" s="2223"/>
      <c r="X27" s="2223"/>
      <c r="Y27" s="2266"/>
      <c r="Z27" s="2227"/>
      <c r="AA27" s="2219"/>
    </row>
    <row r="28" spans="1:27" s="2220" customFormat="1" ht="12" customHeight="1" x14ac:dyDescent="0.25">
      <c r="A28" s="2186" t="s">
        <v>2857</v>
      </c>
      <c r="B28" s="2222"/>
      <c r="C28" s="2223"/>
      <c r="D28" s="2223"/>
      <c r="E28" s="2224"/>
      <c r="F28" s="2222"/>
      <c r="G28" s="2223"/>
      <c r="H28" s="2224"/>
      <c r="I28" s="2222"/>
      <c r="J28" s="2222"/>
      <c r="K28" s="2222"/>
      <c r="L28" s="2222"/>
      <c r="M28" s="2222"/>
      <c r="N28" s="2222"/>
      <c r="O28" s="2222"/>
      <c r="P28" s="2222"/>
      <c r="Q28" s="2222"/>
      <c r="R28" s="2222"/>
      <c r="S28" s="2222"/>
      <c r="T28" s="2222"/>
      <c r="U28" s="2222"/>
      <c r="V28" s="2266"/>
      <c r="W28" s="2223"/>
      <c r="X28" s="2223"/>
      <c r="Y28" s="2266"/>
      <c r="Z28" s="2227"/>
      <c r="AA28" s="2219"/>
    </row>
    <row r="29" spans="1:27" s="2234" customFormat="1" ht="13.5" thickBot="1" x14ac:dyDescent="0.3">
      <c r="A29" s="2228" t="s">
        <v>650</v>
      </c>
      <c r="B29" s="2229">
        <f t="shared" ref="B29:H29" si="4">SUM(B10:B22)</f>
        <v>0</v>
      </c>
      <c r="C29" s="2230">
        <f t="shared" si="4"/>
        <v>18065348.695976265</v>
      </c>
      <c r="D29" s="2230">
        <f t="shared" si="4"/>
        <v>16790161.285376001</v>
      </c>
      <c r="E29" s="2231">
        <f t="shared" si="4"/>
        <v>38047376.303800002</v>
      </c>
      <c r="F29" s="2229">
        <f t="shared" si="4"/>
        <v>20803812.825400002</v>
      </c>
      <c r="G29" s="2230">
        <f t="shared" si="4"/>
        <v>19950763.93</v>
      </c>
      <c r="H29" s="2231">
        <f t="shared" si="4"/>
        <v>23179774.243999999</v>
      </c>
      <c r="I29" s="2229">
        <f t="shared" ref="I29:Z29" si="5">SUM(I10:I26)</f>
        <v>22379239</v>
      </c>
      <c r="J29" s="2229">
        <f t="shared" si="5"/>
        <v>9317251.6541000009</v>
      </c>
      <c r="K29" s="2229">
        <f t="shared" si="5"/>
        <v>12457492.94289</v>
      </c>
      <c r="L29" s="2229">
        <f t="shared" si="5"/>
        <v>8417542.4296799991</v>
      </c>
      <c r="M29" s="2229">
        <f t="shared" si="5"/>
        <v>6027372</v>
      </c>
      <c r="N29" s="2229">
        <f t="shared" si="5"/>
        <v>6027372</v>
      </c>
      <c r="O29" s="2229">
        <f t="shared" si="5"/>
        <v>6027372</v>
      </c>
      <c r="P29" s="2229">
        <f t="shared" si="5"/>
        <v>6027372</v>
      </c>
      <c r="Q29" s="2229">
        <f t="shared" si="5"/>
        <v>5800152</v>
      </c>
      <c r="R29" s="2229">
        <f t="shared" si="5"/>
        <v>5800152</v>
      </c>
      <c r="S29" s="2229">
        <f t="shared" si="5"/>
        <v>5800152</v>
      </c>
      <c r="T29" s="2229">
        <f t="shared" si="5"/>
        <v>5800152</v>
      </c>
      <c r="U29" s="2229">
        <f t="shared" si="5"/>
        <v>5800152</v>
      </c>
      <c r="V29" s="2232">
        <f t="shared" si="5"/>
        <v>5800152</v>
      </c>
      <c r="W29" s="2230">
        <f t="shared" si="5"/>
        <v>681660</v>
      </c>
      <c r="X29" s="2230">
        <f t="shared" si="5"/>
        <v>681660</v>
      </c>
      <c r="Y29" s="2229">
        <f t="shared" si="5"/>
        <v>681660</v>
      </c>
      <c r="Z29" s="2233">
        <f t="shared" si="5"/>
        <v>681660</v>
      </c>
      <c r="AA29" s="2147"/>
    </row>
    <row r="30" spans="1:27" s="2139" customFormat="1" ht="14.25" customHeight="1" thickBot="1" x14ac:dyDescent="0.3">
      <c r="A30" s="2235"/>
      <c r="B30" s="2148"/>
      <c r="C30" s="2148"/>
      <c r="D30" s="2148"/>
      <c r="E30" s="2147"/>
      <c r="F30" s="2148">
        <f>+F10+F12+F14+F17+F19+F21</f>
        <v>2248528.8254</v>
      </c>
      <c r="G30" s="2148"/>
      <c r="H30" s="2148"/>
      <c r="I30" s="2148"/>
      <c r="J30" s="2148"/>
      <c r="K30" s="2148"/>
      <c r="L30" s="2148"/>
      <c r="M30" s="2148"/>
      <c r="N30" s="2148"/>
      <c r="O30" s="2148"/>
      <c r="P30" s="2148"/>
      <c r="Q30" s="2148"/>
      <c r="R30" s="2148"/>
      <c r="S30" s="2148"/>
      <c r="T30" s="2148"/>
      <c r="U30" s="2148"/>
      <c r="V30" s="2148"/>
      <c r="W30" s="2148"/>
      <c r="X30" s="2148"/>
      <c r="Y30" s="2148"/>
      <c r="Z30" s="2148"/>
      <c r="AA30" s="2147"/>
    </row>
    <row r="31" spans="1:27" s="2139" customFormat="1" ht="12.75" x14ac:dyDescent="0.25">
      <c r="A31" s="2236" t="s">
        <v>666</v>
      </c>
      <c r="B31" s="2237">
        <v>78720000</v>
      </c>
      <c r="C31" s="2238">
        <f>66590908+772963</f>
        <v>67363871</v>
      </c>
      <c r="D31" s="2238">
        <f>+C31-C15</f>
        <v>55954779</v>
      </c>
      <c r="E31" s="2239">
        <f>+D31-D15</f>
        <v>44545687</v>
      </c>
      <c r="F31" s="2237">
        <f>+E31-E15</f>
        <v>33136595</v>
      </c>
      <c r="G31" s="2238">
        <v>22727264</v>
      </c>
      <c r="H31" s="2240">
        <v>11818172</v>
      </c>
      <c r="I31" s="2237">
        <f>+H31-H15</f>
        <v>409080</v>
      </c>
      <c r="J31" s="2238"/>
      <c r="K31" s="2238"/>
      <c r="L31" s="2238"/>
      <c r="M31" s="2238"/>
      <c r="N31" s="2238"/>
      <c r="O31" s="2238"/>
      <c r="P31" s="2238"/>
      <c r="Q31" s="2238"/>
      <c r="R31" s="2238"/>
      <c r="S31" s="2238"/>
      <c r="T31" s="2238"/>
      <c r="U31" s="2238"/>
      <c r="V31" s="2241"/>
      <c r="W31" s="2241"/>
      <c r="X31" s="2238"/>
      <c r="Y31" s="2242"/>
      <c r="Z31" s="2243"/>
      <c r="AA31" s="2147"/>
    </row>
    <row r="32" spans="1:27" s="2139" customFormat="1" ht="12.75" x14ac:dyDescent="0.25">
      <c r="A32" s="2162" t="s">
        <v>667</v>
      </c>
      <c r="B32" s="2163"/>
      <c r="C32" s="2172">
        <v>46370129</v>
      </c>
      <c r="D32" s="2172">
        <v>110000000</v>
      </c>
      <c r="E32" s="2173">
        <f>B3-E13</f>
        <v>88285716</v>
      </c>
      <c r="F32" s="2171">
        <f>E32-F13</f>
        <v>83142864</v>
      </c>
      <c r="G32" s="2172">
        <v>78056852</v>
      </c>
      <c r="H32" s="2174">
        <v>72938360</v>
      </c>
      <c r="I32" s="2171">
        <f t="shared" ref="I32:V32" si="6">H32-I13</f>
        <v>67819868</v>
      </c>
      <c r="J32" s="2172">
        <f t="shared" si="6"/>
        <v>62701376</v>
      </c>
      <c r="K32" s="2172">
        <f t="shared" si="6"/>
        <v>57582884</v>
      </c>
      <c r="L32" s="2172">
        <f t="shared" si="6"/>
        <v>52464392</v>
      </c>
      <c r="M32" s="2172">
        <f t="shared" si="6"/>
        <v>47345900</v>
      </c>
      <c r="N32" s="2172">
        <f t="shared" si="6"/>
        <v>42227408</v>
      </c>
      <c r="O32" s="2172">
        <f t="shared" si="6"/>
        <v>37108916</v>
      </c>
      <c r="P32" s="2172">
        <f t="shared" si="6"/>
        <v>31990424</v>
      </c>
      <c r="Q32" s="2172">
        <f t="shared" si="6"/>
        <v>26871932</v>
      </c>
      <c r="R32" s="2172">
        <f t="shared" si="6"/>
        <v>21753440</v>
      </c>
      <c r="S32" s="2172">
        <f t="shared" si="6"/>
        <v>16634948</v>
      </c>
      <c r="T32" s="2172">
        <f t="shared" si="6"/>
        <v>11516456</v>
      </c>
      <c r="U32" s="2172">
        <f t="shared" si="6"/>
        <v>6397964</v>
      </c>
      <c r="V32" s="2175">
        <f t="shared" si="6"/>
        <v>1279472</v>
      </c>
      <c r="W32" s="2175"/>
      <c r="X32" s="2172"/>
      <c r="Y32" s="2244"/>
      <c r="Z32" s="2177"/>
      <c r="AA32" s="2147"/>
    </row>
    <row r="33" spans="1:27" s="2139" customFormat="1" ht="12.75" x14ac:dyDescent="0.25">
      <c r="A33" s="2170" t="s">
        <v>763</v>
      </c>
      <c r="B33" s="2171"/>
      <c r="C33" s="2172"/>
      <c r="D33" s="2245"/>
      <c r="E33" s="2246">
        <f>+B5-E18</f>
        <v>30000000</v>
      </c>
      <c r="F33" s="2247">
        <f>+E33-F18</f>
        <v>30000000</v>
      </c>
      <c r="G33" s="2245">
        <v>28301880</v>
      </c>
      <c r="H33" s="2248">
        <v>26037720</v>
      </c>
      <c r="I33" s="2247">
        <f t="shared" ref="I33:S33" si="7">+H33-I18</f>
        <v>23773560</v>
      </c>
      <c r="J33" s="2245">
        <f t="shared" si="7"/>
        <v>23546340</v>
      </c>
      <c r="K33" s="2245">
        <f t="shared" si="7"/>
        <v>23319120</v>
      </c>
      <c r="L33" s="2245">
        <f t="shared" si="7"/>
        <v>23091900</v>
      </c>
      <c r="M33" s="2245">
        <f t="shared" si="7"/>
        <v>22864680</v>
      </c>
      <c r="N33" s="2245">
        <f t="shared" si="7"/>
        <v>22637460</v>
      </c>
      <c r="O33" s="2245">
        <f t="shared" si="7"/>
        <v>22410240</v>
      </c>
      <c r="P33" s="2245">
        <f t="shared" si="7"/>
        <v>22183020</v>
      </c>
      <c r="Q33" s="2245">
        <f t="shared" si="7"/>
        <v>22183020</v>
      </c>
      <c r="R33" s="2245">
        <f t="shared" si="7"/>
        <v>22183020</v>
      </c>
      <c r="S33" s="2245">
        <f t="shared" si="7"/>
        <v>22183020</v>
      </c>
      <c r="T33" s="2245"/>
      <c r="U33" s="2245"/>
      <c r="V33" s="2249"/>
      <c r="W33" s="2249"/>
      <c r="X33" s="2245"/>
      <c r="Y33" s="2250"/>
      <c r="Z33" s="2251"/>
      <c r="AA33" s="2147"/>
    </row>
    <row r="34" spans="1:27" s="2183" customFormat="1" ht="12.75" x14ac:dyDescent="0.25">
      <c r="A34" s="2252" t="s">
        <v>1137</v>
      </c>
      <c r="B34" s="2253"/>
      <c r="C34" s="2254"/>
      <c r="D34" s="2206"/>
      <c r="E34" s="2207"/>
      <c r="F34" s="2205">
        <f>+B6-F20</f>
        <v>14580000</v>
      </c>
      <c r="G34" s="2206">
        <v>13980000</v>
      </c>
      <c r="H34" s="2207">
        <v>13260000</v>
      </c>
      <c r="I34" s="2255"/>
      <c r="J34" s="2256"/>
      <c r="K34" s="2256"/>
      <c r="L34" s="2256"/>
      <c r="M34" s="2256"/>
      <c r="N34" s="2256"/>
      <c r="O34" s="2256"/>
      <c r="P34" s="2256"/>
      <c r="Q34" s="2256"/>
      <c r="R34" s="2256"/>
      <c r="S34" s="2256"/>
      <c r="T34" s="2256"/>
      <c r="U34" s="2256"/>
      <c r="V34" s="2257"/>
      <c r="W34" s="2257"/>
      <c r="X34" s="2256"/>
      <c r="Y34" s="2258"/>
      <c r="Z34" s="2259"/>
      <c r="AA34" s="2211"/>
    </row>
    <row r="35" spans="1:27" s="2183" customFormat="1" ht="12.75" x14ac:dyDescent="0.25">
      <c r="A35" s="2252" t="s">
        <v>2220</v>
      </c>
      <c r="B35" s="2253"/>
      <c r="C35" s="2206"/>
      <c r="D35" s="2206"/>
      <c r="E35" s="2207"/>
      <c r="F35" s="2205">
        <f>+B7-F22</f>
        <v>2416660</v>
      </c>
      <c r="G35" s="2206">
        <v>2249980</v>
      </c>
      <c r="H35" s="2207">
        <v>2083300</v>
      </c>
      <c r="I35" s="2255"/>
      <c r="J35" s="2256"/>
      <c r="K35" s="2256"/>
      <c r="L35" s="2256"/>
      <c r="M35" s="2256"/>
      <c r="N35" s="2256"/>
      <c r="O35" s="2256"/>
      <c r="P35" s="2256"/>
      <c r="Q35" s="2256"/>
      <c r="R35" s="2256"/>
      <c r="S35" s="2256"/>
      <c r="T35" s="2256"/>
      <c r="U35" s="2256"/>
      <c r="V35" s="2257"/>
      <c r="W35" s="2257"/>
      <c r="X35" s="2256"/>
      <c r="Y35" s="2258"/>
      <c r="Z35" s="2259"/>
      <c r="AA35" s="2211"/>
    </row>
    <row r="36" spans="1:27" s="2183" customFormat="1" ht="12.75" x14ac:dyDescent="0.25">
      <c r="A36" s="2260" t="s">
        <v>2221</v>
      </c>
      <c r="B36" s="2179"/>
      <c r="C36" s="2256"/>
      <c r="D36" s="2256"/>
      <c r="E36" s="2261"/>
      <c r="F36" s="2255"/>
      <c r="G36" s="2256"/>
      <c r="H36" s="2262"/>
      <c r="I36" s="2255">
        <f>+H34+H35-I20-I22-I24</f>
        <v>14344462</v>
      </c>
      <c r="J36" s="2256">
        <f t="shared" ref="J36:Z36" si="8">+I36-J24</f>
        <v>13662802</v>
      </c>
      <c r="K36" s="2256">
        <f t="shared" si="8"/>
        <v>12981142</v>
      </c>
      <c r="L36" s="2256">
        <f t="shared" si="8"/>
        <v>12299482</v>
      </c>
      <c r="M36" s="2256">
        <f t="shared" si="8"/>
        <v>11617822</v>
      </c>
      <c r="N36" s="2256">
        <f t="shared" si="8"/>
        <v>10936162</v>
      </c>
      <c r="O36" s="2256">
        <f t="shared" si="8"/>
        <v>10254502</v>
      </c>
      <c r="P36" s="2256">
        <f t="shared" si="8"/>
        <v>9572842</v>
      </c>
      <c r="Q36" s="2256">
        <f t="shared" si="8"/>
        <v>8891182</v>
      </c>
      <c r="R36" s="2256">
        <f t="shared" si="8"/>
        <v>8209522</v>
      </c>
      <c r="S36" s="2256">
        <f t="shared" si="8"/>
        <v>7527862</v>
      </c>
      <c r="T36" s="2256">
        <f t="shared" si="8"/>
        <v>6846202</v>
      </c>
      <c r="U36" s="2256">
        <f t="shared" si="8"/>
        <v>6164542</v>
      </c>
      <c r="V36" s="2257">
        <f t="shared" si="8"/>
        <v>5482882</v>
      </c>
      <c r="W36" s="2257">
        <f t="shared" si="8"/>
        <v>4801222</v>
      </c>
      <c r="X36" s="2256">
        <f t="shared" si="8"/>
        <v>4119562</v>
      </c>
      <c r="Y36" s="2258">
        <f t="shared" si="8"/>
        <v>3437902</v>
      </c>
      <c r="Z36" s="2259">
        <f t="shared" si="8"/>
        <v>2756242</v>
      </c>
      <c r="AA36" s="2211"/>
    </row>
    <row r="37" spans="1:27" s="2220" customFormat="1" ht="12.75" x14ac:dyDescent="0.25">
      <c r="A37" s="2263" t="s">
        <v>2222</v>
      </c>
      <c r="B37" s="2264"/>
      <c r="C37" s="2223"/>
      <c r="D37" s="2223"/>
      <c r="E37" s="2224"/>
      <c r="F37" s="2222"/>
      <c r="G37" s="2223"/>
      <c r="H37" s="2265"/>
      <c r="I37" s="2222"/>
      <c r="J37" s="2223"/>
      <c r="K37" s="2223"/>
      <c r="L37" s="2223"/>
      <c r="M37" s="2223"/>
      <c r="N37" s="2223"/>
      <c r="O37" s="2223"/>
      <c r="P37" s="2223"/>
      <c r="Q37" s="2223"/>
      <c r="R37" s="2223"/>
      <c r="S37" s="2223"/>
      <c r="T37" s="2223"/>
      <c r="U37" s="2223"/>
      <c r="V37" s="2225"/>
      <c r="W37" s="2225"/>
      <c r="X37" s="2223"/>
      <c r="Y37" s="2266"/>
      <c r="Z37" s="2227"/>
      <c r="AA37" s="2219"/>
    </row>
    <row r="38" spans="1:27" s="2139" customFormat="1" ht="12.75" x14ac:dyDescent="0.25">
      <c r="A38" s="2267" t="s">
        <v>2858</v>
      </c>
      <c r="B38" s="2268"/>
      <c r="C38" s="2245"/>
      <c r="D38" s="2245"/>
      <c r="E38" s="2246"/>
      <c r="F38" s="2247"/>
      <c r="G38" s="2245"/>
      <c r="H38" s="2248"/>
      <c r="I38" s="2247"/>
      <c r="J38" s="2245"/>
      <c r="K38" s="2245"/>
      <c r="L38" s="2245"/>
      <c r="M38" s="2245"/>
      <c r="N38" s="2245"/>
      <c r="O38" s="2245"/>
      <c r="P38" s="2245"/>
      <c r="Q38" s="2245"/>
      <c r="R38" s="2245"/>
      <c r="S38" s="2245"/>
      <c r="T38" s="2245"/>
      <c r="U38" s="2245"/>
      <c r="V38" s="2249"/>
      <c r="W38" s="2249"/>
      <c r="X38" s="2245"/>
      <c r="Y38" s="2250"/>
      <c r="Z38" s="2251"/>
      <c r="AA38" s="2147"/>
    </row>
    <row r="39" spans="1:27" s="2234" customFormat="1" ht="13.5" thickBot="1" x14ac:dyDescent="0.3">
      <c r="A39" s="2269" t="s">
        <v>773</v>
      </c>
      <c r="B39" s="2270">
        <f>SUM(B31:B35)</f>
        <v>78720000</v>
      </c>
      <c r="C39" s="2271">
        <f t="shared" ref="C39:H39" si="9">SUM(C31:C35)</f>
        <v>113734000</v>
      </c>
      <c r="D39" s="2271">
        <f t="shared" si="9"/>
        <v>165954779</v>
      </c>
      <c r="E39" s="2272">
        <f t="shared" si="9"/>
        <v>162831403</v>
      </c>
      <c r="F39" s="2270">
        <f t="shared" si="9"/>
        <v>163276119</v>
      </c>
      <c r="G39" s="2271">
        <f t="shared" si="9"/>
        <v>145315976</v>
      </c>
      <c r="H39" s="2272">
        <f t="shared" si="9"/>
        <v>126137552</v>
      </c>
      <c r="I39" s="2270">
        <f>SUM(I31:I38)</f>
        <v>106346970</v>
      </c>
      <c r="J39" s="2270">
        <f t="shared" ref="J39:Z39" si="10">SUM(J31:J38)</f>
        <v>99910518</v>
      </c>
      <c r="K39" s="2270">
        <f t="shared" si="10"/>
        <v>93883146</v>
      </c>
      <c r="L39" s="2270">
        <f t="shared" si="10"/>
        <v>87855774</v>
      </c>
      <c r="M39" s="2270">
        <f t="shared" si="10"/>
        <v>81828402</v>
      </c>
      <c r="N39" s="2270">
        <f t="shared" si="10"/>
        <v>75801030</v>
      </c>
      <c r="O39" s="2270">
        <f t="shared" si="10"/>
        <v>69773658</v>
      </c>
      <c r="P39" s="2270">
        <f t="shared" si="10"/>
        <v>63746286</v>
      </c>
      <c r="Q39" s="2270">
        <f t="shared" si="10"/>
        <v>57946134</v>
      </c>
      <c r="R39" s="2270">
        <f t="shared" si="10"/>
        <v>52145982</v>
      </c>
      <c r="S39" s="2270">
        <f t="shared" si="10"/>
        <v>46345830</v>
      </c>
      <c r="T39" s="2270">
        <f t="shared" si="10"/>
        <v>18362658</v>
      </c>
      <c r="U39" s="2270">
        <f t="shared" si="10"/>
        <v>12562506</v>
      </c>
      <c r="V39" s="2273">
        <f t="shared" si="10"/>
        <v>6762354</v>
      </c>
      <c r="W39" s="2274">
        <f t="shared" si="10"/>
        <v>4801222</v>
      </c>
      <c r="X39" s="2271">
        <f t="shared" si="10"/>
        <v>4119562</v>
      </c>
      <c r="Y39" s="2273">
        <f t="shared" si="10"/>
        <v>3437902</v>
      </c>
      <c r="Z39" s="2275">
        <f t="shared" si="10"/>
        <v>2756242</v>
      </c>
      <c r="AA39" s="2147"/>
    </row>
    <row r="40" spans="1:27" ht="16.5" customHeight="1" thickBot="1" x14ac:dyDescent="0.3">
      <c r="A40" s="2147"/>
      <c r="B40" s="2147"/>
      <c r="C40" s="2148"/>
      <c r="D40" s="2147"/>
      <c r="E40" s="2147"/>
      <c r="F40" s="2148"/>
      <c r="G40" s="2148"/>
      <c r="H40" s="2148"/>
      <c r="I40" s="2148"/>
      <c r="J40" s="2148"/>
      <c r="K40" s="2148"/>
      <c r="L40" s="2148"/>
      <c r="M40" s="2148"/>
      <c r="N40" s="2148"/>
      <c r="O40" s="2148"/>
      <c r="P40" s="2148"/>
      <c r="Q40" s="2148"/>
      <c r="R40" s="2148"/>
      <c r="S40" s="2148"/>
      <c r="T40" s="2148"/>
      <c r="U40" s="2148"/>
      <c r="V40" s="2148"/>
      <c r="W40" s="2148"/>
      <c r="X40" s="2148"/>
      <c r="Y40" s="2148"/>
      <c r="Z40" s="2148"/>
      <c r="AA40" s="2147"/>
    </row>
    <row r="41" spans="1:27" s="2283" customFormat="1" ht="12.75" x14ac:dyDescent="0.25">
      <c r="A41" s="2276" t="s">
        <v>668</v>
      </c>
      <c r="B41" s="2277"/>
      <c r="C41" s="2278">
        <v>151878635</v>
      </c>
      <c r="D41" s="2278">
        <v>144286267</v>
      </c>
      <c r="E41" s="2279">
        <v>191642008</v>
      </c>
      <c r="F41" s="2280">
        <v>172842482</v>
      </c>
      <c r="G41" s="2278">
        <v>179926851</v>
      </c>
      <c r="H41" s="2279">
        <v>212770795.75999999</v>
      </c>
      <c r="I41" s="2280">
        <v>251112544</v>
      </c>
      <c r="J41" s="2278">
        <f>+'Souhrn příjmů a výdajů 2024'!H213</f>
        <v>271245741</v>
      </c>
      <c r="K41" s="2278">
        <f t="shared" ref="K41:Z41" si="11">+J41*1.005</f>
        <v>272601969.70499998</v>
      </c>
      <c r="L41" s="2278">
        <f t="shared" si="11"/>
        <v>273964979.55352497</v>
      </c>
      <c r="M41" s="2278">
        <f t="shared" si="11"/>
        <v>275334804.45129257</v>
      </c>
      <c r="N41" s="2278">
        <f t="shared" si="11"/>
        <v>276711478.47354901</v>
      </c>
      <c r="O41" s="2278">
        <f t="shared" si="11"/>
        <v>278095035.86591673</v>
      </c>
      <c r="P41" s="2278">
        <f t="shared" si="11"/>
        <v>279485511.0452463</v>
      </c>
      <c r="Q41" s="2278">
        <f t="shared" si="11"/>
        <v>280882938.60047251</v>
      </c>
      <c r="R41" s="2278">
        <f t="shared" si="11"/>
        <v>282287353.29347485</v>
      </c>
      <c r="S41" s="2278">
        <f t="shared" si="11"/>
        <v>283698790.05994219</v>
      </c>
      <c r="T41" s="2278">
        <f t="shared" si="11"/>
        <v>285117284.01024187</v>
      </c>
      <c r="U41" s="2278">
        <f t="shared" si="11"/>
        <v>286542870.43029302</v>
      </c>
      <c r="V41" s="2281">
        <f t="shared" si="11"/>
        <v>287975584.78244448</v>
      </c>
      <c r="W41" s="2281">
        <f t="shared" si="11"/>
        <v>289415462.70635664</v>
      </c>
      <c r="X41" s="2278">
        <f t="shared" si="11"/>
        <v>290862540.0198884</v>
      </c>
      <c r="Y41" s="2282">
        <f t="shared" si="11"/>
        <v>292316852.71998781</v>
      </c>
      <c r="Z41" s="2279">
        <f t="shared" si="11"/>
        <v>293778436.98358774</v>
      </c>
      <c r="AA41" s="2147"/>
    </row>
    <row r="42" spans="1:27" ht="13.5" thickBot="1" x14ac:dyDescent="0.3">
      <c r="A42" s="2284" t="s">
        <v>669</v>
      </c>
      <c r="B42" s="2285"/>
      <c r="C42" s="2286">
        <f>+C29/C41</f>
        <v>0.11894595112720274</v>
      </c>
      <c r="D42" s="2286">
        <f>+D29/D41</f>
        <v>0.11636700868680733</v>
      </c>
      <c r="E42" s="2287">
        <f t="shared" ref="E42:V42" si="12">+E29/E41</f>
        <v>0.19853359240422905</v>
      </c>
      <c r="F42" s="2288">
        <f t="shared" si="12"/>
        <v>0.1203628447397556</v>
      </c>
      <c r="G42" s="2286">
        <f t="shared" si="12"/>
        <v>0.1108826382450277</v>
      </c>
      <c r="H42" s="2287">
        <f>+H29/H41</f>
        <v>0.10894246158737965</v>
      </c>
      <c r="I42" s="2288">
        <f t="shared" si="12"/>
        <v>8.9120354736241289E-2</v>
      </c>
      <c r="J42" s="2286">
        <f t="shared" si="12"/>
        <v>3.4349854194024011E-2</v>
      </c>
      <c r="K42" s="2286">
        <f t="shared" si="12"/>
        <v>4.5698470030759678E-2</v>
      </c>
      <c r="L42" s="2286">
        <f t="shared" si="12"/>
        <v>3.0724884776871457E-2</v>
      </c>
      <c r="M42" s="2286">
        <f t="shared" si="12"/>
        <v>2.1891064633153771E-2</v>
      </c>
      <c r="N42" s="2286">
        <f t="shared" si="12"/>
        <v>2.17821538638346E-2</v>
      </c>
      <c r="O42" s="2286">
        <f t="shared" si="12"/>
        <v>2.1673784939138907E-2</v>
      </c>
      <c r="P42" s="2286">
        <f t="shared" si="12"/>
        <v>2.1565955163322294E-2</v>
      </c>
      <c r="Q42" s="2286">
        <f t="shared" si="12"/>
        <v>2.0649712755427013E-2</v>
      </c>
      <c r="R42" s="2286">
        <f t="shared" si="12"/>
        <v>2.0546977866096532E-2</v>
      </c>
      <c r="S42" s="2286">
        <f t="shared" si="12"/>
        <v>2.0444754095618443E-2</v>
      </c>
      <c r="T42" s="2286">
        <f t="shared" si="12"/>
        <v>2.0343038901112883E-2</v>
      </c>
      <c r="U42" s="2286">
        <f t="shared" si="12"/>
        <v>2.0241829752351129E-2</v>
      </c>
      <c r="V42" s="2289">
        <f t="shared" si="12"/>
        <v>2.0141124131692667E-2</v>
      </c>
      <c r="W42" s="2289">
        <f t="shared" ref="W42:Z42" si="13">+W29/W41</f>
        <v>2.3552991731185351E-3</v>
      </c>
      <c r="X42" s="2286">
        <f t="shared" si="13"/>
        <v>2.3435812667846122E-3</v>
      </c>
      <c r="Y42" s="2290">
        <f t="shared" si="13"/>
        <v>2.3319216584921517E-3</v>
      </c>
      <c r="Z42" s="2287">
        <f t="shared" si="13"/>
        <v>2.320320058201146E-3</v>
      </c>
      <c r="AA42" s="2147"/>
    </row>
    <row r="43" spans="1:27" ht="13.5" hidden="1" thickBot="1" x14ac:dyDescent="0.3">
      <c r="A43" s="2291" t="s">
        <v>670</v>
      </c>
      <c r="B43" s="2292"/>
      <c r="C43" s="2293">
        <f>C39/C41</f>
        <v>0.74884792057816429</v>
      </c>
      <c r="D43" s="2293">
        <f t="shared" ref="D43:V43" si="14">D39/D41</f>
        <v>1.1501772306577174</v>
      </c>
      <c r="E43" s="2294">
        <f t="shared" si="14"/>
        <v>0.84966445874434793</v>
      </c>
      <c r="F43" s="2292">
        <f t="shared" si="14"/>
        <v>0.94465270985867933</v>
      </c>
      <c r="G43" s="2293">
        <f t="shared" si="14"/>
        <v>0.80763918888348685</v>
      </c>
      <c r="H43" s="2294">
        <f t="shared" si="14"/>
        <v>0.59283301333459282</v>
      </c>
      <c r="I43" s="2292">
        <f t="shared" si="14"/>
        <v>0.4235032161515595</v>
      </c>
      <c r="J43" s="2293">
        <f t="shared" si="14"/>
        <v>0.36833949035166602</v>
      </c>
      <c r="K43" s="2293">
        <f t="shared" si="14"/>
        <v>0.3443964330176959</v>
      </c>
      <c r="L43" s="2293">
        <f t="shared" si="14"/>
        <v>0.32068249797173615</v>
      </c>
      <c r="M43" s="2293">
        <f t="shared" si="14"/>
        <v>0.29719599802529018</v>
      </c>
      <c r="N43" s="2293">
        <f t="shared" si="14"/>
        <v>0.27393525710660338</v>
      </c>
      <c r="O43" s="2293">
        <f t="shared" si="14"/>
        <v>0.25089861019180976</v>
      </c>
      <c r="P43" s="2293">
        <f t="shared" si="14"/>
        <v>0.22808440323648843</v>
      </c>
      <c r="Q43" s="2293">
        <f t="shared" si="14"/>
        <v>0.20629994220625303</v>
      </c>
      <c r="R43" s="2293">
        <f t="shared" si="14"/>
        <v>0.18472659646848363</v>
      </c>
      <c r="S43" s="2293">
        <f t="shared" si="14"/>
        <v>0.16336280457948965</v>
      </c>
      <c r="T43" s="2293">
        <f t="shared" si="14"/>
        <v>6.4403875281515324E-2</v>
      </c>
      <c r="U43" s="2293">
        <f t="shared" si="14"/>
        <v>4.3841628239206419E-2</v>
      </c>
      <c r="V43" s="2294">
        <f t="shared" si="14"/>
        <v>2.3482386554084866E-2</v>
      </c>
      <c r="W43" s="2295"/>
      <c r="X43" s="2295"/>
      <c r="Y43" s="2295"/>
      <c r="Z43" s="2295"/>
      <c r="AA43" s="2147"/>
    </row>
    <row r="44" spans="1:27" ht="13.5" thickBot="1" x14ac:dyDescent="0.3">
      <c r="A44" s="2147"/>
      <c r="B44" s="2147"/>
      <c r="C44" s="2147"/>
      <c r="D44" s="2147"/>
      <c r="E44" s="2147"/>
      <c r="F44" s="2147"/>
      <c r="G44" s="2147"/>
      <c r="H44" s="2147"/>
      <c r="I44" s="2147"/>
      <c r="J44" s="2147"/>
      <c r="K44" s="2147"/>
      <c r="L44" s="2147"/>
      <c r="M44" s="2147"/>
      <c r="N44" s="2147"/>
      <c r="O44" s="2147"/>
      <c r="P44" s="2147"/>
      <c r="Q44" s="2147"/>
      <c r="R44" s="2147"/>
      <c r="S44" s="2147"/>
      <c r="T44" s="2147"/>
      <c r="U44" s="2147"/>
      <c r="V44" s="2147"/>
      <c r="W44" s="2147"/>
      <c r="X44" s="2147"/>
      <c r="Y44" s="2147"/>
      <c r="Z44" s="2147"/>
      <c r="AA44" s="2147"/>
    </row>
    <row r="45" spans="1:27" s="2283" customFormat="1" ht="13.5" thickBot="1" x14ac:dyDescent="0.3">
      <c r="A45" s="2160" t="s">
        <v>671</v>
      </c>
      <c r="B45" s="2161"/>
      <c r="C45" s="2296"/>
      <c r="D45" s="2296"/>
      <c r="E45" s="2296"/>
      <c r="F45" s="2296"/>
      <c r="G45" s="2296"/>
      <c r="H45" s="2296"/>
      <c r="I45" s="2296"/>
      <c r="J45" s="2297"/>
      <c r="K45" s="2297"/>
      <c r="L45" s="2297"/>
      <c r="M45" s="2297"/>
      <c r="N45" s="2297"/>
      <c r="O45" s="2297"/>
      <c r="P45" s="2297"/>
      <c r="Q45" s="2297"/>
      <c r="R45" s="2297"/>
      <c r="S45" s="2297"/>
      <c r="T45" s="2297"/>
      <c r="U45" s="2297"/>
      <c r="V45" s="2297"/>
      <c r="W45" s="2297"/>
      <c r="X45" s="2297"/>
      <c r="Y45" s="2297"/>
      <c r="Z45" s="2297"/>
      <c r="AA45" s="2147"/>
    </row>
    <row r="46" spans="1:27" ht="12.75" x14ac:dyDescent="0.25">
      <c r="A46" s="2298" t="s">
        <v>2558</v>
      </c>
      <c r="B46" s="2299">
        <v>143084000</v>
      </c>
      <c r="C46" s="2237">
        <v>146553000</v>
      </c>
      <c r="D46" s="2237">
        <f>+C46*1.05</f>
        <v>153880650</v>
      </c>
      <c r="E46" s="2300">
        <v>155370596.25999999</v>
      </c>
      <c r="F46" s="2237">
        <v>173000000</v>
      </c>
      <c r="G46" s="2237">
        <v>169590252</v>
      </c>
      <c r="H46" s="2300">
        <v>174677959.56</v>
      </c>
      <c r="I46" s="2236">
        <v>182138129</v>
      </c>
      <c r="J46" s="2237">
        <f t="shared" ref="J46:V46" si="15">+I46*1.02</f>
        <v>185780891.58000001</v>
      </c>
      <c r="K46" s="2237">
        <f t="shared" si="15"/>
        <v>189496509.41160002</v>
      </c>
      <c r="L46" s="2237">
        <f t="shared" si="15"/>
        <v>193286439.59983203</v>
      </c>
      <c r="M46" s="2237">
        <f t="shared" si="15"/>
        <v>197152168.39182869</v>
      </c>
      <c r="N46" s="2237">
        <f t="shared" si="15"/>
        <v>201095211.75966525</v>
      </c>
      <c r="O46" s="2237">
        <f t="shared" si="15"/>
        <v>205117115.99485856</v>
      </c>
      <c r="P46" s="2237">
        <f t="shared" si="15"/>
        <v>209219458.31475574</v>
      </c>
      <c r="Q46" s="2237">
        <f t="shared" si="15"/>
        <v>213403847.48105085</v>
      </c>
      <c r="R46" s="2237">
        <f t="shared" si="15"/>
        <v>217671924.43067187</v>
      </c>
      <c r="S46" s="2237">
        <f t="shared" si="15"/>
        <v>222025362.9192853</v>
      </c>
      <c r="T46" s="2237">
        <f t="shared" si="15"/>
        <v>226465870.17767102</v>
      </c>
      <c r="U46" s="2237">
        <f t="shared" si="15"/>
        <v>230995187.58122444</v>
      </c>
      <c r="V46" s="2300">
        <f t="shared" si="15"/>
        <v>235615091.33284894</v>
      </c>
      <c r="W46" s="1023"/>
      <c r="X46" s="1023"/>
      <c r="Y46" s="1023"/>
      <c r="Z46" s="1023"/>
      <c r="AA46" s="2147"/>
    </row>
    <row r="47" spans="1:27" s="2307" customFormat="1" ht="13.5" thickBot="1" x14ac:dyDescent="0.3">
      <c r="A47" s="2301" t="s">
        <v>670</v>
      </c>
      <c r="B47" s="2302">
        <f>+B39/B46</f>
        <v>0.55016633585865649</v>
      </c>
      <c r="C47" s="2302">
        <f>+C39/C46</f>
        <v>0.776060537825906</v>
      </c>
      <c r="D47" s="2302">
        <f>+D39/D46</f>
        <v>1.0784642448546975</v>
      </c>
      <c r="E47" s="2303">
        <f t="shared" ref="E47:V47" si="16">+E39/E46</f>
        <v>1.048019425294056</v>
      </c>
      <c r="F47" s="2304">
        <f t="shared" si="16"/>
        <v>0.94379259537572258</v>
      </c>
      <c r="G47" s="2302">
        <f t="shared" si="16"/>
        <v>0.85686514576321282</v>
      </c>
      <c r="H47" s="2303">
        <f>+H39/H46</f>
        <v>0.72211486965917471</v>
      </c>
      <c r="I47" s="2305">
        <f t="shared" si="16"/>
        <v>0.58388087427866353</v>
      </c>
      <c r="J47" s="2302">
        <f t="shared" si="16"/>
        <v>0.53778683668862171</v>
      </c>
      <c r="K47" s="2302">
        <f t="shared" si="16"/>
        <v>0.49543469846232929</v>
      </c>
      <c r="L47" s="2302">
        <f t="shared" si="16"/>
        <v>0.45453666683441951</v>
      </c>
      <c r="M47" s="2302">
        <f t="shared" si="16"/>
        <v>0.4150520010379532</v>
      </c>
      <c r="N47" s="2302">
        <f t="shared" si="16"/>
        <v>0.37694099892637933</v>
      </c>
      <c r="O47" s="2302">
        <f t="shared" si="16"/>
        <v>0.34016497190682488</v>
      </c>
      <c r="P47" s="2302">
        <f t="shared" si="16"/>
        <v>0.30468622045707749</v>
      </c>
      <c r="Q47" s="2302">
        <f t="shared" si="16"/>
        <v>0.27153275202849991</v>
      </c>
      <c r="R47" s="2302">
        <f t="shared" si="16"/>
        <v>0.23956227766345864</v>
      </c>
      <c r="S47" s="2302">
        <f t="shared" si="16"/>
        <v>0.20874115186943071</v>
      </c>
      <c r="T47" s="2302">
        <f t="shared" si="16"/>
        <v>8.1083555705739691E-2</v>
      </c>
      <c r="U47" s="2302">
        <f t="shared" si="16"/>
        <v>5.4384275843766948E-2</v>
      </c>
      <c r="V47" s="2303">
        <f t="shared" si="16"/>
        <v>2.8700852571650226E-2</v>
      </c>
      <c r="W47" s="2306"/>
      <c r="X47" s="2306"/>
      <c r="Y47" s="2306"/>
      <c r="Z47" s="2306"/>
      <c r="AA47" s="2147"/>
    </row>
    <row r="48" spans="1:27" ht="12.75" x14ac:dyDescent="0.25">
      <c r="A48" s="2147"/>
      <c r="B48" s="2147"/>
      <c r="C48" s="2147"/>
      <c r="D48" s="2147"/>
      <c r="E48" s="2147"/>
      <c r="F48" s="2147"/>
      <c r="G48" s="2147"/>
      <c r="H48" s="2147"/>
      <c r="I48" s="2147"/>
      <c r="J48" s="2147"/>
      <c r="K48" s="2147"/>
      <c r="L48" s="2147"/>
      <c r="M48" s="2147"/>
      <c r="N48" s="2147"/>
      <c r="O48" s="2147"/>
      <c r="P48" s="2147"/>
      <c r="Q48" s="2147"/>
      <c r="R48" s="2147"/>
      <c r="S48" s="2147"/>
      <c r="T48" s="2147"/>
      <c r="U48" s="2147"/>
      <c r="V48" s="2147"/>
      <c r="W48" s="2147"/>
      <c r="X48" s="2147"/>
      <c r="Y48" s="2147"/>
      <c r="Z48" s="2147"/>
      <c r="AA48" s="2147"/>
    </row>
    <row r="49" spans="1:27" ht="13.5" hidden="1" thickBot="1" x14ac:dyDescent="0.3">
      <c r="A49" s="2147"/>
      <c r="B49" s="2148"/>
      <c r="C49" s="2148"/>
      <c r="D49" s="2148"/>
      <c r="E49" s="2147"/>
      <c r="F49" s="2147"/>
      <c r="G49" s="2147"/>
      <c r="H49" s="2147"/>
      <c r="I49" s="2147"/>
      <c r="J49" s="2147"/>
      <c r="K49" s="2147"/>
      <c r="L49" s="2147"/>
      <c r="M49" s="2147"/>
      <c r="N49" s="2147"/>
      <c r="O49" s="2147"/>
      <c r="P49" s="2147"/>
      <c r="Q49" s="2147"/>
      <c r="R49" s="2147"/>
      <c r="S49" s="2147"/>
      <c r="T49" s="2147"/>
      <c r="U49" s="2147"/>
      <c r="V49" s="2147"/>
      <c r="W49" s="2147"/>
      <c r="X49" s="2147"/>
      <c r="Y49" s="2147"/>
      <c r="Z49" s="2147"/>
      <c r="AA49" s="2147"/>
    </row>
    <row r="50" spans="1:27" s="2314" customFormat="1" ht="13.5" hidden="1" thickBot="1" x14ac:dyDescent="0.3">
      <c r="A50" s="2308" t="s">
        <v>683</v>
      </c>
      <c r="B50" s="2309">
        <v>2016</v>
      </c>
      <c r="C50" s="2310">
        <v>2017</v>
      </c>
      <c r="D50" s="2311"/>
      <c r="E50" s="2312"/>
      <c r="F50" s="2312"/>
      <c r="G50" s="2313"/>
      <c r="H50" s="2310">
        <v>2018</v>
      </c>
      <c r="I50" s="2311"/>
      <c r="J50" s="2312"/>
      <c r="K50" s="2312"/>
      <c r="L50" s="2313"/>
      <c r="M50" s="2310">
        <v>2019</v>
      </c>
      <c r="N50" s="2311"/>
      <c r="O50" s="2312"/>
      <c r="P50" s="2312"/>
      <c r="Q50" s="2313"/>
      <c r="R50" s="2310">
        <v>2020</v>
      </c>
      <c r="S50" s="2311"/>
      <c r="T50" s="2311"/>
      <c r="U50" s="2312"/>
      <c r="V50" s="2313"/>
      <c r="W50" s="2308"/>
      <c r="X50" s="2308"/>
      <c r="Y50" s="2308"/>
      <c r="Z50" s="2308"/>
      <c r="AA50" s="2308"/>
    </row>
    <row r="51" spans="1:27" ht="13.5" hidden="1" thickBot="1" x14ac:dyDescent="0.3">
      <c r="A51" s="2147"/>
      <c r="B51" s="2315"/>
      <c r="C51" s="2316"/>
      <c r="D51" s="2317" t="s">
        <v>678</v>
      </c>
      <c r="E51" s="2318" t="s">
        <v>679</v>
      </c>
      <c r="F51" s="2319" t="s">
        <v>680</v>
      </c>
      <c r="G51" s="2320" t="s">
        <v>681</v>
      </c>
      <c r="H51" s="2316"/>
      <c r="I51" s="2317" t="s">
        <v>678</v>
      </c>
      <c r="J51" s="2318" t="s">
        <v>679</v>
      </c>
      <c r="K51" s="2319" t="s">
        <v>680</v>
      </c>
      <c r="L51" s="2320" t="s">
        <v>681</v>
      </c>
      <c r="M51" s="2316"/>
      <c r="N51" s="2317" t="s">
        <v>678</v>
      </c>
      <c r="O51" s="2318" t="s">
        <v>679</v>
      </c>
      <c r="P51" s="2319" t="s">
        <v>680</v>
      </c>
      <c r="Q51" s="2320" t="s">
        <v>681</v>
      </c>
      <c r="R51" s="2316"/>
      <c r="S51" s="2321" t="s">
        <v>678</v>
      </c>
      <c r="T51" s="2317" t="s">
        <v>679</v>
      </c>
      <c r="U51" s="2319" t="s">
        <v>680</v>
      </c>
      <c r="V51" s="2320" t="s">
        <v>681</v>
      </c>
      <c r="W51" s="2322"/>
      <c r="X51" s="2322"/>
      <c r="Y51" s="2322"/>
      <c r="Z51" s="2322"/>
      <c r="AA51" s="2322"/>
    </row>
    <row r="52" spans="1:27" ht="13.5" hidden="1" thickBot="1" x14ac:dyDescent="0.3">
      <c r="A52" s="2323" t="s">
        <v>676</v>
      </c>
      <c r="B52" s="2324">
        <f>+B53/B54</f>
        <v>1.9308936727538348</v>
      </c>
      <c r="C52" s="2325" t="e">
        <f>+C53/C54</f>
        <v>#REF!</v>
      </c>
      <c r="D52" s="2324">
        <f>+D53/D54</f>
        <v>4.9398583634734905</v>
      </c>
      <c r="E52" s="2324">
        <f>+E53/E54</f>
        <v>2.4384532659623654</v>
      </c>
      <c r="F52" s="2324">
        <f>+F53/F54</f>
        <v>3.4125864367604826</v>
      </c>
      <c r="G52" s="2324" t="e">
        <f t="shared" ref="G52:V52" si="17">+G53/G54</f>
        <v>#DIV/0!</v>
      </c>
      <c r="H52" s="2324">
        <f t="shared" si="17"/>
        <v>2.2329426360337914</v>
      </c>
      <c r="I52" s="2324" t="e">
        <f t="shared" si="17"/>
        <v>#DIV/0!</v>
      </c>
      <c r="J52" s="2324" t="e">
        <f t="shared" si="17"/>
        <v>#DIV/0!</v>
      </c>
      <c r="K52" s="2324" t="e">
        <f t="shared" si="17"/>
        <v>#DIV/0!</v>
      </c>
      <c r="L52" s="2324" t="e">
        <f t="shared" si="17"/>
        <v>#DIV/0!</v>
      </c>
      <c r="M52" s="2324">
        <f t="shared" si="17"/>
        <v>0</v>
      </c>
      <c r="N52" s="2324" t="e">
        <f t="shared" si="17"/>
        <v>#DIV/0!</v>
      </c>
      <c r="O52" s="2324" t="e">
        <f t="shared" si="17"/>
        <v>#DIV/0!</v>
      </c>
      <c r="P52" s="2324" t="e">
        <f t="shared" si="17"/>
        <v>#DIV/0!</v>
      </c>
      <c r="Q52" s="2324" t="e">
        <f t="shared" si="17"/>
        <v>#DIV/0!</v>
      </c>
      <c r="R52" s="2324">
        <f t="shared" si="17"/>
        <v>0</v>
      </c>
      <c r="S52" s="2324" t="e">
        <f t="shared" si="17"/>
        <v>#DIV/0!</v>
      </c>
      <c r="T52" s="2324" t="e">
        <f t="shared" si="17"/>
        <v>#DIV/0!</v>
      </c>
      <c r="U52" s="2324" t="e">
        <f t="shared" si="17"/>
        <v>#DIV/0!</v>
      </c>
      <c r="V52" s="2324" t="e">
        <f t="shared" si="17"/>
        <v>#DIV/0!</v>
      </c>
      <c r="W52" s="2326"/>
      <c r="X52" s="2326"/>
      <c r="Y52" s="2326"/>
      <c r="Z52" s="2326"/>
      <c r="AA52" s="2326"/>
    </row>
    <row r="53" spans="1:27" ht="12.75" hidden="1" x14ac:dyDescent="0.25">
      <c r="A53" s="2327" t="s">
        <v>682</v>
      </c>
      <c r="B53" s="2328">
        <f>5400000+21033934.38</f>
        <v>26433934.379999999</v>
      </c>
      <c r="C53" s="2328" t="e">
        <f>27000000+#REF!+#REF!</f>
        <v>#REF!</v>
      </c>
      <c r="D53" s="2329">
        <v>17050672</v>
      </c>
      <c r="E53" s="2330">
        <v>23737750</v>
      </c>
      <c r="F53" s="2330">
        <v>39324288</v>
      </c>
      <c r="G53" s="2331"/>
      <c r="H53" s="2329">
        <v>37491467</v>
      </c>
      <c r="I53" s="2332"/>
      <c r="J53" s="2330"/>
      <c r="K53" s="2330"/>
      <c r="L53" s="2331"/>
      <c r="M53" s="2329"/>
      <c r="N53" s="2332"/>
      <c r="O53" s="2330"/>
      <c r="P53" s="2330"/>
      <c r="Q53" s="2331"/>
      <c r="R53" s="2329"/>
      <c r="S53" s="2333"/>
      <c r="T53" s="2332"/>
      <c r="U53" s="2330"/>
      <c r="V53" s="2331"/>
      <c r="W53" s="2148"/>
      <c r="X53" s="2148"/>
      <c r="Y53" s="2148"/>
      <c r="Z53" s="2148"/>
      <c r="AA53" s="2148"/>
    </row>
    <row r="54" spans="1:27" ht="13.5" hidden="1" thickBot="1" x14ac:dyDescent="0.3">
      <c r="A54" s="2334" t="s">
        <v>677</v>
      </c>
      <c r="B54" s="2335">
        <f>2281000+11409000</f>
        <v>13690000</v>
      </c>
      <c r="C54" s="2336">
        <f>+C10+C11+C14+C15</f>
        <v>14465348.695976267</v>
      </c>
      <c r="D54" s="2337">
        <v>3451652</v>
      </c>
      <c r="E54" s="2338">
        <v>9734757</v>
      </c>
      <c r="F54" s="2338">
        <v>11523309</v>
      </c>
      <c r="G54" s="2339"/>
      <c r="H54" s="2336">
        <f>+D29</f>
        <v>16790161.285376001</v>
      </c>
      <c r="I54" s="2337"/>
      <c r="J54" s="2338"/>
      <c r="K54" s="2338"/>
      <c r="L54" s="2339"/>
      <c r="M54" s="2336">
        <f>+E29</f>
        <v>38047376.303800002</v>
      </c>
      <c r="N54" s="2337"/>
      <c r="O54" s="2338"/>
      <c r="P54" s="2338"/>
      <c r="Q54" s="2339"/>
      <c r="R54" s="2336">
        <f>F29</f>
        <v>20803812.825400002</v>
      </c>
      <c r="S54" s="2340"/>
      <c r="T54" s="2337"/>
      <c r="U54" s="2338"/>
      <c r="V54" s="2339"/>
      <c r="W54" s="2148"/>
      <c r="X54" s="2148"/>
      <c r="Y54" s="2148"/>
      <c r="Z54" s="2148"/>
      <c r="AA54" s="2148"/>
    </row>
    <row r="55" spans="1:27" ht="12.75" hidden="1" x14ac:dyDescent="0.25">
      <c r="A55" s="2147"/>
      <c r="B55" s="2147"/>
      <c r="C55" s="2147"/>
      <c r="D55" s="2147"/>
      <c r="E55" s="2147"/>
      <c r="F55" s="2147"/>
      <c r="G55" s="2147"/>
      <c r="H55" s="2147"/>
      <c r="I55" s="2147"/>
      <c r="J55" s="2147"/>
      <c r="K55" s="2147"/>
      <c r="L55" s="2147"/>
      <c r="M55" s="2147"/>
      <c r="N55" s="2147"/>
      <c r="O55" s="2147"/>
      <c r="P55" s="2147"/>
      <c r="Q55" s="2147"/>
      <c r="R55" s="2147"/>
      <c r="S55" s="2147"/>
      <c r="T55" s="2147"/>
      <c r="U55" s="2147"/>
      <c r="V55" s="2147"/>
      <c r="W55" s="2147"/>
      <c r="X55" s="2147"/>
      <c r="Y55" s="2147"/>
      <c r="Z55" s="2147"/>
      <c r="AA55" s="2147"/>
    </row>
    <row r="56" spans="1:27" ht="12.75" x14ac:dyDescent="0.25"/>
    <row r="57" spans="1:27" ht="12.75" x14ac:dyDescent="0.25"/>
    <row r="58" spans="1:27" ht="12.75" x14ac:dyDescent="0.25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28515625" customWidth="1"/>
    <col min="3" max="3" width="38.85546875" customWidth="1"/>
    <col min="4" max="4" width="12.85546875" customWidth="1"/>
    <col min="5" max="5" width="4.28515625" customWidth="1"/>
    <col min="6" max="6" width="8" hidden="1" customWidth="1"/>
    <col min="7" max="7" width="22.28515625" hidden="1" customWidth="1"/>
    <col min="8" max="8" width="14.28515625" hidden="1" customWidth="1"/>
    <col min="9" max="9" width="3.285156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" customWidth="1"/>
    <col min="15" max="15" width="31.285156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352</v>
      </c>
      <c r="F3" s="38"/>
      <c r="G3" s="38"/>
      <c r="H3" s="39" t="s">
        <v>247</v>
      </c>
      <c r="J3" s="38"/>
      <c r="K3" s="38"/>
      <c r="L3" s="39" t="s">
        <v>247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236</v>
      </c>
      <c r="C5" s="22"/>
      <c r="D5" s="47"/>
      <c r="F5" s="48" t="s">
        <v>582</v>
      </c>
      <c r="H5" s="49"/>
      <c r="J5" s="48" t="s">
        <v>582</v>
      </c>
      <c r="L5" s="49"/>
      <c r="N5" s="46" t="s">
        <v>582</v>
      </c>
      <c r="O5" s="22"/>
      <c r="P5" s="47"/>
      <c r="R5" s="50"/>
      <c r="S5" s="49"/>
      <c r="T5" s="49"/>
    </row>
    <row r="6" spans="2:20" x14ac:dyDescent="0.2">
      <c r="B6" s="40"/>
      <c r="C6" s="35" t="s">
        <v>583</v>
      </c>
      <c r="D6" s="51">
        <v>3565331</v>
      </c>
      <c r="F6" s="40"/>
      <c r="G6" t="s">
        <v>583</v>
      </c>
      <c r="H6" s="51">
        <v>3565331</v>
      </c>
      <c r="J6" s="40"/>
      <c r="K6" t="s">
        <v>584</v>
      </c>
      <c r="L6" s="51"/>
      <c r="M6" s="9"/>
      <c r="N6" s="40"/>
      <c r="O6" t="s">
        <v>583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585</v>
      </c>
      <c r="D7" s="51">
        <v>7550000</v>
      </c>
      <c r="F7" s="40"/>
      <c r="G7" t="s">
        <v>585</v>
      </c>
      <c r="H7" s="51"/>
      <c r="J7" s="40"/>
      <c r="K7" t="s">
        <v>585</v>
      </c>
      <c r="L7" s="51"/>
      <c r="M7" s="9"/>
      <c r="N7" s="40"/>
      <c r="O7" t="s">
        <v>585</v>
      </c>
      <c r="P7" s="51">
        <f>+'Výdaje kapitol celkem'!$CZ$34+'Výdaje kapitol celkem'!$DC$34+'Výdaje kapitol celkem'!$DF$34</f>
        <v>6220000</v>
      </c>
      <c r="R7" s="52">
        <f>+'Výdaje kapitol celkem'!$CZ$34+'Výdaje kapitol celkem'!$DC$34+'Výdaje kapitol celkem'!$DF$34</f>
        <v>6220000</v>
      </c>
      <c r="S7" s="51">
        <f>+'Výdaje kapitol celkem'!$CZ$34+'Výdaje kapitol celkem'!$DC$34+'Výdaje kapitol celkem'!$DF$34</f>
        <v>6220000</v>
      </c>
      <c r="T7" s="51">
        <f>+'Výdaje kapitol celkem'!$CZ$34+'Výdaje kapitol celkem'!$DC$34+'Výdaje kapitol celkem'!$DF$34</f>
        <v>6220000</v>
      </c>
    </row>
    <row r="8" spans="2:20" x14ac:dyDescent="0.2">
      <c r="B8" s="40"/>
      <c r="C8" s="35" t="s">
        <v>151</v>
      </c>
      <c r="D8" s="51">
        <v>1997367</v>
      </c>
      <c r="F8" s="40"/>
      <c r="G8" t="s">
        <v>151</v>
      </c>
      <c r="H8" s="51"/>
      <c r="J8" s="40"/>
      <c r="K8" t="s">
        <v>151</v>
      </c>
      <c r="L8" s="51"/>
      <c r="M8" s="9"/>
      <c r="N8" s="40"/>
      <c r="O8" t="s">
        <v>151</v>
      </c>
      <c r="P8" s="51">
        <f>+'Výdaje kapitol celkem'!$CC$52</f>
        <v>2892100</v>
      </c>
      <c r="R8" s="52">
        <f>+'Výdaje kapitol celkem'!$CC$52</f>
        <v>2892100</v>
      </c>
      <c r="S8" s="51">
        <f>+'Výdaje kapitol celkem'!$CC$52</f>
        <v>2892100</v>
      </c>
      <c r="T8" s="51">
        <f>+'Výdaje kapitol celkem'!$CC$52</f>
        <v>2892100</v>
      </c>
    </row>
    <row r="9" spans="2:20" x14ac:dyDescent="0.2">
      <c r="B9" s="40"/>
      <c r="C9" s="35" t="s">
        <v>352</v>
      </c>
      <c r="D9" s="51">
        <v>6511246</v>
      </c>
      <c r="F9" s="40"/>
      <c r="G9" t="s">
        <v>352</v>
      </c>
      <c r="H9" s="51"/>
      <c r="J9" s="40"/>
      <c r="K9" t="s">
        <v>352</v>
      </c>
      <c r="L9" s="51"/>
      <c r="M9" s="9"/>
      <c r="N9" s="40"/>
      <c r="O9" t="s">
        <v>352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546</v>
      </c>
      <c r="D10" s="51">
        <v>115974</v>
      </c>
      <c r="F10" s="40"/>
      <c r="G10" t="s">
        <v>546</v>
      </c>
      <c r="H10" s="51"/>
      <c r="J10" s="40"/>
      <c r="K10" t="s">
        <v>546</v>
      </c>
      <c r="L10" s="51"/>
      <c r="M10" s="9"/>
      <c r="N10" s="40"/>
      <c r="O10" t="s">
        <v>546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586</v>
      </c>
      <c r="H11" s="51">
        <v>0</v>
      </c>
      <c r="J11" s="40"/>
      <c r="K11" t="s">
        <v>587</v>
      </c>
      <c r="L11" s="51"/>
      <c r="M11" s="9"/>
      <c r="N11" s="40"/>
      <c r="O11" t="s">
        <v>588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353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485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486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494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495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577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28629416</v>
      </c>
      <c r="R18" s="64">
        <f>SUM(R6:R11)</f>
        <v>27771600</v>
      </c>
      <c r="S18" s="64">
        <f>SUM(S6:S11)</f>
        <v>27771600</v>
      </c>
      <c r="T18" s="64">
        <f>SUM(T6:T11)</f>
        <v>26321600</v>
      </c>
    </row>
    <row r="19" spans="2:20" s="54" customFormat="1" ht="15" x14ac:dyDescent="0.25">
      <c r="B19" s="53"/>
      <c r="C19" s="12" t="s">
        <v>589</v>
      </c>
      <c r="D19" s="55">
        <v>2823671</v>
      </c>
      <c r="F19" s="53"/>
      <c r="G19" s="12" t="s">
        <v>589</v>
      </c>
      <c r="H19" s="65"/>
      <c r="J19" s="53"/>
      <c r="K19" s="12" t="s">
        <v>589</v>
      </c>
      <c r="L19" s="65"/>
      <c r="N19" s="53"/>
      <c r="O19" s="12" t="s">
        <v>589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219</v>
      </c>
      <c r="D21" s="49"/>
      <c r="F21" s="48" t="s">
        <v>219</v>
      </c>
      <c r="H21" s="49"/>
      <c r="J21" s="48" t="s">
        <v>219</v>
      </c>
      <c r="L21" s="49"/>
      <c r="N21" s="48" t="s">
        <v>219</v>
      </c>
      <c r="P21" s="49"/>
      <c r="R21" s="50"/>
      <c r="S21" s="49"/>
      <c r="T21" s="49"/>
    </row>
    <row r="22" spans="2:20" x14ac:dyDescent="0.2">
      <c r="B22" s="40"/>
      <c r="C22" t="s">
        <v>585</v>
      </c>
      <c r="D22" s="51">
        <v>3959122</v>
      </c>
      <c r="F22" s="40"/>
      <c r="G22" t="s">
        <v>590</v>
      </c>
      <c r="H22" s="67">
        <v>4381411.66</v>
      </c>
      <c r="J22" s="40"/>
      <c r="K22" t="s">
        <v>590</v>
      </c>
      <c r="L22" s="51">
        <v>5442000</v>
      </c>
      <c r="M22" s="9"/>
      <c r="N22" s="40"/>
      <c r="O22" t="s">
        <v>585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590</v>
      </c>
      <c r="D23" s="51">
        <v>5190031.75</v>
      </c>
      <c r="F23" s="40"/>
      <c r="G23" t="s">
        <v>546</v>
      </c>
      <c r="H23" s="51"/>
      <c r="J23" s="40"/>
      <c r="K23" t="s">
        <v>546</v>
      </c>
      <c r="L23" s="51">
        <v>153740</v>
      </c>
      <c r="M23" s="9"/>
      <c r="N23" s="40"/>
      <c r="O23" t="s">
        <v>590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546</v>
      </c>
      <c r="D24" s="51">
        <v>177731</v>
      </c>
      <c r="F24" s="40"/>
      <c r="G24" t="s">
        <v>585</v>
      </c>
      <c r="H24" s="51"/>
      <c r="J24" s="40"/>
      <c r="K24" t="s">
        <v>156</v>
      </c>
      <c r="L24" s="51">
        <v>2772765.1</v>
      </c>
      <c r="M24" s="9"/>
      <c r="N24" s="40"/>
      <c r="O24" t="s">
        <v>546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591</v>
      </c>
      <c r="D27" s="68">
        <f>D25-D18</f>
        <v>-10413033.25</v>
      </c>
      <c r="F27" s="48" t="s">
        <v>591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-16029416</v>
      </c>
      <c r="R27" s="70">
        <f>R25-R18</f>
        <v>-15171600</v>
      </c>
      <c r="S27" s="68">
        <f>S25-S18</f>
        <v>-15171600</v>
      </c>
      <c r="T27" s="68">
        <f>T25-T18</f>
        <v>-13721600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592</v>
      </c>
      <c r="K29" t="s">
        <v>593</v>
      </c>
      <c r="O29" s="9"/>
    </row>
    <row r="30" spans="2:20" x14ac:dyDescent="0.2">
      <c r="G30" t="s">
        <v>594</v>
      </c>
      <c r="K30" t="s">
        <v>595</v>
      </c>
      <c r="P30" s="9"/>
    </row>
    <row r="31" spans="2:20" x14ac:dyDescent="0.2">
      <c r="C31" t="s">
        <v>596</v>
      </c>
      <c r="K31" t="s">
        <v>597</v>
      </c>
      <c r="P31" s="9">
        <f>P27-D27</f>
        <v>-5616382.75</v>
      </c>
      <c r="Q31" t="s">
        <v>598</v>
      </c>
    </row>
    <row r="32" spans="2:20" x14ac:dyDescent="0.2">
      <c r="C32" t="s">
        <v>599</v>
      </c>
      <c r="P32" s="9">
        <f>P19-D19</f>
        <v>781329</v>
      </c>
      <c r="Q32" t="s">
        <v>600</v>
      </c>
    </row>
    <row r="33" spans="3:17" x14ac:dyDescent="0.2">
      <c r="P33" s="9"/>
    </row>
    <row r="34" spans="3:17" x14ac:dyDescent="0.2">
      <c r="C34" t="s">
        <v>5</v>
      </c>
      <c r="P34" s="9">
        <f>P31-P32</f>
        <v>-6397711.75</v>
      </c>
      <c r="Q34" t="s">
        <v>601</v>
      </c>
    </row>
    <row r="35" spans="3:17" x14ac:dyDescent="0.2">
      <c r="P35" s="9"/>
      <c r="Q35" t="s">
        <v>602</v>
      </c>
    </row>
    <row r="36" spans="3:17" x14ac:dyDescent="0.2">
      <c r="P36" s="9"/>
      <c r="Q36" t="s">
        <v>603</v>
      </c>
    </row>
    <row r="37" spans="3:17" x14ac:dyDescent="0.2">
      <c r="C37" t="s">
        <v>604</v>
      </c>
      <c r="P37" s="9">
        <f>SUM(P34:P36)</f>
        <v>-6397711.75</v>
      </c>
    </row>
    <row r="38" spans="3:17" x14ac:dyDescent="0.2">
      <c r="P38" s="9"/>
    </row>
    <row r="39" spans="3:17" x14ac:dyDescent="0.2">
      <c r="C39" t="s">
        <v>605</v>
      </c>
      <c r="P39" s="9"/>
      <c r="Q39" t="s">
        <v>606</v>
      </c>
    </row>
    <row r="40" spans="3:17" x14ac:dyDescent="0.2">
      <c r="P40" s="9"/>
      <c r="Q40" t="s">
        <v>607</v>
      </c>
    </row>
    <row r="41" spans="3:17" x14ac:dyDescent="0.2">
      <c r="D41" s="76"/>
      <c r="E41" s="76"/>
      <c r="P41" s="9"/>
    </row>
    <row r="42" spans="3:17" ht="15" x14ac:dyDescent="0.25">
      <c r="C42" t="s">
        <v>608</v>
      </c>
      <c r="P42" s="69">
        <f>SUM(P37:P40)</f>
        <v>-6397711.75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" defaultRowHeight="12.75" x14ac:dyDescent="0.2"/>
  <cols>
    <col min="1" max="1" width="19.28515625" style="6" bestFit="1" customWidth="1"/>
    <col min="2" max="2" width="37.7109375" style="1" bestFit="1" customWidth="1"/>
    <col min="3" max="3" width="10" style="1" bestFit="1" customWidth="1"/>
    <col min="4" max="4" width="11.71093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 x14ac:dyDescent="0.2">
      <c r="A1" s="6" t="s">
        <v>299</v>
      </c>
    </row>
    <row r="3" spans="1:8" x14ac:dyDescent="0.2">
      <c r="C3" s="3184" t="s">
        <v>297</v>
      </c>
      <c r="D3" s="3184"/>
      <c r="E3" s="3184"/>
      <c r="F3" s="3184" t="s">
        <v>298</v>
      </c>
      <c r="G3" s="3184"/>
      <c r="H3" s="3184"/>
    </row>
    <row r="4" spans="1:8" x14ac:dyDescent="0.2">
      <c r="C4" s="5" t="s">
        <v>122</v>
      </c>
      <c r="D4" s="5" t="s">
        <v>318</v>
      </c>
      <c r="E4" s="5" t="s">
        <v>319</v>
      </c>
      <c r="F4" s="5" t="s">
        <v>122</v>
      </c>
      <c r="G4" s="5" t="s">
        <v>318</v>
      </c>
      <c r="H4" s="5" t="s">
        <v>319</v>
      </c>
    </row>
    <row r="5" spans="1:8" s="6" customFormat="1" x14ac:dyDescent="0.2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300</v>
      </c>
      <c r="C6" s="3"/>
      <c r="D6" s="3"/>
      <c r="E6" s="3"/>
      <c r="F6" s="3"/>
      <c r="G6" s="3"/>
      <c r="H6" s="3"/>
    </row>
    <row r="7" spans="1:8" x14ac:dyDescent="0.2">
      <c r="B7" s="1" t="s">
        <v>301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302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303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304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305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306</v>
      </c>
      <c r="C14" s="3"/>
      <c r="D14" s="3"/>
      <c r="E14" s="3"/>
      <c r="F14" s="3"/>
      <c r="G14" s="3"/>
      <c r="H14" s="3"/>
    </row>
    <row r="15" spans="1:8" x14ac:dyDescent="0.2">
      <c r="B15" s="1" t="s">
        <v>307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308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309</v>
      </c>
      <c r="C17" s="3"/>
      <c r="D17" s="3"/>
      <c r="E17" s="3"/>
      <c r="F17" s="3"/>
      <c r="G17" s="3"/>
      <c r="H17" s="3"/>
    </row>
    <row r="18" spans="1:8" x14ac:dyDescent="0.2">
      <c r="B18" s="1" t="s">
        <v>310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311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312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313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325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314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315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316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317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320</v>
      </c>
    </row>
    <row r="29" spans="1:8" s="7" customFormat="1" x14ac:dyDescent="0.2">
      <c r="A29" s="26"/>
      <c r="B29" s="7" t="s">
        <v>321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322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323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324</v>
      </c>
      <c r="F34" s="7">
        <v>9670</v>
      </c>
      <c r="G34" s="7">
        <v>10500</v>
      </c>
    </row>
    <row r="36" spans="1:7" s="6" customFormat="1" x14ac:dyDescent="0.2">
      <c r="B36" s="6" t="s">
        <v>326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334</v>
      </c>
      <c r="C40" s="3">
        <f>C39*200000</f>
        <v>15691999.999999998</v>
      </c>
    </row>
    <row r="41" spans="1:7" x14ac:dyDescent="0.2">
      <c r="B41" s="1" t="s">
        <v>335</v>
      </c>
      <c r="C41" s="3">
        <f>'Příjmy kapitol celkem'!N41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332</v>
      </c>
    </row>
    <row r="44" spans="1:7" x14ac:dyDescent="0.2">
      <c r="C44" s="1">
        <v>1800000</v>
      </c>
      <c r="D44" s="1" t="s">
        <v>333</v>
      </c>
    </row>
    <row r="45" spans="1:7" x14ac:dyDescent="0.2">
      <c r="C45" s="1">
        <v>2636000</v>
      </c>
      <c r="D45" s="1" t="s">
        <v>271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" bestFit="1" customWidth="1"/>
    <col min="2" max="2" width="35.7109375" style="9" bestFit="1" customWidth="1"/>
    <col min="3" max="3" width="31.2851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.75" x14ac:dyDescent="0.3">
      <c r="A1" s="10" t="s">
        <v>278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264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285</v>
      </c>
      <c r="C4" s="15"/>
      <c r="D4" s="16">
        <f>'Výdaje kapitol celkem'!U44</f>
        <v>26209403</v>
      </c>
      <c r="E4" s="16">
        <v>9659037</v>
      </c>
      <c r="F4" s="16">
        <v>9659037</v>
      </c>
    </row>
    <row r="5" spans="1:9" ht="15" x14ac:dyDescent="0.25">
      <c r="B5" s="3185" t="s">
        <v>286</v>
      </c>
      <c r="C5" s="15" t="s">
        <v>284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3186"/>
      <c r="C6" s="12" t="s">
        <v>268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265</v>
      </c>
      <c r="D7" s="9">
        <v>2900000</v>
      </c>
      <c r="E7" s="9"/>
      <c r="F7" s="9"/>
    </row>
    <row r="8" spans="1:9" x14ac:dyDescent="0.2">
      <c r="B8"/>
      <c r="C8" t="s">
        <v>266</v>
      </c>
      <c r="D8" s="9">
        <v>500000</v>
      </c>
      <c r="E8" s="9"/>
      <c r="F8" s="9"/>
    </row>
    <row r="9" spans="1:9" x14ac:dyDescent="0.2">
      <c r="B9"/>
      <c r="C9" t="s">
        <v>267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268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269</v>
      </c>
      <c r="D11" s="9">
        <f>2750000+440000</f>
        <v>3190000</v>
      </c>
      <c r="E11" s="9">
        <f>10500000-2750000</f>
        <v>7750000</v>
      </c>
      <c r="F11" s="9"/>
      <c r="G11" t="s">
        <v>336</v>
      </c>
    </row>
    <row r="12" spans="1:9" ht="15" x14ac:dyDescent="0.25">
      <c r="B12"/>
      <c r="C12" s="12" t="s">
        <v>268</v>
      </c>
      <c r="D12" s="13">
        <v>0</v>
      </c>
      <c r="E12" s="13">
        <v>6200000</v>
      </c>
      <c r="F12" s="9"/>
    </row>
    <row r="13" spans="1:9" x14ac:dyDescent="0.2">
      <c r="B13"/>
      <c r="C13" t="s">
        <v>270</v>
      </c>
      <c r="D13" s="9">
        <v>5200000</v>
      </c>
      <c r="E13" s="9"/>
      <c r="F13" s="9"/>
    </row>
    <row r="14" spans="1:9" ht="15" x14ac:dyDescent="0.25">
      <c r="B14"/>
      <c r="C14" s="12" t="s">
        <v>268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263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287</v>
      </c>
      <c r="D17" s="9"/>
      <c r="E17" s="9"/>
      <c r="F17" s="9"/>
    </row>
    <row r="18" spans="1:6" x14ac:dyDescent="0.2">
      <c r="B18" t="s">
        <v>288</v>
      </c>
      <c r="D18" s="9"/>
      <c r="E18" s="9"/>
      <c r="F18" s="9"/>
    </row>
    <row r="19" spans="1:6" x14ac:dyDescent="0.2">
      <c r="B19" t="s">
        <v>289</v>
      </c>
      <c r="D19" s="9"/>
      <c r="E19" s="9"/>
      <c r="F19" s="9"/>
    </row>
    <row r="20" spans="1:6" x14ac:dyDescent="0.2">
      <c r="B20" t="s">
        <v>290</v>
      </c>
      <c r="D20" s="9"/>
      <c r="E20" s="9"/>
      <c r="F20" s="9"/>
    </row>
    <row r="21" spans="1:6" x14ac:dyDescent="0.2">
      <c r="B21" t="s">
        <v>291</v>
      </c>
      <c r="D21" s="9"/>
      <c r="E21" s="9"/>
      <c r="F21" s="9"/>
    </row>
    <row r="22" spans="1:6" x14ac:dyDescent="0.2">
      <c r="B22" t="s">
        <v>292</v>
      </c>
      <c r="D22" s="9"/>
      <c r="E22" s="9"/>
      <c r="F22" s="9"/>
    </row>
    <row r="23" spans="1:6" x14ac:dyDescent="0.2">
      <c r="B23" t="s">
        <v>327</v>
      </c>
      <c r="D23" s="9"/>
      <c r="E23" s="9"/>
      <c r="F23" s="9"/>
    </row>
    <row r="24" spans="1:6" x14ac:dyDescent="0.2">
      <c r="B24" t="s">
        <v>328</v>
      </c>
      <c r="D24" s="9"/>
      <c r="E24" s="9"/>
      <c r="F24" s="9"/>
    </row>
    <row r="25" spans="1:6" x14ac:dyDescent="0.2">
      <c r="B25" t="s">
        <v>329</v>
      </c>
      <c r="D25" s="9"/>
      <c r="E25" s="9"/>
      <c r="F25" s="9"/>
    </row>
    <row r="26" spans="1:6" x14ac:dyDescent="0.2">
      <c r="B26" t="s">
        <v>330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272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279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273</v>
      </c>
      <c r="D31" s="9"/>
      <c r="E31" s="9"/>
      <c r="F31" s="9"/>
    </row>
    <row r="32" spans="1:6" x14ac:dyDescent="0.2">
      <c r="B32"/>
      <c r="C32" t="s">
        <v>274</v>
      </c>
      <c r="D32" s="9"/>
      <c r="E32" s="9"/>
      <c r="F32" s="9"/>
    </row>
    <row r="33" spans="1:6" x14ac:dyDescent="0.2">
      <c r="B33"/>
      <c r="C33" t="s">
        <v>275</v>
      </c>
      <c r="D33" s="9"/>
      <c r="E33" s="9"/>
      <c r="F33" s="9"/>
    </row>
    <row r="34" spans="1:6" x14ac:dyDescent="0.2">
      <c r="B34"/>
      <c r="C34" t="s">
        <v>276</v>
      </c>
      <c r="D34" s="9"/>
      <c r="E34" s="9"/>
      <c r="F34" s="9"/>
    </row>
    <row r="35" spans="1:6" x14ac:dyDescent="0.2">
      <c r="B35"/>
      <c r="C35" t="s">
        <v>277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280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331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281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282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283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" defaultRowHeight="12.75" x14ac:dyDescent="0.2"/>
  <cols>
    <col min="1" max="1" width="56.285156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" style="106" bestFit="1" customWidth="1"/>
    <col min="17" max="16384" width="9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221</v>
      </c>
      <c r="B3" s="89"/>
      <c r="C3" s="101" t="s">
        <v>2</v>
      </c>
      <c r="D3" s="97" t="s">
        <v>609</v>
      </c>
      <c r="E3" s="95" t="s">
        <v>610</v>
      </c>
      <c r="F3" s="95" t="s">
        <v>611</v>
      </c>
      <c r="G3" s="95" t="s">
        <v>612</v>
      </c>
      <c r="H3" s="95" t="s">
        <v>613</v>
      </c>
      <c r="I3" s="95" t="s">
        <v>188</v>
      </c>
      <c r="J3" s="95" t="s">
        <v>189</v>
      </c>
      <c r="K3" s="95" t="s">
        <v>614</v>
      </c>
      <c r="L3" s="95" t="s">
        <v>615</v>
      </c>
      <c r="M3" s="95" t="s">
        <v>616</v>
      </c>
      <c r="N3" s="95" t="s">
        <v>617</v>
      </c>
      <c r="O3" s="96" t="s">
        <v>618</v>
      </c>
      <c r="P3" s="82" t="s">
        <v>235</v>
      </c>
    </row>
    <row r="4" spans="1:16" ht="15.75" x14ac:dyDescent="0.25">
      <c r="A4" s="90" t="s">
        <v>13</v>
      </c>
      <c r="B4" s="91">
        <v>1111</v>
      </c>
      <c r="C4" s="102">
        <f>'Souhrn příjmů a výdajů 2024'!H7</f>
        <v>27863123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-27863123</v>
      </c>
    </row>
    <row r="5" spans="1:16" ht="15.75" x14ac:dyDescent="0.25">
      <c r="A5" s="77" t="s">
        <v>14</v>
      </c>
      <c r="B5" s="88">
        <v>1112</v>
      </c>
      <c r="C5" s="103">
        <f>'Souhrn příjmů a výdajů 2024'!H8</f>
        <v>1951224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-1951224</v>
      </c>
    </row>
    <row r="6" spans="1:16" ht="15.75" x14ac:dyDescent="0.25">
      <c r="A6" s="77" t="s">
        <v>15</v>
      </c>
      <c r="B6" s="88">
        <v>1121</v>
      </c>
      <c r="C6" s="103">
        <f>'Souhrn příjmů a výdajů 2024'!H9</f>
        <v>4995791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-4995791</v>
      </c>
    </row>
    <row r="7" spans="1:16" ht="15.75" x14ac:dyDescent="0.25">
      <c r="A7" s="77" t="s">
        <v>480</v>
      </c>
      <c r="B7" s="88">
        <v>1113</v>
      </c>
      <c r="C7" s="103">
        <f>'Souhrn příjmů a výdajů 2024'!H12</f>
        <v>39502801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-39502801</v>
      </c>
    </row>
    <row r="8" spans="1:16" ht="15.75" x14ac:dyDescent="0.25">
      <c r="A8" s="77" t="s">
        <v>16</v>
      </c>
      <c r="B8" s="88">
        <v>1211</v>
      </c>
      <c r="C8" s="103">
        <f>'Souhrn příjmů a výdajů 2024'!H13</f>
        <v>77563518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-77563518</v>
      </c>
    </row>
    <row r="9" spans="1:16" ht="15.75" x14ac:dyDescent="0.25">
      <c r="A9" s="77" t="s">
        <v>18</v>
      </c>
      <c r="B9" s="88" t="s">
        <v>17</v>
      </c>
      <c r="C9" s="103">
        <f>'Souhrn příjmů a výdajů 2024'!H14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2024'!H15</f>
        <v>7818624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-7818624</v>
      </c>
    </row>
    <row r="12" spans="1:16" ht="15.75" x14ac:dyDescent="0.25">
      <c r="A12" s="77" t="s">
        <v>21</v>
      </c>
      <c r="B12" s="88">
        <v>1341</v>
      </c>
      <c r="C12" s="103">
        <f>'Souhrn příjmů a výdajů 2024'!H16</f>
        <v>385000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-385000</v>
      </c>
    </row>
    <row r="13" spans="1:16" ht="15.75" x14ac:dyDescent="0.25">
      <c r="A13" s="77" t="s">
        <v>22</v>
      </c>
      <c r="B13" s="88">
        <v>1343</v>
      </c>
      <c r="C13" s="103">
        <f>'Souhrn příjmů a výdajů 2024'!H17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2024'!H18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2024'!H19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2024'!H20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2024'!H23</f>
        <v>3161200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-3161200</v>
      </c>
    </row>
    <row r="18" spans="1:16" ht="15.75" x14ac:dyDescent="0.25">
      <c r="A18" s="77" t="s">
        <v>479</v>
      </c>
      <c r="B18" s="88" t="s">
        <v>26</v>
      </c>
      <c r="C18" s="103">
        <f>'Souhrn příjmů a výdajů 2024'!H24</f>
        <v>22448000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-22448000</v>
      </c>
    </row>
    <row r="19" spans="1:16" ht="15.75" x14ac:dyDescent="0.25">
      <c r="A19" s="77" t="s">
        <v>481</v>
      </c>
      <c r="B19" s="88">
        <v>1381</v>
      </c>
      <c r="C19" s="103" t="e">
        <f>'Souhrn příjmů a výdajů 2024'!#REF!</f>
        <v>#REF!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 t="e">
        <f t="shared" si="0"/>
        <v>#REF!</v>
      </c>
    </row>
    <row r="20" spans="1:16" ht="15.75" x14ac:dyDescent="0.25">
      <c r="A20" s="77" t="s">
        <v>28</v>
      </c>
      <c r="B20" s="88">
        <v>1381</v>
      </c>
      <c r="C20" s="103">
        <f>'Souhrn příjmů a výdajů 2024'!H27</f>
        <v>311000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-311000</v>
      </c>
    </row>
    <row r="21" spans="1:16" ht="15.75" x14ac:dyDescent="0.25">
      <c r="A21" s="77" t="s">
        <v>30</v>
      </c>
      <c r="B21" s="88" t="s">
        <v>29</v>
      </c>
      <c r="C21" s="103">
        <f>'Souhrn příjmů a výdajů 2024'!H25</f>
        <v>900000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-900000</v>
      </c>
    </row>
    <row r="22" spans="1:16" ht="16.5" thickBot="1" x14ac:dyDescent="0.3">
      <c r="A22" s="78" t="s">
        <v>31</v>
      </c>
      <c r="B22" s="89">
        <v>1511</v>
      </c>
      <c r="C22" s="104">
        <f>'Souhrn příjmů a výdajů 2024'!H28</f>
        <v>11335200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-11335200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" bestFit="1" customWidth="1"/>
    <col min="2" max="2" width="20.5703125" customWidth="1"/>
    <col min="3" max="3" width="17.28515625" customWidth="1"/>
    <col min="4" max="4" width="16.28515625" customWidth="1"/>
    <col min="5" max="5" width="40" bestFit="1" customWidth="1"/>
    <col min="6" max="6" width="12.28515625" style="31" bestFit="1" customWidth="1"/>
  </cols>
  <sheetData>
    <row r="2" spans="1:4" ht="18.75" x14ac:dyDescent="0.3">
      <c r="B2" s="10" t="s">
        <v>798</v>
      </c>
      <c r="C2" s="10"/>
    </row>
    <row r="4" spans="1:4" ht="15" x14ac:dyDescent="0.25">
      <c r="A4" s="1176" t="s">
        <v>799</v>
      </c>
      <c r="B4" s="1176" t="s">
        <v>800</v>
      </c>
      <c r="C4" s="1177" t="s">
        <v>492</v>
      </c>
      <c r="D4" s="1176" t="s">
        <v>801</v>
      </c>
    </row>
    <row r="5" spans="1:4" x14ac:dyDescent="0.2">
      <c r="C5" s="1178"/>
    </row>
    <row r="6" spans="1:4" x14ac:dyDescent="0.2">
      <c r="B6" t="s">
        <v>802</v>
      </c>
      <c r="C6" s="1185" t="s">
        <v>803</v>
      </c>
      <c r="D6" s="1179" t="s">
        <v>804</v>
      </c>
    </row>
    <row r="7" spans="1:4" x14ac:dyDescent="0.2">
      <c r="B7" t="s">
        <v>1479</v>
      </c>
      <c r="C7" s="1185" t="s">
        <v>805</v>
      </c>
      <c r="D7" s="1179" t="s">
        <v>806</v>
      </c>
    </row>
    <row r="8" spans="1:4" x14ac:dyDescent="0.2">
      <c r="B8" t="s">
        <v>807</v>
      </c>
      <c r="C8" s="1185" t="s">
        <v>808</v>
      </c>
      <c r="D8" s="1179" t="s">
        <v>809</v>
      </c>
    </row>
    <row r="9" spans="1:4" ht="15" x14ac:dyDescent="0.25">
      <c r="A9" s="1186">
        <v>43374</v>
      </c>
      <c r="B9" s="1187" t="s">
        <v>810</v>
      </c>
      <c r="C9" s="1188" t="s">
        <v>811</v>
      </c>
      <c r="D9" s="1189" t="s">
        <v>812</v>
      </c>
    </row>
    <row r="10" spans="1:4" x14ac:dyDescent="0.2">
      <c r="B10" t="s">
        <v>802</v>
      </c>
      <c r="C10" s="1185" t="s">
        <v>813</v>
      </c>
      <c r="D10" s="1179" t="s">
        <v>814</v>
      </c>
    </row>
    <row r="11" spans="1:4" x14ac:dyDescent="0.2">
      <c r="B11" t="s">
        <v>1479</v>
      </c>
      <c r="C11" s="1185" t="s">
        <v>805</v>
      </c>
      <c r="D11" s="1179" t="s">
        <v>815</v>
      </c>
    </row>
    <row r="12" spans="1:4" x14ac:dyDescent="0.2">
      <c r="B12" t="s">
        <v>816</v>
      </c>
      <c r="C12" s="1185" t="s">
        <v>808</v>
      </c>
      <c r="D12" s="1179" t="s">
        <v>809</v>
      </c>
    </row>
    <row r="13" spans="1:4" ht="15" x14ac:dyDescent="0.25">
      <c r="A13" s="1186">
        <v>43405</v>
      </c>
      <c r="B13" s="1187" t="s">
        <v>810</v>
      </c>
      <c r="C13" s="1190" t="s">
        <v>817</v>
      </c>
      <c r="D13" s="1191" t="s">
        <v>818</v>
      </c>
    </row>
    <row r="14" spans="1:4" x14ac:dyDescent="0.2">
      <c r="B14" t="s">
        <v>802</v>
      </c>
      <c r="C14" s="1185" t="s">
        <v>819</v>
      </c>
      <c r="D14" s="1179" t="s">
        <v>820</v>
      </c>
    </row>
    <row r="15" spans="1:4" x14ac:dyDescent="0.2">
      <c r="B15" t="s">
        <v>1479</v>
      </c>
      <c r="C15" s="1185" t="s">
        <v>821</v>
      </c>
      <c r="D15" s="1179" t="s">
        <v>822</v>
      </c>
    </row>
    <row r="16" spans="1:4" x14ac:dyDescent="0.2">
      <c r="B16" t="s">
        <v>816</v>
      </c>
      <c r="C16" s="1185" t="s">
        <v>823</v>
      </c>
      <c r="D16" s="1179" t="s">
        <v>809</v>
      </c>
    </row>
    <row r="17" spans="1:4" ht="15" x14ac:dyDescent="0.25">
      <c r="A17" s="1192">
        <v>43465</v>
      </c>
      <c r="B17" s="1193" t="s">
        <v>810</v>
      </c>
      <c r="C17" s="1194" t="s">
        <v>824</v>
      </c>
      <c r="D17" s="1195" t="s">
        <v>825</v>
      </c>
    </row>
    <row r="18" spans="1:4" x14ac:dyDescent="0.2">
      <c r="B18" t="s">
        <v>802</v>
      </c>
      <c r="C18" s="1185" t="s">
        <v>826</v>
      </c>
      <c r="D18" s="1179" t="s">
        <v>827</v>
      </c>
    </row>
    <row r="19" spans="1:4" x14ac:dyDescent="0.2">
      <c r="B19" t="s">
        <v>1479</v>
      </c>
      <c r="C19" s="1185" t="s">
        <v>828</v>
      </c>
      <c r="D19" s="1179" t="s">
        <v>829</v>
      </c>
    </row>
    <row r="20" spans="1:4" x14ac:dyDescent="0.2">
      <c r="B20" t="s">
        <v>816</v>
      </c>
      <c r="C20" s="1185" t="s">
        <v>823</v>
      </c>
      <c r="D20" s="1179" t="s">
        <v>809</v>
      </c>
    </row>
    <row r="21" spans="1:4" ht="15" x14ac:dyDescent="0.25">
      <c r="A21" s="1186">
        <v>43496</v>
      </c>
      <c r="B21" s="1187" t="s">
        <v>810</v>
      </c>
      <c r="C21" s="1188" t="s">
        <v>830</v>
      </c>
      <c r="D21" s="1189" t="s">
        <v>831</v>
      </c>
    </row>
    <row r="22" spans="1:4" x14ac:dyDescent="0.2">
      <c r="B22" t="s">
        <v>802</v>
      </c>
      <c r="C22" s="1185" t="s">
        <v>832</v>
      </c>
      <c r="D22" s="1179" t="s">
        <v>833</v>
      </c>
    </row>
    <row r="23" spans="1:4" x14ac:dyDescent="0.2">
      <c r="B23" t="s">
        <v>1479</v>
      </c>
      <c r="C23" s="1185" t="s">
        <v>828</v>
      </c>
      <c r="D23" s="1179" t="s">
        <v>834</v>
      </c>
    </row>
    <row r="24" spans="1:4" x14ac:dyDescent="0.2">
      <c r="B24" t="s">
        <v>816</v>
      </c>
      <c r="C24" s="1185" t="s">
        <v>823</v>
      </c>
      <c r="D24" s="1179" t="s">
        <v>809</v>
      </c>
    </row>
    <row r="25" spans="1:4" ht="15" x14ac:dyDescent="0.25">
      <c r="A25" s="1186">
        <v>43524</v>
      </c>
      <c r="B25" s="1187" t="s">
        <v>810</v>
      </c>
      <c r="C25" s="1188" t="s">
        <v>835</v>
      </c>
      <c r="D25" s="1189" t="s">
        <v>836</v>
      </c>
    </row>
    <row r="26" spans="1:4" x14ac:dyDescent="0.2">
      <c r="B26" t="s">
        <v>802</v>
      </c>
      <c r="C26" s="1185" t="s">
        <v>837</v>
      </c>
      <c r="D26" s="1179" t="s">
        <v>838</v>
      </c>
    </row>
    <row r="27" spans="1:4" x14ac:dyDescent="0.2">
      <c r="B27" t="s">
        <v>1479</v>
      </c>
      <c r="C27" s="1185" t="s">
        <v>828</v>
      </c>
      <c r="D27" s="1179" t="s">
        <v>839</v>
      </c>
    </row>
    <row r="28" spans="1:4" x14ac:dyDescent="0.2">
      <c r="B28" t="s">
        <v>816</v>
      </c>
      <c r="C28" s="1185" t="s">
        <v>840</v>
      </c>
      <c r="D28" s="1179" t="s">
        <v>809</v>
      </c>
    </row>
    <row r="29" spans="1:4" ht="15" x14ac:dyDescent="0.25">
      <c r="A29" s="1186">
        <v>43555</v>
      </c>
      <c r="B29" s="1187" t="s">
        <v>810</v>
      </c>
      <c r="C29" s="1190" t="s">
        <v>841</v>
      </c>
      <c r="D29" s="1191" t="s">
        <v>842</v>
      </c>
    </row>
    <row r="30" spans="1:4" x14ac:dyDescent="0.2">
      <c r="B30" t="s">
        <v>802</v>
      </c>
      <c r="C30" s="1185" t="s">
        <v>843</v>
      </c>
      <c r="D30" s="1179" t="s">
        <v>844</v>
      </c>
    </row>
    <row r="31" spans="1:4" x14ac:dyDescent="0.2">
      <c r="B31" t="s">
        <v>1479</v>
      </c>
      <c r="C31" s="1185" t="s">
        <v>845</v>
      </c>
      <c r="D31" s="1179" t="s">
        <v>846</v>
      </c>
    </row>
    <row r="32" spans="1:4" x14ac:dyDescent="0.2">
      <c r="B32" t="s">
        <v>816</v>
      </c>
      <c r="C32" s="1179" t="s">
        <v>840</v>
      </c>
      <c r="D32" s="1179" t="s">
        <v>809</v>
      </c>
    </row>
    <row r="33" spans="1:5" ht="15" x14ac:dyDescent="0.25">
      <c r="A33" s="1186">
        <v>43585</v>
      </c>
      <c r="B33" s="1187" t="s">
        <v>810</v>
      </c>
      <c r="C33" s="1190" t="s">
        <v>847</v>
      </c>
      <c r="D33" s="1191" t="s">
        <v>848</v>
      </c>
    </row>
    <row r="34" spans="1:5" x14ac:dyDescent="0.2">
      <c r="B34" t="s">
        <v>802</v>
      </c>
      <c r="C34" s="1179" t="s">
        <v>849</v>
      </c>
      <c r="D34" s="1179" t="s">
        <v>850</v>
      </c>
    </row>
    <row r="35" spans="1:5" x14ac:dyDescent="0.2">
      <c r="B35" t="s">
        <v>1479</v>
      </c>
      <c r="C35" s="1179" t="s">
        <v>851</v>
      </c>
      <c r="D35" s="1179" t="s">
        <v>852</v>
      </c>
    </row>
    <row r="36" spans="1:5" x14ac:dyDescent="0.2">
      <c r="B36" t="s">
        <v>1462</v>
      </c>
      <c r="C36" s="1179" t="s">
        <v>853</v>
      </c>
      <c r="D36" s="1179" t="s">
        <v>809</v>
      </c>
      <c r="E36" t="s">
        <v>1254</v>
      </c>
    </row>
    <row r="37" spans="1:5" ht="15" x14ac:dyDescent="0.25">
      <c r="A37" s="1196"/>
      <c r="B37" s="1197" t="s">
        <v>816</v>
      </c>
      <c r="C37" s="1198" t="s">
        <v>840</v>
      </c>
      <c r="D37" s="1198" t="s">
        <v>809</v>
      </c>
    </row>
    <row r="38" spans="1:5" x14ac:dyDescent="0.2">
      <c r="A38" s="1199">
        <v>43616</v>
      </c>
      <c r="B38" s="1180" t="s">
        <v>810</v>
      </c>
      <c r="C38" s="1181" t="s">
        <v>854</v>
      </c>
      <c r="D38" s="1200" t="s">
        <v>855</v>
      </c>
    </row>
    <row r="39" spans="1:5" x14ac:dyDescent="0.2">
      <c r="B39" t="s">
        <v>802</v>
      </c>
      <c r="C39" s="1179" t="s">
        <v>975</v>
      </c>
      <c r="D39" s="1179" t="s">
        <v>976</v>
      </c>
    </row>
    <row r="40" spans="1:5" x14ac:dyDescent="0.2">
      <c r="B40" t="s">
        <v>1461</v>
      </c>
      <c r="C40" s="1179" t="s">
        <v>977</v>
      </c>
      <c r="D40" s="1179" t="s">
        <v>978</v>
      </c>
    </row>
    <row r="41" spans="1:5" ht="15" x14ac:dyDescent="0.25">
      <c r="A41" s="1196"/>
      <c r="B41" s="1197" t="s">
        <v>1462</v>
      </c>
      <c r="C41" s="1198" t="s">
        <v>979</v>
      </c>
      <c r="D41" s="1198" t="s">
        <v>809</v>
      </c>
    </row>
    <row r="42" spans="1:5" x14ac:dyDescent="0.2">
      <c r="B42" t="s">
        <v>816</v>
      </c>
      <c r="C42" s="1179" t="s">
        <v>980</v>
      </c>
      <c r="D42" s="1179" t="s">
        <v>809</v>
      </c>
    </row>
    <row r="43" spans="1:5" x14ac:dyDescent="0.2">
      <c r="A43" s="1201" t="s">
        <v>856</v>
      </c>
      <c r="B43" s="1180"/>
      <c r="C43" s="1181" t="s">
        <v>981</v>
      </c>
      <c r="D43" s="1200" t="s">
        <v>982</v>
      </c>
    </row>
    <row r="44" spans="1:5" x14ac:dyDescent="0.2">
      <c r="B44" t="s">
        <v>802</v>
      </c>
      <c r="C44" s="1179" t="s">
        <v>983</v>
      </c>
      <c r="D44" s="1179" t="s">
        <v>984</v>
      </c>
    </row>
    <row r="45" spans="1:5" x14ac:dyDescent="0.2">
      <c r="B45" t="s">
        <v>1480</v>
      </c>
      <c r="C45" s="1179" t="s">
        <v>977</v>
      </c>
      <c r="D45" s="1179" t="s">
        <v>985</v>
      </c>
    </row>
    <row r="46" spans="1:5" x14ac:dyDescent="0.2">
      <c r="B46" t="s">
        <v>1462</v>
      </c>
      <c r="C46" s="1179" t="s">
        <v>986</v>
      </c>
      <c r="D46" s="1179" t="s">
        <v>809</v>
      </c>
    </row>
    <row r="47" spans="1:5" x14ac:dyDescent="0.2">
      <c r="B47" t="s">
        <v>816</v>
      </c>
      <c r="C47" s="1179" t="s">
        <v>980</v>
      </c>
      <c r="D47" s="1179" t="s">
        <v>809</v>
      </c>
    </row>
    <row r="48" spans="1:5" x14ac:dyDescent="0.2">
      <c r="A48" s="1199">
        <v>43677</v>
      </c>
      <c r="B48" s="1180" t="s">
        <v>810</v>
      </c>
      <c r="C48" s="1181" t="s">
        <v>987</v>
      </c>
      <c r="D48" s="1200" t="s">
        <v>988</v>
      </c>
    </row>
    <row r="49" spans="1:4" x14ac:dyDescent="0.2">
      <c r="B49" t="s">
        <v>802</v>
      </c>
      <c r="C49" s="1179" t="s">
        <v>989</v>
      </c>
      <c r="D49" s="1179" t="s">
        <v>990</v>
      </c>
    </row>
    <row r="50" spans="1:4" x14ac:dyDescent="0.2">
      <c r="B50" t="s">
        <v>1481</v>
      </c>
      <c r="C50" s="1179" t="s">
        <v>991</v>
      </c>
      <c r="D50" s="1179" t="s">
        <v>992</v>
      </c>
    </row>
    <row r="51" spans="1:4" x14ac:dyDescent="0.2">
      <c r="B51" t="s">
        <v>1482</v>
      </c>
      <c r="C51" s="1179" t="s">
        <v>993</v>
      </c>
      <c r="D51" s="1179" t="s">
        <v>809</v>
      </c>
    </row>
    <row r="52" spans="1:4" x14ac:dyDescent="0.2">
      <c r="B52" t="s">
        <v>816</v>
      </c>
      <c r="C52" s="1179" t="s">
        <v>980</v>
      </c>
      <c r="D52" s="1179" t="s">
        <v>809</v>
      </c>
    </row>
    <row r="53" spans="1:4" x14ac:dyDescent="0.2">
      <c r="A53" s="1184">
        <v>43708</v>
      </c>
      <c r="B53" s="1180" t="s">
        <v>810</v>
      </c>
      <c r="C53" s="1181" t="s">
        <v>994</v>
      </c>
      <c r="D53" s="1181" t="s">
        <v>995</v>
      </c>
    </row>
    <row r="54" spans="1:4" x14ac:dyDescent="0.2">
      <c r="B54" t="s">
        <v>802</v>
      </c>
      <c r="C54" s="1179" t="s">
        <v>996</v>
      </c>
      <c r="D54" s="1179" t="s">
        <v>997</v>
      </c>
    </row>
    <row r="55" spans="1:4" x14ac:dyDescent="0.2">
      <c r="B55" t="s">
        <v>1461</v>
      </c>
      <c r="C55" s="1179" t="s">
        <v>998</v>
      </c>
      <c r="D55" s="1179" t="s">
        <v>999</v>
      </c>
    </row>
    <row r="56" spans="1:4" x14ac:dyDescent="0.2">
      <c r="B56" t="s">
        <v>1462</v>
      </c>
      <c r="C56" s="1179" t="s">
        <v>1000</v>
      </c>
      <c r="D56" s="1179" t="s">
        <v>1001</v>
      </c>
    </row>
    <row r="57" spans="1:4" x14ac:dyDescent="0.2">
      <c r="B57" t="s">
        <v>816</v>
      </c>
      <c r="C57" s="1179" t="s">
        <v>1002</v>
      </c>
      <c r="D57" s="1179" t="s">
        <v>809</v>
      </c>
    </row>
    <row r="58" spans="1:4" x14ac:dyDescent="0.2">
      <c r="A58" s="1180" t="s">
        <v>1003</v>
      </c>
      <c r="B58" s="1180"/>
      <c r="C58" s="1181" t="s">
        <v>1004</v>
      </c>
      <c r="D58" s="1181">
        <v>286953.67</v>
      </c>
    </row>
    <row r="59" spans="1:4" x14ac:dyDescent="0.2">
      <c r="B59" t="s">
        <v>802</v>
      </c>
      <c r="C59" s="1179" t="s">
        <v>1005</v>
      </c>
      <c r="D59" s="1179" t="s">
        <v>1006</v>
      </c>
    </row>
    <row r="60" spans="1:4" x14ac:dyDescent="0.2">
      <c r="B60" t="s">
        <v>1461</v>
      </c>
      <c r="C60" s="1179" t="s">
        <v>1007</v>
      </c>
      <c r="D60" s="1179" t="s">
        <v>1008</v>
      </c>
    </row>
    <row r="61" spans="1:4" x14ac:dyDescent="0.2">
      <c r="B61" t="s">
        <v>1462</v>
      </c>
      <c r="C61" s="1179" t="s">
        <v>1000</v>
      </c>
      <c r="D61" s="1179" t="s">
        <v>809</v>
      </c>
    </row>
    <row r="62" spans="1:4" x14ac:dyDescent="0.2">
      <c r="B62" t="s">
        <v>816</v>
      </c>
      <c r="C62" s="1179" t="s">
        <v>1002</v>
      </c>
      <c r="D62" s="1179" t="s">
        <v>809</v>
      </c>
    </row>
    <row r="63" spans="1:4" x14ac:dyDescent="0.2">
      <c r="A63" s="1180" t="s">
        <v>1009</v>
      </c>
      <c r="B63" s="1180"/>
      <c r="C63" s="1181" t="s">
        <v>1010</v>
      </c>
      <c r="D63" s="1181" t="s">
        <v>1011</v>
      </c>
    </row>
    <row r="64" spans="1:4" x14ac:dyDescent="0.2">
      <c r="B64" t="s">
        <v>802</v>
      </c>
      <c r="C64" s="1179" t="s">
        <v>1012</v>
      </c>
      <c r="D64" s="1179" t="s">
        <v>1013</v>
      </c>
    </row>
    <row r="65" spans="1:4" x14ac:dyDescent="0.2">
      <c r="B65" t="s">
        <v>1461</v>
      </c>
      <c r="C65" s="1179" t="s">
        <v>1014</v>
      </c>
      <c r="D65" s="1179" t="s">
        <v>1015</v>
      </c>
    </row>
    <row r="66" spans="1:4" x14ac:dyDescent="0.2">
      <c r="B66" t="s">
        <v>1462</v>
      </c>
      <c r="C66" s="1179" t="s">
        <v>1000</v>
      </c>
      <c r="D66" s="1179" t="s">
        <v>809</v>
      </c>
    </row>
    <row r="67" spans="1:4" x14ac:dyDescent="0.2">
      <c r="B67" t="s">
        <v>816</v>
      </c>
      <c r="C67" s="1179" t="s">
        <v>1002</v>
      </c>
      <c r="D67" s="1179" t="s">
        <v>809</v>
      </c>
    </row>
    <row r="68" spans="1:4" x14ac:dyDescent="0.2">
      <c r="A68" s="1180" t="s">
        <v>1016</v>
      </c>
      <c r="B68" s="1180"/>
      <c r="C68" s="1181" t="s">
        <v>1017</v>
      </c>
      <c r="D68" s="1181" t="s">
        <v>1018</v>
      </c>
    </row>
    <row r="69" spans="1:4" x14ac:dyDescent="0.2">
      <c r="B69" t="s">
        <v>802</v>
      </c>
      <c r="C69" s="1179" t="s">
        <v>1012</v>
      </c>
      <c r="D69" s="1179" t="s">
        <v>1019</v>
      </c>
    </row>
    <row r="70" spans="1:4" x14ac:dyDescent="0.2">
      <c r="B70" t="s">
        <v>1461</v>
      </c>
      <c r="C70" s="1179" t="s">
        <v>1014</v>
      </c>
      <c r="D70" s="1179" t="s">
        <v>1020</v>
      </c>
    </row>
    <row r="71" spans="1:4" x14ac:dyDescent="0.2">
      <c r="B71" t="s">
        <v>1462</v>
      </c>
      <c r="C71" s="1179" t="s">
        <v>1000</v>
      </c>
      <c r="D71" s="1179" t="s">
        <v>1021</v>
      </c>
    </row>
    <row r="72" spans="1:4" x14ac:dyDescent="0.2">
      <c r="B72" t="s">
        <v>816</v>
      </c>
      <c r="C72" s="1179" t="s">
        <v>809</v>
      </c>
      <c r="D72" s="1179" t="s">
        <v>809</v>
      </c>
    </row>
    <row r="73" spans="1:4" x14ac:dyDescent="0.2">
      <c r="A73" s="1182" t="s">
        <v>1022</v>
      </c>
      <c r="B73" s="1182"/>
      <c r="C73" s="1183" t="s">
        <v>1023</v>
      </c>
      <c r="D73" s="1183" t="s">
        <v>1024</v>
      </c>
    </row>
    <row r="74" spans="1:4" x14ac:dyDescent="0.2">
      <c r="B74" t="s">
        <v>802</v>
      </c>
      <c r="C74" s="1179" t="s">
        <v>1025</v>
      </c>
      <c r="D74" s="1179" t="s">
        <v>1026</v>
      </c>
    </row>
    <row r="75" spans="1:4" x14ac:dyDescent="0.2">
      <c r="B75" t="s">
        <v>1461</v>
      </c>
      <c r="C75" s="1179" t="s">
        <v>1027</v>
      </c>
      <c r="D75" s="1179" t="s">
        <v>1028</v>
      </c>
    </row>
    <row r="76" spans="1:4" x14ac:dyDescent="0.2">
      <c r="B76" t="s">
        <v>1462</v>
      </c>
      <c r="C76" s="1179" t="s">
        <v>1000</v>
      </c>
      <c r="D76" s="1179" t="s">
        <v>809</v>
      </c>
    </row>
    <row r="77" spans="1:4" x14ac:dyDescent="0.2">
      <c r="A77" s="1180" t="s">
        <v>1029</v>
      </c>
      <c r="B77" s="1180"/>
      <c r="C77" s="1181" t="s">
        <v>1030</v>
      </c>
      <c r="D77" s="1181" t="s">
        <v>1031</v>
      </c>
    </row>
    <row r="78" spans="1:4" x14ac:dyDescent="0.2">
      <c r="B78" t="s">
        <v>802</v>
      </c>
      <c r="C78" s="1179" t="s">
        <v>1032</v>
      </c>
      <c r="D78" s="1179" t="s">
        <v>1033</v>
      </c>
    </row>
    <row r="79" spans="1:4" x14ac:dyDescent="0.2">
      <c r="B79" t="s">
        <v>1461</v>
      </c>
      <c r="C79" s="1179" t="s">
        <v>1034</v>
      </c>
      <c r="D79" s="1179" t="s">
        <v>1035</v>
      </c>
    </row>
    <row r="80" spans="1:4" x14ac:dyDescent="0.2">
      <c r="B80" t="s">
        <v>1462</v>
      </c>
      <c r="C80" s="1179" t="s">
        <v>1000</v>
      </c>
      <c r="D80" s="1179" t="s">
        <v>809</v>
      </c>
    </row>
    <row r="81" spans="1:4" x14ac:dyDescent="0.2">
      <c r="A81" s="1180" t="s">
        <v>1036</v>
      </c>
      <c r="B81" s="1180"/>
      <c r="C81" s="1181" t="s">
        <v>1037</v>
      </c>
      <c r="D81" s="1181" t="s">
        <v>1038</v>
      </c>
    </row>
    <row r="82" spans="1:4" x14ac:dyDescent="0.2">
      <c r="B82" t="s">
        <v>802</v>
      </c>
      <c r="C82" s="1179" t="s">
        <v>1109</v>
      </c>
      <c r="D82" s="1179" t="s">
        <v>1110</v>
      </c>
    </row>
    <row r="83" spans="1:4" x14ac:dyDescent="0.2">
      <c r="B83" t="s">
        <v>1461</v>
      </c>
      <c r="C83" s="1179" t="s">
        <v>1111</v>
      </c>
      <c r="D83" s="1179" t="s">
        <v>1112</v>
      </c>
    </row>
    <row r="84" spans="1:4" x14ac:dyDescent="0.2">
      <c r="B84" t="s">
        <v>1462</v>
      </c>
      <c r="C84" s="1179" t="s">
        <v>1000</v>
      </c>
      <c r="D84" s="1179" t="s">
        <v>1113</v>
      </c>
    </row>
    <row r="85" spans="1:4" x14ac:dyDescent="0.2">
      <c r="A85" s="1180" t="s">
        <v>1114</v>
      </c>
      <c r="B85" s="1180"/>
      <c r="C85" s="1181" t="s">
        <v>1115</v>
      </c>
      <c r="D85" s="1181" t="s">
        <v>1116</v>
      </c>
    </row>
    <row r="86" spans="1:4" x14ac:dyDescent="0.2">
      <c r="B86" t="s">
        <v>802</v>
      </c>
      <c r="C86" s="1179" t="s">
        <v>1117</v>
      </c>
      <c r="D86" s="1179" t="s">
        <v>1118</v>
      </c>
    </row>
    <row r="87" spans="1:4" x14ac:dyDescent="0.2">
      <c r="B87" t="s">
        <v>1461</v>
      </c>
      <c r="C87" s="1179" t="s">
        <v>1119</v>
      </c>
      <c r="D87" s="1179" t="s">
        <v>1120</v>
      </c>
    </row>
    <row r="88" spans="1:4" x14ac:dyDescent="0.2">
      <c r="B88" t="s">
        <v>1462</v>
      </c>
      <c r="C88" s="1179" t="s">
        <v>1000</v>
      </c>
      <c r="D88" s="1179" t="s">
        <v>809</v>
      </c>
    </row>
    <row r="89" spans="1:4" x14ac:dyDescent="0.2">
      <c r="A89" s="1184">
        <v>43951</v>
      </c>
      <c r="B89" s="1180" t="s">
        <v>810</v>
      </c>
      <c r="C89" s="1181" t="s">
        <v>1121</v>
      </c>
      <c r="D89" s="1181" t="s">
        <v>1122</v>
      </c>
    </row>
    <row r="90" spans="1:4" x14ac:dyDescent="0.2">
      <c r="B90" t="s">
        <v>802</v>
      </c>
      <c r="C90" s="1179" t="s">
        <v>1123</v>
      </c>
      <c r="D90" s="1179" t="s">
        <v>1124</v>
      </c>
    </row>
    <row r="91" spans="1:4" x14ac:dyDescent="0.2">
      <c r="B91" t="s">
        <v>1483</v>
      </c>
      <c r="C91" s="1179" t="s">
        <v>1125</v>
      </c>
      <c r="D91" s="1179" t="s">
        <v>1126</v>
      </c>
    </row>
    <row r="92" spans="1:4" x14ac:dyDescent="0.2">
      <c r="B92" t="s">
        <v>1462</v>
      </c>
      <c r="C92" s="1179" t="s">
        <v>1000</v>
      </c>
      <c r="D92" s="1179" t="s">
        <v>809</v>
      </c>
    </row>
    <row r="93" spans="1:4" x14ac:dyDescent="0.2">
      <c r="A93" s="1180" t="s">
        <v>1127</v>
      </c>
      <c r="B93" s="1180"/>
      <c r="C93" s="1181" t="s">
        <v>1128</v>
      </c>
      <c r="D93" s="1181" t="s">
        <v>1129</v>
      </c>
    </row>
    <row r="94" spans="1:4" x14ac:dyDescent="0.2">
      <c r="B94" t="s">
        <v>802</v>
      </c>
      <c r="C94" s="1179" t="s">
        <v>1138</v>
      </c>
      <c r="D94" s="1179" t="s">
        <v>1139</v>
      </c>
    </row>
    <row r="95" spans="1:4" x14ac:dyDescent="0.2">
      <c r="B95" t="s">
        <v>1461</v>
      </c>
      <c r="C95" s="1179" t="s">
        <v>1140</v>
      </c>
      <c r="D95" s="1179" t="s">
        <v>1141</v>
      </c>
    </row>
    <row r="96" spans="1:4" x14ac:dyDescent="0.2">
      <c r="B96" t="s">
        <v>1484</v>
      </c>
      <c r="C96" s="1179" t="s">
        <v>1000</v>
      </c>
      <c r="D96" s="1179" t="s">
        <v>1142</v>
      </c>
    </row>
    <row r="97" spans="1:5" x14ac:dyDescent="0.2">
      <c r="A97" s="1180" t="s">
        <v>1143</v>
      </c>
      <c r="B97" s="1180"/>
      <c r="C97" s="1181" t="s">
        <v>1144</v>
      </c>
      <c r="D97" s="1181" t="s">
        <v>1145</v>
      </c>
    </row>
    <row r="98" spans="1:5" x14ac:dyDescent="0.2">
      <c r="A98" t="s">
        <v>1255</v>
      </c>
      <c r="B98" t="s">
        <v>802</v>
      </c>
      <c r="C98" s="1179" t="s">
        <v>1256</v>
      </c>
      <c r="D98" s="1179" t="s">
        <v>1257</v>
      </c>
    </row>
    <row r="99" spans="1:5" x14ac:dyDescent="0.2">
      <c r="A99" t="s">
        <v>1258</v>
      </c>
      <c r="B99" t="s">
        <v>1480</v>
      </c>
      <c r="C99" s="1179" t="s">
        <v>1259</v>
      </c>
      <c r="D99" s="1179" t="s">
        <v>1260</v>
      </c>
    </row>
    <row r="100" spans="1:5" x14ac:dyDescent="0.2">
      <c r="B100" t="s">
        <v>1462</v>
      </c>
      <c r="C100" s="1179" t="s">
        <v>1000</v>
      </c>
      <c r="D100" s="1179" t="s">
        <v>809</v>
      </c>
    </row>
    <row r="101" spans="1:5" x14ac:dyDescent="0.2">
      <c r="A101" t="s">
        <v>1261</v>
      </c>
      <c r="B101" t="s">
        <v>1463</v>
      </c>
      <c r="C101" s="1179" t="s">
        <v>1262</v>
      </c>
      <c r="D101" s="1179" t="s">
        <v>1263</v>
      </c>
      <c r="E101" t="s">
        <v>1264</v>
      </c>
    </row>
    <row r="102" spans="1:5" x14ac:dyDescent="0.2">
      <c r="A102" t="s">
        <v>1265</v>
      </c>
      <c r="B102" t="s">
        <v>1464</v>
      </c>
      <c r="C102" s="1179" t="s">
        <v>1266</v>
      </c>
      <c r="D102" s="1179" t="s">
        <v>1267</v>
      </c>
      <c r="E102" t="s">
        <v>1268</v>
      </c>
    </row>
    <row r="103" spans="1:5" x14ac:dyDescent="0.2">
      <c r="A103" s="1180" t="s">
        <v>1269</v>
      </c>
      <c r="B103" s="1180"/>
      <c r="C103" s="1181" t="s">
        <v>1270</v>
      </c>
      <c r="D103" s="1181" t="s">
        <v>1271</v>
      </c>
    </row>
    <row r="104" spans="1:5" x14ac:dyDescent="0.2">
      <c r="A104" t="s">
        <v>1255</v>
      </c>
      <c r="B104" t="s">
        <v>802</v>
      </c>
      <c r="C104" s="1179" t="s">
        <v>1272</v>
      </c>
      <c r="D104" s="1179" t="s">
        <v>1273</v>
      </c>
    </row>
    <row r="105" spans="1:5" x14ac:dyDescent="0.2">
      <c r="A105" t="s">
        <v>1258</v>
      </c>
      <c r="B105" t="s">
        <v>1461</v>
      </c>
      <c r="C105" s="1179" t="s">
        <v>1274</v>
      </c>
      <c r="D105" s="1179" t="s">
        <v>1275</v>
      </c>
    </row>
    <row r="106" spans="1:5" x14ac:dyDescent="0.2">
      <c r="B106" t="s">
        <v>1462</v>
      </c>
      <c r="C106" s="1179" t="s">
        <v>1000</v>
      </c>
      <c r="D106" s="1179" t="s">
        <v>809</v>
      </c>
    </row>
    <row r="107" spans="1:5" x14ac:dyDescent="0.2">
      <c r="A107" t="s">
        <v>1261</v>
      </c>
      <c r="B107" t="s">
        <v>1463</v>
      </c>
      <c r="C107" s="1179" t="s">
        <v>1276</v>
      </c>
      <c r="D107" s="1179" t="s">
        <v>1277</v>
      </c>
    </row>
    <row r="108" spans="1:5" x14ac:dyDescent="0.2">
      <c r="A108" t="s">
        <v>1265</v>
      </c>
      <c r="B108" t="s">
        <v>1464</v>
      </c>
      <c r="C108" s="1179" t="s">
        <v>1278</v>
      </c>
      <c r="D108" s="1179" t="s">
        <v>1279</v>
      </c>
    </row>
    <row r="109" spans="1:5" x14ac:dyDescent="0.2">
      <c r="A109" s="1180" t="s">
        <v>1280</v>
      </c>
      <c r="B109" s="1180"/>
      <c r="C109" s="1181" t="s">
        <v>1281</v>
      </c>
      <c r="D109" s="1181" t="s">
        <v>1282</v>
      </c>
    </row>
    <row r="110" spans="1:5" x14ac:dyDescent="0.2">
      <c r="A110" t="s">
        <v>1255</v>
      </c>
      <c r="B110" t="s">
        <v>802</v>
      </c>
      <c r="C110" s="1179" t="s">
        <v>1283</v>
      </c>
      <c r="D110" s="1179" t="s">
        <v>1284</v>
      </c>
    </row>
    <row r="111" spans="1:5" x14ac:dyDescent="0.2">
      <c r="A111" t="s">
        <v>1258</v>
      </c>
      <c r="B111" t="s">
        <v>1461</v>
      </c>
      <c r="C111" s="1179" t="s">
        <v>1285</v>
      </c>
      <c r="D111" s="1179" t="s">
        <v>1286</v>
      </c>
    </row>
    <row r="112" spans="1:5" x14ac:dyDescent="0.2">
      <c r="B112" t="s">
        <v>1462</v>
      </c>
      <c r="C112" s="1179" t="s">
        <v>1000</v>
      </c>
      <c r="D112" s="1179" t="s">
        <v>1142</v>
      </c>
    </row>
    <row r="113" spans="1:6" x14ac:dyDescent="0.2">
      <c r="A113" t="s">
        <v>1261</v>
      </c>
      <c r="B113" t="s">
        <v>1463</v>
      </c>
      <c r="D113" s="1179" t="s">
        <v>1287</v>
      </c>
    </row>
    <row r="114" spans="1:6" x14ac:dyDescent="0.2">
      <c r="A114" t="s">
        <v>1265</v>
      </c>
      <c r="B114" t="s">
        <v>1464</v>
      </c>
      <c r="D114" s="1179" t="s">
        <v>1288</v>
      </c>
    </row>
    <row r="115" spans="1:6" x14ac:dyDescent="0.2">
      <c r="A115" s="1180" t="s">
        <v>1289</v>
      </c>
      <c r="B115" s="1180"/>
      <c r="C115" s="1180"/>
      <c r="D115" s="1181" t="s">
        <v>1290</v>
      </c>
    </row>
    <row r="116" spans="1:6" x14ac:dyDescent="0.2">
      <c r="A116" t="s">
        <v>1255</v>
      </c>
      <c r="B116" t="s">
        <v>802</v>
      </c>
      <c r="C116" s="1179" t="s">
        <v>1291</v>
      </c>
      <c r="D116" s="1179" t="s">
        <v>1292</v>
      </c>
    </row>
    <row r="117" spans="1:6" x14ac:dyDescent="0.2">
      <c r="A117" t="s">
        <v>1258</v>
      </c>
      <c r="B117" t="s">
        <v>1461</v>
      </c>
      <c r="C117" s="1179" t="s">
        <v>1293</v>
      </c>
      <c r="D117" s="1179" t="s">
        <v>1294</v>
      </c>
    </row>
    <row r="118" spans="1:6" x14ac:dyDescent="0.2">
      <c r="B118" t="s">
        <v>1462</v>
      </c>
      <c r="C118" s="1179" t="s">
        <v>1000</v>
      </c>
      <c r="D118" s="1179" t="s">
        <v>809</v>
      </c>
    </row>
    <row r="119" spans="1:6" x14ac:dyDescent="0.2">
      <c r="A119" t="s">
        <v>1261</v>
      </c>
      <c r="B119" t="s">
        <v>1463</v>
      </c>
      <c r="D119" s="1179" t="s">
        <v>1295</v>
      </c>
    </row>
    <row r="120" spans="1:6" x14ac:dyDescent="0.2">
      <c r="A120" t="s">
        <v>1265</v>
      </c>
      <c r="B120" t="s">
        <v>1464</v>
      </c>
      <c r="D120" s="1179" t="s">
        <v>1296</v>
      </c>
    </row>
    <row r="121" spans="1:6" x14ac:dyDescent="0.2">
      <c r="A121" s="1180" t="s">
        <v>1297</v>
      </c>
      <c r="B121" s="1180"/>
      <c r="C121" s="1180"/>
      <c r="D121" s="1181" t="s">
        <v>1298</v>
      </c>
    </row>
    <row r="122" spans="1:6" x14ac:dyDescent="0.2">
      <c r="A122" t="s">
        <v>1255</v>
      </c>
      <c r="B122" t="s">
        <v>802</v>
      </c>
      <c r="C122" s="1179" t="s">
        <v>1299</v>
      </c>
      <c r="D122" s="1179" t="s">
        <v>1300</v>
      </c>
    </row>
    <row r="123" spans="1:6" x14ac:dyDescent="0.2">
      <c r="A123" t="s">
        <v>1258</v>
      </c>
      <c r="B123" t="s">
        <v>1461</v>
      </c>
      <c r="C123" s="1179" t="s">
        <v>1301</v>
      </c>
      <c r="D123" s="1179" t="s">
        <v>1302</v>
      </c>
    </row>
    <row r="124" spans="1:6" x14ac:dyDescent="0.2">
      <c r="B124" t="s">
        <v>1462</v>
      </c>
      <c r="C124" s="1179" t="s">
        <v>1000</v>
      </c>
      <c r="D124" s="1179" t="s">
        <v>809</v>
      </c>
      <c r="E124" t="s">
        <v>1254</v>
      </c>
    </row>
    <row r="125" spans="1:6" x14ac:dyDescent="0.2">
      <c r="A125" t="s">
        <v>1261</v>
      </c>
      <c r="B125" t="s">
        <v>1463</v>
      </c>
      <c r="C125" s="1179" t="s">
        <v>1303</v>
      </c>
      <c r="D125" s="1179" t="s">
        <v>1304</v>
      </c>
      <c r="E125" t="s">
        <v>1264</v>
      </c>
    </row>
    <row r="126" spans="1:6" x14ac:dyDescent="0.2">
      <c r="A126" t="s">
        <v>1265</v>
      </c>
      <c r="B126" t="s">
        <v>1464</v>
      </c>
      <c r="C126" s="1179" t="s">
        <v>1305</v>
      </c>
      <c r="D126" s="1179" t="s">
        <v>1306</v>
      </c>
      <c r="E126" t="s">
        <v>1268</v>
      </c>
    </row>
    <row r="127" spans="1:6" x14ac:dyDescent="0.2">
      <c r="A127" s="1180" t="s">
        <v>1307</v>
      </c>
      <c r="B127" s="1180"/>
      <c r="C127" s="1181" t="s">
        <v>1308</v>
      </c>
      <c r="D127" s="1181" t="s">
        <v>1309</v>
      </c>
    </row>
    <row r="128" spans="1:6" x14ac:dyDescent="0.2">
      <c r="A128" t="s">
        <v>1255</v>
      </c>
      <c r="B128" t="s">
        <v>802</v>
      </c>
      <c r="C128" s="1179" t="s">
        <v>1310</v>
      </c>
      <c r="D128" s="1179" t="s">
        <v>1311</v>
      </c>
      <c r="F128" s="31">
        <v>33636356</v>
      </c>
    </row>
    <row r="129" spans="1:6" x14ac:dyDescent="0.2">
      <c r="A129" t="s">
        <v>1258</v>
      </c>
      <c r="B129" t="s">
        <v>1461</v>
      </c>
      <c r="C129" s="1179" t="s">
        <v>1312</v>
      </c>
      <c r="D129" s="1179" t="s">
        <v>1313</v>
      </c>
      <c r="F129" s="31">
        <v>83175344</v>
      </c>
    </row>
    <row r="130" spans="1:6" x14ac:dyDescent="0.2">
      <c r="B130" t="s">
        <v>1462</v>
      </c>
      <c r="C130" s="1179" t="s">
        <v>1000</v>
      </c>
      <c r="D130" s="1179" t="s">
        <v>1314</v>
      </c>
      <c r="E130" t="s">
        <v>1254</v>
      </c>
      <c r="F130" s="31">
        <v>30000000</v>
      </c>
    </row>
    <row r="131" spans="1:6" x14ac:dyDescent="0.2">
      <c r="A131" t="s">
        <v>1261</v>
      </c>
      <c r="B131" t="s">
        <v>1463</v>
      </c>
      <c r="C131" s="1179" t="s">
        <v>1315</v>
      </c>
      <c r="D131" s="1179" t="s">
        <v>1316</v>
      </c>
      <c r="E131" t="s">
        <v>1264</v>
      </c>
      <c r="F131" s="31">
        <v>14580000</v>
      </c>
    </row>
    <row r="132" spans="1:6" x14ac:dyDescent="0.2">
      <c r="A132" t="s">
        <v>1265</v>
      </c>
      <c r="B132" t="s">
        <v>1464</v>
      </c>
      <c r="C132" s="1179" t="s">
        <v>1317</v>
      </c>
      <c r="D132" s="1179" t="s">
        <v>1318</v>
      </c>
      <c r="E132" t="s">
        <v>1268</v>
      </c>
      <c r="F132" s="31">
        <v>2416660</v>
      </c>
    </row>
    <row r="133" spans="1:6" x14ac:dyDescent="0.2">
      <c r="A133" s="1182" t="s">
        <v>1319</v>
      </c>
      <c r="B133" s="1182"/>
      <c r="C133" s="1183" t="s">
        <v>1320</v>
      </c>
      <c r="D133" s="1183" t="s">
        <v>1321</v>
      </c>
    </row>
    <row r="134" spans="1:6" x14ac:dyDescent="0.2">
      <c r="A134" t="s">
        <v>1255</v>
      </c>
      <c r="B134" t="s">
        <v>802</v>
      </c>
      <c r="C134" s="1179" t="s">
        <v>1322</v>
      </c>
      <c r="D134" s="1179" t="s">
        <v>1323</v>
      </c>
    </row>
    <row r="135" spans="1:6" x14ac:dyDescent="0.2">
      <c r="A135" t="s">
        <v>1258</v>
      </c>
      <c r="B135" t="s">
        <v>1461</v>
      </c>
      <c r="C135" s="1179" t="s">
        <v>1324</v>
      </c>
      <c r="D135" s="1179" t="s">
        <v>1325</v>
      </c>
    </row>
    <row r="136" spans="1:6" x14ac:dyDescent="0.2">
      <c r="A136" t="s">
        <v>1326</v>
      </c>
      <c r="B136" t="s">
        <v>1462</v>
      </c>
      <c r="C136" s="1179" t="s">
        <v>1000</v>
      </c>
      <c r="D136" s="1179" t="s">
        <v>809</v>
      </c>
      <c r="E136" t="s">
        <v>1254</v>
      </c>
    </row>
    <row r="137" spans="1:6" x14ac:dyDescent="0.2">
      <c r="A137" t="s">
        <v>1261</v>
      </c>
      <c r="B137" t="s">
        <v>1463</v>
      </c>
      <c r="C137" s="1179" t="s">
        <v>1327</v>
      </c>
      <c r="D137" s="1179" t="s">
        <v>1328</v>
      </c>
      <c r="E137" t="s">
        <v>1264</v>
      </c>
    </row>
    <row r="138" spans="1:6" x14ac:dyDescent="0.2">
      <c r="A138" t="s">
        <v>1265</v>
      </c>
      <c r="B138" t="s">
        <v>1464</v>
      </c>
      <c r="C138" s="1179" t="s">
        <v>1329</v>
      </c>
      <c r="D138" s="1179" t="s">
        <v>1318</v>
      </c>
      <c r="E138" t="s">
        <v>1268</v>
      </c>
    </row>
    <row r="139" spans="1:6" x14ac:dyDescent="0.2">
      <c r="A139" s="1180" t="s">
        <v>1330</v>
      </c>
      <c r="B139" s="1180"/>
      <c r="C139" s="1181" t="s">
        <v>1331</v>
      </c>
      <c r="D139" s="1181" t="s">
        <v>1332</v>
      </c>
    </row>
    <row r="140" spans="1:6" x14ac:dyDescent="0.2">
      <c r="A140" t="s">
        <v>1255</v>
      </c>
      <c r="B140" t="s">
        <v>802</v>
      </c>
      <c r="C140" s="1179" t="s">
        <v>1333</v>
      </c>
      <c r="D140" s="1179" t="s">
        <v>1334</v>
      </c>
    </row>
    <row r="141" spans="1:6" x14ac:dyDescent="0.2">
      <c r="A141" t="s">
        <v>1258</v>
      </c>
      <c r="B141" t="s">
        <v>1461</v>
      </c>
      <c r="C141" s="1179" t="s">
        <v>1335</v>
      </c>
      <c r="D141" s="1179" t="s">
        <v>1336</v>
      </c>
    </row>
    <row r="142" spans="1:6" x14ac:dyDescent="0.2">
      <c r="A142" t="s">
        <v>1326</v>
      </c>
      <c r="B142" t="s">
        <v>1462</v>
      </c>
      <c r="C142" s="1179" t="s">
        <v>1000</v>
      </c>
      <c r="D142" s="1179" t="s">
        <v>809</v>
      </c>
      <c r="E142" t="s">
        <v>1254</v>
      </c>
    </row>
    <row r="143" spans="1:6" x14ac:dyDescent="0.2">
      <c r="A143" t="s">
        <v>1261</v>
      </c>
      <c r="B143" t="s">
        <v>1463</v>
      </c>
      <c r="C143" s="1179" t="s">
        <v>1337</v>
      </c>
      <c r="D143" s="1179" t="s">
        <v>1338</v>
      </c>
      <c r="E143" t="s">
        <v>1264</v>
      </c>
    </row>
    <row r="144" spans="1:6" x14ac:dyDescent="0.2">
      <c r="A144" t="s">
        <v>1265</v>
      </c>
      <c r="B144" t="s">
        <v>1464</v>
      </c>
      <c r="C144" s="1179" t="s">
        <v>1339</v>
      </c>
      <c r="D144" s="1179" t="s">
        <v>1340</v>
      </c>
      <c r="E144" t="s">
        <v>1268</v>
      </c>
    </row>
    <row r="145" spans="1:5" x14ac:dyDescent="0.2">
      <c r="A145" s="1180" t="s">
        <v>1341</v>
      </c>
      <c r="B145" s="1180"/>
      <c r="C145" s="1181" t="s">
        <v>1342</v>
      </c>
      <c r="D145" s="1181" t="s">
        <v>1343</v>
      </c>
    </row>
    <row r="146" spans="1:5" x14ac:dyDescent="0.2">
      <c r="A146" t="s">
        <v>1255</v>
      </c>
      <c r="B146" t="s">
        <v>802</v>
      </c>
      <c r="C146" s="1179" t="s">
        <v>1344</v>
      </c>
      <c r="D146" s="1179" t="s">
        <v>1345</v>
      </c>
    </row>
    <row r="147" spans="1:5" x14ac:dyDescent="0.2">
      <c r="A147" t="s">
        <v>1258</v>
      </c>
      <c r="B147" t="s">
        <v>1461</v>
      </c>
      <c r="C147" s="1179" t="s">
        <v>1346</v>
      </c>
      <c r="D147" s="1179" t="s">
        <v>1347</v>
      </c>
    </row>
    <row r="148" spans="1:5" x14ac:dyDescent="0.2">
      <c r="A148" t="s">
        <v>1326</v>
      </c>
      <c r="B148" t="s">
        <v>1462</v>
      </c>
      <c r="C148" s="1179" t="s">
        <v>1000</v>
      </c>
      <c r="D148" s="1179" t="s">
        <v>1348</v>
      </c>
      <c r="E148" t="s">
        <v>1254</v>
      </c>
    </row>
    <row r="149" spans="1:5" x14ac:dyDescent="0.2">
      <c r="A149" t="s">
        <v>1261</v>
      </c>
      <c r="B149" t="s">
        <v>1463</v>
      </c>
      <c r="C149" s="1179" t="s">
        <v>1349</v>
      </c>
      <c r="D149" s="1179" t="s">
        <v>1350</v>
      </c>
      <c r="E149" t="s">
        <v>1264</v>
      </c>
    </row>
    <row r="150" spans="1:5" x14ac:dyDescent="0.2">
      <c r="A150" t="s">
        <v>1265</v>
      </c>
      <c r="B150" t="s">
        <v>1464</v>
      </c>
      <c r="C150" s="1179" t="s">
        <v>1351</v>
      </c>
      <c r="D150" s="1179" t="s">
        <v>1352</v>
      </c>
      <c r="E150" t="s">
        <v>1268</v>
      </c>
    </row>
    <row r="151" spans="1:5" x14ac:dyDescent="0.2">
      <c r="A151" s="1180" t="s">
        <v>1353</v>
      </c>
      <c r="B151" s="1180"/>
      <c r="C151" s="1181" t="s">
        <v>1354</v>
      </c>
      <c r="D151" s="1181" t="s">
        <v>1355</v>
      </c>
    </row>
    <row r="152" spans="1:5" x14ac:dyDescent="0.2">
      <c r="A152" t="s">
        <v>1255</v>
      </c>
      <c r="B152" t="s">
        <v>802</v>
      </c>
      <c r="C152" s="1179" t="s">
        <v>1356</v>
      </c>
      <c r="D152" s="1179" t="s">
        <v>1357</v>
      </c>
      <c r="E152" t="s">
        <v>1358</v>
      </c>
    </row>
    <row r="153" spans="1:5" x14ac:dyDescent="0.2">
      <c r="A153" t="s">
        <v>1258</v>
      </c>
      <c r="B153" t="s">
        <v>1461</v>
      </c>
      <c r="C153" s="1179" t="s">
        <v>1359</v>
      </c>
      <c r="D153" s="1179" t="s">
        <v>1360</v>
      </c>
      <c r="E153" t="s">
        <v>1361</v>
      </c>
    </row>
    <row r="154" spans="1:5" x14ac:dyDescent="0.2">
      <c r="A154" t="s">
        <v>1326</v>
      </c>
      <c r="B154" t="s">
        <v>1462</v>
      </c>
      <c r="C154" s="1179" t="s">
        <v>1000</v>
      </c>
      <c r="D154" s="1179" t="s">
        <v>809</v>
      </c>
      <c r="E154" t="s">
        <v>1254</v>
      </c>
    </row>
    <row r="155" spans="1:5" x14ac:dyDescent="0.2">
      <c r="A155" t="s">
        <v>1261</v>
      </c>
      <c r="B155" t="s">
        <v>1463</v>
      </c>
      <c r="C155" s="1179" t="s">
        <v>1362</v>
      </c>
      <c r="D155" s="1179" t="s">
        <v>1363</v>
      </c>
      <c r="E155" t="s">
        <v>1264</v>
      </c>
    </row>
    <row r="156" spans="1:5" x14ac:dyDescent="0.2">
      <c r="A156" t="s">
        <v>1265</v>
      </c>
      <c r="B156" t="s">
        <v>1464</v>
      </c>
      <c r="C156" s="1179" t="s">
        <v>1364</v>
      </c>
      <c r="D156" s="1179" t="s">
        <v>1365</v>
      </c>
      <c r="E156" t="s">
        <v>1268</v>
      </c>
    </row>
    <row r="157" spans="1:5" x14ac:dyDescent="0.2">
      <c r="A157" s="1180" t="s">
        <v>1366</v>
      </c>
      <c r="B157" s="1180"/>
      <c r="C157" s="1181" t="s">
        <v>1367</v>
      </c>
      <c r="D157" s="1181" t="s">
        <v>1368</v>
      </c>
    </row>
    <row r="158" spans="1:5" x14ac:dyDescent="0.2">
      <c r="A158" t="s">
        <v>1255</v>
      </c>
      <c r="B158" t="s">
        <v>802</v>
      </c>
      <c r="C158" s="1179" t="s">
        <v>1369</v>
      </c>
      <c r="D158" s="1179" t="s">
        <v>1370</v>
      </c>
      <c r="E158" t="s">
        <v>1358</v>
      </c>
    </row>
    <row r="159" spans="1:5" x14ac:dyDescent="0.2">
      <c r="A159" t="s">
        <v>1258</v>
      </c>
      <c r="B159" t="s">
        <v>1461</v>
      </c>
      <c r="C159" s="1179" t="s">
        <v>1371</v>
      </c>
      <c r="D159" s="1179" t="s">
        <v>1372</v>
      </c>
      <c r="E159" t="s">
        <v>1361</v>
      </c>
    </row>
    <row r="160" spans="1:5" x14ac:dyDescent="0.2">
      <c r="A160" t="s">
        <v>1326</v>
      </c>
      <c r="B160" t="s">
        <v>1462</v>
      </c>
      <c r="C160" s="1179" t="s">
        <v>1000</v>
      </c>
      <c r="D160" s="1179" t="s">
        <v>809</v>
      </c>
      <c r="E160" t="s">
        <v>1254</v>
      </c>
    </row>
    <row r="161" spans="1:5" x14ac:dyDescent="0.2">
      <c r="A161" t="s">
        <v>1261</v>
      </c>
      <c r="B161" t="s">
        <v>1463</v>
      </c>
      <c r="C161" s="1179" t="s">
        <v>1373</v>
      </c>
      <c r="D161" s="1179" t="s">
        <v>1374</v>
      </c>
      <c r="E161" t="s">
        <v>1264</v>
      </c>
    </row>
    <row r="162" spans="1:5" x14ac:dyDescent="0.2">
      <c r="A162" t="s">
        <v>1265</v>
      </c>
      <c r="B162" t="s">
        <v>1464</v>
      </c>
      <c r="C162" s="1179" t="s">
        <v>1375</v>
      </c>
      <c r="D162" s="1179" t="s">
        <v>1376</v>
      </c>
      <c r="E162" t="s">
        <v>1268</v>
      </c>
    </row>
    <row r="163" spans="1:5" x14ac:dyDescent="0.2">
      <c r="A163" s="1180" t="s">
        <v>1377</v>
      </c>
      <c r="B163" s="1180"/>
      <c r="C163" s="1181" t="s">
        <v>1378</v>
      </c>
      <c r="D163" s="1181" t="s">
        <v>1379</v>
      </c>
    </row>
    <row r="164" spans="1:5" x14ac:dyDescent="0.2">
      <c r="A164" t="s">
        <v>1255</v>
      </c>
      <c r="B164" t="s">
        <v>802</v>
      </c>
      <c r="C164" s="1179" t="s">
        <v>1380</v>
      </c>
      <c r="D164" s="1179" t="s">
        <v>1381</v>
      </c>
      <c r="E164" t="s">
        <v>1358</v>
      </c>
    </row>
    <row r="165" spans="1:5" x14ac:dyDescent="0.2">
      <c r="A165" t="s">
        <v>1258</v>
      </c>
      <c r="B165" t="s">
        <v>1461</v>
      </c>
      <c r="C165" s="1179" t="s">
        <v>1382</v>
      </c>
      <c r="D165" s="1179" t="s">
        <v>1383</v>
      </c>
      <c r="E165" t="s">
        <v>1361</v>
      </c>
    </row>
    <row r="166" spans="1:5" x14ac:dyDescent="0.2">
      <c r="A166" t="s">
        <v>1384</v>
      </c>
      <c r="B166" t="s">
        <v>1462</v>
      </c>
      <c r="C166" s="1179" t="s">
        <v>1385</v>
      </c>
      <c r="D166" s="1179" t="s">
        <v>1142</v>
      </c>
      <c r="E166" t="s">
        <v>1254</v>
      </c>
    </row>
    <row r="167" spans="1:5" x14ac:dyDescent="0.2">
      <c r="A167" t="s">
        <v>1261</v>
      </c>
      <c r="B167" t="s">
        <v>1463</v>
      </c>
      <c r="C167" s="1179" t="s">
        <v>1386</v>
      </c>
      <c r="D167" s="1179" t="s">
        <v>1387</v>
      </c>
      <c r="E167" t="s">
        <v>1264</v>
      </c>
    </row>
    <row r="168" spans="1:5" x14ac:dyDescent="0.2">
      <c r="A168" t="s">
        <v>1265</v>
      </c>
      <c r="B168" t="s">
        <v>1464</v>
      </c>
      <c r="C168" s="1179" t="s">
        <v>1388</v>
      </c>
      <c r="D168" s="1179" t="s">
        <v>1389</v>
      </c>
      <c r="E168" t="s">
        <v>1268</v>
      </c>
    </row>
    <row r="169" spans="1:5" x14ac:dyDescent="0.2">
      <c r="A169" s="1180" t="s">
        <v>1390</v>
      </c>
      <c r="B169" s="1180"/>
      <c r="C169" s="1181" t="s">
        <v>1391</v>
      </c>
      <c r="D169" s="1181" t="s">
        <v>1392</v>
      </c>
    </row>
    <row r="170" spans="1:5" x14ac:dyDescent="0.2">
      <c r="A170" t="s">
        <v>1255</v>
      </c>
      <c r="B170" t="s">
        <v>802</v>
      </c>
      <c r="C170" s="1179" t="s">
        <v>1393</v>
      </c>
      <c r="D170" s="1179" t="s">
        <v>1394</v>
      </c>
      <c r="E170" t="s">
        <v>1358</v>
      </c>
    </row>
    <row r="171" spans="1:5" x14ac:dyDescent="0.2">
      <c r="A171" t="s">
        <v>1258</v>
      </c>
      <c r="B171" t="s">
        <v>1461</v>
      </c>
      <c r="C171" s="1179" t="s">
        <v>1395</v>
      </c>
      <c r="D171" s="1179" t="s">
        <v>1396</v>
      </c>
      <c r="E171" t="s">
        <v>1361</v>
      </c>
    </row>
    <row r="172" spans="1:5" x14ac:dyDescent="0.2">
      <c r="A172" t="s">
        <v>1384</v>
      </c>
      <c r="B172" t="s">
        <v>1462</v>
      </c>
      <c r="C172" s="1179" t="s">
        <v>1385</v>
      </c>
      <c r="D172" s="1179" t="s">
        <v>809</v>
      </c>
      <c r="E172" t="s">
        <v>1254</v>
      </c>
    </row>
    <row r="173" spans="1:5" x14ac:dyDescent="0.2">
      <c r="A173" t="s">
        <v>1261</v>
      </c>
      <c r="B173" t="s">
        <v>1463</v>
      </c>
      <c r="C173" s="1179" t="s">
        <v>1397</v>
      </c>
      <c r="D173" s="1179" t="s">
        <v>1398</v>
      </c>
      <c r="E173" t="s">
        <v>1264</v>
      </c>
    </row>
    <row r="174" spans="1:5" x14ac:dyDescent="0.2">
      <c r="A174" t="s">
        <v>1265</v>
      </c>
      <c r="B174" t="s">
        <v>1464</v>
      </c>
      <c r="C174" s="1179" t="s">
        <v>1399</v>
      </c>
      <c r="D174" s="1179" t="s">
        <v>1400</v>
      </c>
      <c r="E174" t="s">
        <v>1268</v>
      </c>
    </row>
    <row r="175" spans="1:5" x14ac:dyDescent="0.2">
      <c r="A175" s="1180" t="s">
        <v>1401</v>
      </c>
      <c r="B175" s="1180"/>
      <c r="C175" s="1181" t="s">
        <v>1402</v>
      </c>
      <c r="D175" s="1181" t="s">
        <v>1403</v>
      </c>
    </row>
    <row r="176" spans="1:5" x14ac:dyDescent="0.2">
      <c r="A176" t="s">
        <v>1255</v>
      </c>
      <c r="B176" t="s">
        <v>802</v>
      </c>
      <c r="C176" s="1179" t="s">
        <v>1404</v>
      </c>
      <c r="D176" s="1179" t="s">
        <v>1405</v>
      </c>
      <c r="E176" t="s">
        <v>1358</v>
      </c>
    </row>
    <row r="177" spans="1:5" x14ac:dyDescent="0.2">
      <c r="A177" t="s">
        <v>1258</v>
      </c>
      <c r="B177" t="s">
        <v>1461</v>
      </c>
      <c r="C177" s="1179" t="s">
        <v>1406</v>
      </c>
      <c r="D177" s="1179" t="s">
        <v>1407</v>
      </c>
      <c r="E177" t="s">
        <v>1361</v>
      </c>
    </row>
    <row r="178" spans="1:5" x14ac:dyDescent="0.2">
      <c r="A178" t="s">
        <v>1384</v>
      </c>
      <c r="B178" t="s">
        <v>1462</v>
      </c>
      <c r="C178" s="1179" t="s">
        <v>1385</v>
      </c>
      <c r="D178" s="1179" t="s">
        <v>809</v>
      </c>
      <c r="E178" t="s">
        <v>1254</v>
      </c>
    </row>
    <row r="179" spans="1:5" x14ac:dyDescent="0.2">
      <c r="A179" t="s">
        <v>1261</v>
      </c>
      <c r="B179" t="s">
        <v>1463</v>
      </c>
      <c r="C179" s="1179" t="s">
        <v>1408</v>
      </c>
      <c r="D179" s="1179" t="s">
        <v>1409</v>
      </c>
      <c r="E179" t="s">
        <v>1264</v>
      </c>
    </row>
    <row r="180" spans="1:5" x14ac:dyDescent="0.2">
      <c r="A180" t="s">
        <v>1265</v>
      </c>
      <c r="B180" t="s">
        <v>1464</v>
      </c>
      <c r="C180" s="1179" t="s">
        <v>1410</v>
      </c>
      <c r="D180" s="1179" t="s">
        <v>1411</v>
      </c>
      <c r="E180" t="s">
        <v>1268</v>
      </c>
    </row>
    <row r="181" spans="1:5" x14ac:dyDescent="0.2">
      <c r="A181" s="1180" t="s">
        <v>1412</v>
      </c>
      <c r="B181" s="1180"/>
      <c r="C181" s="1181" t="s">
        <v>1413</v>
      </c>
      <c r="D181" s="1181" t="s">
        <v>1414</v>
      </c>
    </row>
    <row r="182" spans="1:5" x14ac:dyDescent="0.2">
      <c r="A182" t="s">
        <v>1255</v>
      </c>
      <c r="B182" t="s">
        <v>802</v>
      </c>
      <c r="C182" s="1179" t="s">
        <v>1415</v>
      </c>
      <c r="D182" s="1179" t="s">
        <v>1416</v>
      </c>
      <c r="E182" t="s">
        <v>1358</v>
      </c>
    </row>
    <row r="183" spans="1:5" x14ac:dyDescent="0.2">
      <c r="A183" t="s">
        <v>1258</v>
      </c>
      <c r="B183" t="s">
        <v>1461</v>
      </c>
      <c r="C183" s="1179" t="s">
        <v>1417</v>
      </c>
      <c r="D183" s="1179" t="s">
        <v>1418</v>
      </c>
      <c r="E183" t="s">
        <v>1361</v>
      </c>
    </row>
    <row r="184" spans="1:5" x14ac:dyDescent="0.2">
      <c r="A184" t="s">
        <v>1384</v>
      </c>
      <c r="B184" t="s">
        <v>1462</v>
      </c>
      <c r="C184" s="1179" t="s">
        <v>1419</v>
      </c>
      <c r="D184" s="1179" t="s">
        <v>1420</v>
      </c>
      <c r="E184" t="s">
        <v>1254</v>
      </c>
    </row>
    <row r="185" spans="1:5" x14ac:dyDescent="0.2">
      <c r="A185" t="s">
        <v>1261</v>
      </c>
      <c r="B185" t="s">
        <v>1463</v>
      </c>
      <c r="C185" s="1179" t="s">
        <v>1421</v>
      </c>
      <c r="D185" s="1179" t="s">
        <v>1422</v>
      </c>
      <c r="E185" t="s">
        <v>1264</v>
      </c>
    </row>
    <row r="186" spans="1:5" x14ac:dyDescent="0.2">
      <c r="A186" t="s">
        <v>1265</v>
      </c>
      <c r="B186" t="s">
        <v>1464</v>
      </c>
      <c r="C186" s="1179" t="s">
        <v>1423</v>
      </c>
      <c r="D186" s="1179" t="s">
        <v>1424</v>
      </c>
      <c r="E186" t="s">
        <v>1268</v>
      </c>
    </row>
    <row r="187" spans="1:5" x14ac:dyDescent="0.2">
      <c r="A187" s="1180" t="s">
        <v>1425</v>
      </c>
      <c r="B187" s="1180"/>
      <c r="C187" s="1181" t="s">
        <v>1426</v>
      </c>
      <c r="D187" s="1181" t="s">
        <v>1427</v>
      </c>
    </row>
    <row r="188" spans="1:5" x14ac:dyDescent="0.2">
      <c r="A188" t="s">
        <v>1255</v>
      </c>
      <c r="B188" t="s">
        <v>802</v>
      </c>
      <c r="C188" s="1179" t="s">
        <v>1428</v>
      </c>
      <c r="D188" s="1179" t="s">
        <v>1429</v>
      </c>
      <c r="E188" t="s">
        <v>1358</v>
      </c>
    </row>
    <row r="189" spans="1:5" x14ac:dyDescent="0.2">
      <c r="A189" t="s">
        <v>1258</v>
      </c>
      <c r="B189" t="s">
        <v>1461</v>
      </c>
      <c r="C189" s="1179" t="s">
        <v>1430</v>
      </c>
      <c r="D189" s="1179" t="s">
        <v>1431</v>
      </c>
      <c r="E189" t="s">
        <v>1361</v>
      </c>
    </row>
    <row r="190" spans="1:5" x14ac:dyDescent="0.2">
      <c r="A190" t="s">
        <v>1384</v>
      </c>
      <c r="B190" t="s">
        <v>1462</v>
      </c>
      <c r="C190" s="1179" t="s">
        <v>1419</v>
      </c>
      <c r="D190" s="1179" t="s">
        <v>809</v>
      </c>
      <c r="E190" t="s">
        <v>1254</v>
      </c>
    </row>
    <row r="191" spans="1:5" x14ac:dyDescent="0.2">
      <c r="A191" t="s">
        <v>1261</v>
      </c>
      <c r="B191" t="s">
        <v>1463</v>
      </c>
      <c r="C191" s="1179" t="s">
        <v>1432</v>
      </c>
      <c r="D191" s="1179" t="s">
        <v>1433</v>
      </c>
      <c r="E191" t="s">
        <v>1264</v>
      </c>
    </row>
    <row r="192" spans="1:5" x14ac:dyDescent="0.2">
      <c r="A192" t="s">
        <v>1265</v>
      </c>
      <c r="B192" t="s">
        <v>1464</v>
      </c>
      <c r="C192" s="1179" t="s">
        <v>1434</v>
      </c>
      <c r="D192" s="1179" t="s">
        <v>1435</v>
      </c>
      <c r="E192" t="s">
        <v>1268</v>
      </c>
    </row>
    <row r="193" spans="1:5" x14ac:dyDescent="0.2">
      <c r="A193" s="1180" t="s">
        <v>1436</v>
      </c>
      <c r="B193" s="1180"/>
      <c r="C193" s="1181" t="s">
        <v>1437</v>
      </c>
      <c r="D193" s="1181" t="s">
        <v>1438</v>
      </c>
    </row>
    <row r="194" spans="1:5" x14ac:dyDescent="0.2">
      <c r="A194" t="s">
        <v>1255</v>
      </c>
      <c r="B194" t="s">
        <v>802</v>
      </c>
      <c r="C194" s="1179" t="s">
        <v>1447</v>
      </c>
      <c r="D194" s="1179" t="s">
        <v>1448</v>
      </c>
      <c r="E194" t="s">
        <v>1358</v>
      </c>
    </row>
    <row r="195" spans="1:5" x14ac:dyDescent="0.2">
      <c r="A195" t="s">
        <v>1258</v>
      </c>
      <c r="B195" t="s">
        <v>1461</v>
      </c>
      <c r="C195" s="1179" t="s">
        <v>1449</v>
      </c>
      <c r="D195" s="1179" t="s">
        <v>1450</v>
      </c>
      <c r="E195" t="s">
        <v>1361</v>
      </c>
    </row>
    <row r="196" spans="1:5" x14ac:dyDescent="0.2">
      <c r="A196" t="s">
        <v>1384</v>
      </c>
      <c r="B196" t="s">
        <v>1462</v>
      </c>
      <c r="C196" s="1179" t="s">
        <v>1419</v>
      </c>
      <c r="D196" s="1179" t="s">
        <v>809</v>
      </c>
      <c r="E196" t="s">
        <v>1254</v>
      </c>
    </row>
    <row r="197" spans="1:5" x14ac:dyDescent="0.2">
      <c r="A197" t="s">
        <v>1261</v>
      </c>
      <c r="B197" t="s">
        <v>1463</v>
      </c>
      <c r="C197" s="1179" t="s">
        <v>1262</v>
      </c>
      <c r="D197" s="1179" t="s">
        <v>1451</v>
      </c>
      <c r="E197" t="s">
        <v>1264</v>
      </c>
    </row>
    <row r="198" spans="1:5" x14ac:dyDescent="0.2">
      <c r="A198" t="s">
        <v>1265</v>
      </c>
      <c r="B198" t="s">
        <v>1464</v>
      </c>
      <c r="C198" s="1179" t="s">
        <v>1452</v>
      </c>
      <c r="D198" s="1179" t="s">
        <v>1453</v>
      </c>
      <c r="E198" t="s">
        <v>1268</v>
      </c>
    </row>
    <row r="199" spans="1:5" x14ac:dyDescent="0.2">
      <c r="A199" s="1180" t="s">
        <v>1465</v>
      </c>
      <c r="B199" s="1180"/>
      <c r="C199" s="1181" t="s">
        <v>1454</v>
      </c>
      <c r="D199" s="1181" t="s">
        <v>1455</v>
      </c>
    </row>
    <row r="200" spans="1:5" x14ac:dyDescent="0.2">
      <c r="A200" t="s">
        <v>1255</v>
      </c>
      <c r="B200" t="s">
        <v>802</v>
      </c>
      <c r="C200" s="1179" t="s">
        <v>1466</v>
      </c>
      <c r="D200" s="1179" t="s">
        <v>1467</v>
      </c>
      <c r="E200" t="s">
        <v>1358</v>
      </c>
    </row>
    <row r="201" spans="1:5" x14ac:dyDescent="0.2">
      <c r="A201" t="s">
        <v>1258</v>
      </c>
      <c r="B201" t="s">
        <v>1461</v>
      </c>
      <c r="C201" s="1179" t="s">
        <v>1468</v>
      </c>
      <c r="D201" s="1179" t="s">
        <v>1469</v>
      </c>
      <c r="E201" t="s">
        <v>1361</v>
      </c>
    </row>
    <row r="202" spans="1:5" x14ac:dyDescent="0.2">
      <c r="A202" t="s">
        <v>1384</v>
      </c>
      <c r="B202" t="s">
        <v>1462</v>
      </c>
      <c r="C202" s="1179" t="s">
        <v>1470</v>
      </c>
      <c r="D202" s="1179" t="s">
        <v>1471</v>
      </c>
      <c r="E202" t="s">
        <v>1254</v>
      </c>
    </row>
    <row r="203" spans="1:5" x14ac:dyDescent="0.2">
      <c r="A203" t="s">
        <v>1261</v>
      </c>
      <c r="B203" t="s">
        <v>1463</v>
      </c>
      <c r="C203" s="1179" t="s">
        <v>1472</v>
      </c>
      <c r="D203" s="1179" t="s">
        <v>1473</v>
      </c>
      <c r="E203" t="s">
        <v>1264</v>
      </c>
    </row>
    <row r="204" spans="1:5" x14ac:dyDescent="0.2">
      <c r="A204" t="s">
        <v>1265</v>
      </c>
      <c r="B204" t="s">
        <v>1464</v>
      </c>
      <c r="C204" s="1179" t="s">
        <v>1474</v>
      </c>
      <c r="D204" s="1179" t="s">
        <v>1475</v>
      </c>
      <c r="E204" t="s">
        <v>1268</v>
      </c>
    </row>
    <row r="205" spans="1:5" x14ac:dyDescent="0.2">
      <c r="A205" s="1182" t="s">
        <v>1476</v>
      </c>
      <c r="B205" s="1182"/>
      <c r="C205" s="1183" t="s">
        <v>1477</v>
      </c>
      <c r="D205" s="1183" t="s">
        <v>1478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28515625" style="275" bestFit="1" customWidth="1"/>
    <col min="7" max="7" width="27.7109375" style="275" customWidth="1"/>
    <col min="8" max="8" width="21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28515625" style="275" bestFit="1" customWidth="1"/>
    <col min="17" max="17" width="7.28515625" style="275" bestFit="1" customWidth="1"/>
    <col min="18" max="19" width="9" style="275" bestFit="1" customWidth="1"/>
    <col min="20" max="20" width="4.285156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44" t="s">
        <v>721</v>
      </c>
    </row>
    <row r="2" spans="2:25" x14ac:dyDescent="0.25">
      <c r="B2" s="445" t="s">
        <v>508</v>
      </c>
    </row>
    <row r="3" spans="2:25" x14ac:dyDescent="0.25">
      <c r="B3" s="445" t="s">
        <v>783</v>
      </c>
    </row>
    <row r="4" spans="2:25" x14ac:dyDescent="0.25">
      <c r="B4" s="446" t="s">
        <v>363</v>
      </c>
    </row>
    <row r="5" spans="2:25" x14ac:dyDescent="0.25">
      <c r="K5" s="3187" t="s">
        <v>364</v>
      </c>
      <c r="L5" s="3187"/>
      <c r="M5" s="3187"/>
      <c r="N5" s="3187"/>
      <c r="O5" s="3187"/>
      <c r="W5" s="444" t="s">
        <v>365</v>
      </c>
    </row>
    <row r="6" spans="2:25" s="448" customFormat="1" x14ac:dyDescent="0.25">
      <c r="B6" s="447" t="s">
        <v>722</v>
      </c>
      <c r="K6" s="449"/>
      <c r="L6" s="449"/>
      <c r="M6" s="449"/>
      <c r="N6" s="449"/>
      <c r="O6" s="449"/>
      <c r="W6" s="447"/>
    </row>
    <row r="7" spans="2:25" s="450" customFormat="1" ht="14.25" thickBot="1" x14ac:dyDescent="0.3">
      <c r="K7" s="451"/>
      <c r="L7" s="451"/>
      <c r="M7" s="451"/>
      <c r="N7" s="451"/>
      <c r="O7" s="451"/>
      <c r="W7" s="452"/>
    </row>
    <row r="8" spans="2:25" ht="14.25" thickBot="1" x14ac:dyDescent="0.3">
      <c r="B8" s="453" t="s">
        <v>366</v>
      </c>
      <c r="C8" s="454" t="s">
        <v>367</v>
      </c>
      <c r="D8" s="454" t="s">
        <v>368</v>
      </c>
      <c r="E8" s="454" t="s">
        <v>369</v>
      </c>
      <c r="F8" s="454" t="s">
        <v>370</v>
      </c>
      <c r="G8" s="454" t="s">
        <v>371</v>
      </c>
      <c r="H8" s="454" t="s">
        <v>372</v>
      </c>
      <c r="I8" s="454" t="s">
        <v>373</v>
      </c>
      <c r="J8" s="454" t="s">
        <v>374</v>
      </c>
      <c r="K8" s="455" t="s">
        <v>77</v>
      </c>
      <c r="L8" s="455" t="s">
        <v>78</v>
      </c>
      <c r="M8" s="455" t="s">
        <v>375</v>
      </c>
      <c r="N8" s="455" t="s">
        <v>376</v>
      </c>
      <c r="O8" s="455" t="s">
        <v>377</v>
      </c>
      <c r="P8" s="454" t="s">
        <v>378</v>
      </c>
      <c r="Q8" s="454" t="s">
        <v>379</v>
      </c>
      <c r="R8" s="454" t="s">
        <v>380</v>
      </c>
      <c r="S8" s="454" t="s">
        <v>381</v>
      </c>
      <c r="T8" s="456" t="s">
        <v>138</v>
      </c>
      <c r="U8" s="457" t="s">
        <v>382</v>
      </c>
      <c r="W8" s="444" t="s">
        <v>371</v>
      </c>
      <c r="Y8" s="445" t="s">
        <v>383</v>
      </c>
    </row>
    <row r="9" spans="2:25" x14ac:dyDescent="0.25">
      <c r="B9" s="458" t="s">
        <v>509</v>
      </c>
      <c r="C9" s="459"/>
      <c r="D9" s="459">
        <v>1</v>
      </c>
      <c r="E9" s="460">
        <v>25000000</v>
      </c>
      <c r="F9" s="460">
        <f>0.85*E9</f>
        <v>21250000</v>
      </c>
      <c r="G9" s="460">
        <v>23500000</v>
      </c>
      <c r="H9" s="460">
        <f t="shared" ref="H9:H33" si="0">E9-F9</f>
        <v>3750000</v>
      </c>
      <c r="I9" s="460">
        <f t="shared" ref="I9:I33" si="1">G9-F9</f>
        <v>2250000</v>
      </c>
      <c r="J9" s="461" t="s">
        <v>388</v>
      </c>
      <c r="K9" s="462" t="s">
        <v>385</v>
      </c>
      <c r="L9" s="462" t="s">
        <v>385</v>
      </c>
      <c r="M9" s="462" t="s">
        <v>385</v>
      </c>
      <c r="N9" s="462" t="s">
        <v>385</v>
      </c>
      <c r="O9" s="462" t="s">
        <v>385</v>
      </c>
      <c r="P9" s="463" t="s">
        <v>411</v>
      </c>
      <c r="Q9" s="463" t="s">
        <v>390</v>
      </c>
      <c r="R9" s="463" t="s">
        <v>390</v>
      </c>
      <c r="S9" s="463" t="s">
        <v>390</v>
      </c>
      <c r="T9" s="464" t="s">
        <v>390</v>
      </c>
      <c r="U9" s="465"/>
      <c r="W9" s="444"/>
      <c r="Y9" s="445"/>
    </row>
    <row r="10" spans="2:25" x14ac:dyDescent="0.25">
      <c r="B10" s="458" t="s">
        <v>795</v>
      </c>
      <c r="C10" s="459"/>
      <c r="D10" s="459"/>
      <c r="E10" s="460">
        <v>2000000</v>
      </c>
      <c r="F10" s="460">
        <v>0</v>
      </c>
      <c r="G10" s="460">
        <f>250000*4</f>
        <v>1000000</v>
      </c>
      <c r="H10" s="460">
        <f t="shared" si="0"/>
        <v>2000000</v>
      </c>
      <c r="I10" s="460">
        <f t="shared" si="1"/>
        <v>1000000</v>
      </c>
      <c r="J10" s="466" t="s">
        <v>388</v>
      </c>
      <c r="K10" s="462" t="s">
        <v>510</v>
      </c>
      <c r="L10" s="462" t="s">
        <v>510</v>
      </c>
      <c r="M10" s="462" t="s">
        <v>510</v>
      </c>
      <c r="N10" s="462" t="s">
        <v>510</v>
      </c>
      <c r="O10" s="467" t="s">
        <v>399</v>
      </c>
      <c r="P10" s="463" t="s">
        <v>411</v>
      </c>
      <c r="Q10" s="463" t="s">
        <v>390</v>
      </c>
      <c r="R10" s="463" t="s">
        <v>390</v>
      </c>
      <c r="S10" s="463" t="s">
        <v>390</v>
      </c>
      <c r="T10" s="464" t="s">
        <v>390</v>
      </c>
      <c r="U10" s="465">
        <v>2020</v>
      </c>
      <c r="W10" s="444"/>
      <c r="Y10" s="445"/>
    </row>
    <row r="11" spans="2:25" x14ac:dyDescent="0.25">
      <c r="B11" s="468" t="s">
        <v>511</v>
      </c>
      <c r="C11" s="459">
        <v>182</v>
      </c>
      <c r="D11" s="459">
        <v>9</v>
      </c>
      <c r="E11" s="460">
        <f>8961*C11*1.21</f>
        <v>1973391.42</v>
      </c>
      <c r="F11" s="460">
        <v>0</v>
      </c>
      <c r="G11" s="460">
        <v>450000</v>
      </c>
      <c r="H11" s="460">
        <f t="shared" si="0"/>
        <v>1973391.42</v>
      </c>
      <c r="I11" s="460">
        <f t="shared" si="1"/>
        <v>450000</v>
      </c>
      <c r="J11" s="466" t="s">
        <v>388</v>
      </c>
      <c r="K11" s="462" t="s">
        <v>385</v>
      </c>
      <c r="L11" s="462" t="s">
        <v>385</v>
      </c>
      <c r="M11" s="462" t="s">
        <v>385</v>
      </c>
      <c r="N11" s="467" t="s">
        <v>399</v>
      </c>
      <c r="O11" s="462" t="s">
        <v>385</v>
      </c>
      <c r="P11" s="463" t="s">
        <v>411</v>
      </c>
      <c r="Q11" s="463" t="s">
        <v>390</v>
      </c>
      <c r="R11" s="463" t="s">
        <v>390</v>
      </c>
      <c r="S11" s="463" t="s">
        <v>390</v>
      </c>
      <c r="T11" s="464" t="s">
        <v>390</v>
      </c>
      <c r="U11" s="465">
        <v>2020</v>
      </c>
      <c r="W11" s="444"/>
      <c r="Y11" s="445"/>
    </row>
    <row r="12" spans="2:25" x14ac:dyDescent="0.25">
      <c r="B12" s="469" t="s">
        <v>512</v>
      </c>
      <c r="C12" s="459">
        <v>356</v>
      </c>
      <c r="D12" s="459">
        <v>11</v>
      </c>
      <c r="E12" s="460">
        <f>12540*1.21*C12</f>
        <v>5401730.3999999994</v>
      </c>
      <c r="F12" s="460">
        <v>0</v>
      </c>
      <c r="G12" s="460">
        <v>900000</v>
      </c>
      <c r="H12" s="460">
        <f t="shared" si="0"/>
        <v>5401730.3999999994</v>
      </c>
      <c r="I12" s="470">
        <f t="shared" si="1"/>
        <v>900000</v>
      </c>
      <c r="J12" s="466" t="s">
        <v>388</v>
      </c>
      <c r="K12" s="462" t="s">
        <v>385</v>
      </c>
      <c r="L12" s="462" t="s">
        <v>385</v>
      </c>
      <c r="M12" s="462" t="s">
        <v>385</v>
      </c>
      <c r="N12" s="467" t="s">
        <v>399</v>
      </c>
      <c r="O12" s="462" t="s">
        <v>385</v>
      </c>
      <c r="P12" s="463" t="s">
        <v>411</v>
      </c>
      <c r="Q12" s="463" t="s">
        <v>390</v>
      </c>
      <c r="R12" s="463" t="s">
        <v>390</v>
      </c>
      <c r="S12" s="463" t="s">
        <v>390</v>
      </c>
      <c r="T12" s="464" t="s">
        <v>390</v>
      </c>
      <c r="U12" s="465"/>
      <c r="W12" s="444"/>
      <c r="Y12" s="445"/>
    </row>
    <row r="13" spans="2:25" s="871" customFormat="1" x14ac:dyDescent="0.25">
      <c r="B13" s="872" t="s">
        <v>513</v>
      </c>
      <c r="C13" s="873">
        <v>220</v>
      </c>
      <c r="D13" s="873">
        <v>15</v>
      </c>
      <c r="E13" s="874">
        <f>8430*1.21*C13</f>
        <v>2244066</v>
      </c>
      <c r="F13" s="874">
        <v>0</v>
      </c>
      <c r="G13" s="874">
        <v>500000</v>
      </c>
      <c r="H13" s="874">
        <f t="shared" si="0"/>
        <v>2244066</v>
      </c>
      <c r="I13" s="875">
        <f t="shared" si="1"/>
        <v>500000</v>
      </c>
      <c r="J13" s="484" t="s">
        <v>388</v>
      </c>
      <c r="K13" s="876" t="s">
        <v>385</v>
      </c>
      <c r="L13" s="876" t="s">
        <v>385</v>
      </c>
      <c r="M13" s="876" t="s">
        <v>385</v>
      </c>
      <c r="N13" s="467" t="s">
        <v>399</v>
      </c>
      <c r="O13" s="876" t="s">
        <v>385</v>
      </c>
      <c r="P13" s="463" t="s">
        <v>411</v>
      </c>
      <c r="Q13" s="463" t="s">
        <v>390</v>
      </c>
      <c r="R13" s="463" t="s">
        <v>390</v>
      </c>
      <c r="S13" s="463" t="s">
        <v>390</v>
      </c>
      <c r="T13" s="464" t="s">
        <v>390</v>
      </c>
      <c r="U13" s="877"/>
      <c r="W13" s="878"/>
      <c r="Y13" s="879"/>
    </row>
    <row r="14" spans="2:25" x14ac:dyDescent="0.25">
      <c r="B14" s="469" t="s">
        <v>514</v>
      </c>
      <c r="C14" s="459">
        <v>169</v>
      </c>
      <c r="D14" s="459">
        <v>16</v>
      </c>
      <c r="E14" s="460">
        <f>9150*C14*1.21</f>
        <v>1871083.5</v>
      </c>
      <c r="F14" s="460">
        <v>0</v>
      </c>
      <c r="G14" s="460">
        <v>415000</v>
      </c>
      <c r="H14" s="460">
        <f t="shared" si="0"/>
        <v>1871083.5</v>
      </c>
      <c r="I14" s="460">
        <f t="shared" si="1"/>
        <v>415000</v>
      </c>
      <c r="J14" s="466" t="s">
        <v>388</v>
      </c>
      <c r="K14" s="462" t="s">
        <v>385</v>
      </c>
      <c r="L14" s="462" t="s">
        <v>385</v>
      </c>
      <c r="M14" s="462" t="s">
        <v>385</v>
      </c>
      <c r="N14" s="467" t="s">
        <v>399</v>
      </c>
      <c r="O14" s="462" t="s">
        <v>385</v>
      </c>
      <c r="P14" s="463" t="s">
        <v>411</v>
      </c>
      <c r="Q14" s="463" t="s">
        <v>390</v>
      </c>
      <c r="R14" s="463" t="s">
        <v>390</v>
      </c>
      <c r="S14" s="463" t="s">
        <v>390</v>
      </c>
      <c r="T14" s="464" t="s">
        <v>390</v>
      </c>
      <c r="U14" s="465">
        <v>2022</v>
      </c>
      <c r="W14" s="444"/>
      <c r="Y14" s="445"/>
    </row>
    <row r="15" spans="2:25" x14ac:dyDescent="0.25">
      <c r="B15" s="469" t="s">
        <v>515</v>
      </c>
      <c r="C15" s="459">
        <v>416</v>
      </c>
      <c r="D15" s="459">
        <v>10</v>
      </c>
      <c r="E15" s="460">
        <f>11310*1.21*C15</f>
        <v>5693001.6000000006</v>
      </c>
      <c r="F15" s="460">
        <v>0</v>
      </c>
      <c r="G15" s="460">
        <v>370000</v>
      </c>
      <c r="H15" s="460">
        <f t="shared" si="0"/>
        <v>5693001.6000000006</v>
      </c>
      <c r="I15" s="470">
        <f t="shared" si="1"/>
        <v>370000</v>
      </c>
      <c r="J15" s="466" t="s">
        <v>388</v>
      </c>
      <c r="K15" s="462" t="s">
        <v>385</v>
      </c>
      <c r="L15" s="462" t="s">
        <v>385</v>
      </c>
      <c r="M15" s="462" t="s">
        <v>385</v>
      </c>
      <c r="N15" s="467" t="s">
        <v>399</v>
      </c>
      <c r="O15" s="462" t="s">
        <v>385</v>
      </c>
      <c r="P15" s="463" t="s">
        <v>411</v>
      </c>
      <c r="Q15" s="463" t="s">
        <v>390</v>
      </c>
      <c r="R15" s="463" t="s">
        <v>390</v>
      </c>
      <c r="S15" s="463" t="s">
        <v>390</v>
      </c>
      <c r="T15" s="464" t="s">
        <v>390</v>
      </c>
      <c r="U15" s="465"/>
      <c r="W15" s="444"/>
      <c r="Y15" s="445"/>
    </row>
    <row r="16" spans="2:25" x14ac:dyDescent="0.25">
      <c r="B16" s="469" t="s">
        <v>516</v>
      </c>
      <c r="C16" s="459">
        <v>265</v>
      </c>
      <c r="D16" s="459">
        <v>7</v>
      </c>
      <c r="E16" s="460">
        <f>5490*1.21*C16</f>
        <v>1760368.5</v>
      </c>
      <c r="F16" s="460">
        <v>0</v>
      </c>
      <c r="G16" s="460">
        <v>180000</v>
      </c>
      <c r="H16" s="460">
        <f t="shared" si="0"/>
        <v>1760368.5</v>
      </c>
      <c r="I16" s="470">
        <f t="shared" si="1"/>
        <v>180000</v>
      </c>
      <c r="J16" s="466" t="s">
        <v>388</v>
      </c>
      <c r="K16" s="462" t="s">
        <v>385</v>
      </c>
      <c r="L16" s="462" t="s">
        <v>385</v>
      </c>
      <c r="M16" s="462" t="s">
        <v>385</v>
      </c>
      <c r="N16" s="467" t="s">
        <v>399</v>
      </c>
      <c r="O16" s="462" t="s">
        <v>385</v>
      </c>
      <c r="P16" s="463" t="s">
        <v>411</v>
      </c>
      <c r="Q16" s="463" t="s">
        <v>390</v>
      </c>
      <c r="R16" s="463" t="s">
        <v>390</v>
      </c>
      <c r="S16" s="463" t="s">
        <v>390</v>
      </c>
      <c r="T16" s="464" t="s">
        <v>390</v>
      </c>
      <c r="U16" s="465"/>
      <c r="W16" s="444"/>
      <c r="Y16" s="445"/>
    </row>
    <row r="17" spans="2:25" x14ac:dyDescent="0.25">
      <c r="B17" s="468" t="s">
        <v>517</v>
      </c>
      <c r="C17" s="459">
        <v>181</v>
      </c>
      <c r="D17" s="459">
        <v>10</v>
      </c>
      <c r="E17" s="460">
        <f>11310*1.21*C17</f>
        <v>2477003.1</v>
      </c>
      <c r="F17" s="460">
        <v>0</v>
      </c>
      <c r="G17" s="460">
        <v>550000</v>
      </c>
      <c r="H17" s="460">
        <f t="shared" si="0"/>
        <v>2477003.1</v>
      </c>
      <c r="I17" s="460">
        <f t="shared" si="1"/>
        <v>550000</v>
      </c>
      <c r="J17" s="466" t="s">
        <v>388</v>
      </c>
      <c r="K17" s="462" t="s">
        <v>385</v>
      </c>
      <c r="L17" s="462" t="s">
        <v>385</v>
      </c>
      <c r="M17" s="462" t="s">
        <v>385</v>
      </c>
      <c r="N17" s="467" t="s">
        <v>399</v>
      </c>
      <c r="O17" s="462" t="s">
        <v>385</v>
      </c>
      <c r="P17" s="463" t="s">
        <v>411</v>
      </c>
      <c r="Q17" s="463" t="s">
        <v>390</v>
      </c>
      <c r="R17" s="463" t="s">
        <v>390</v>
      </c>
      <c r="S17" s="463" t="s">
        <v>390</v>
      </c>
      <c r="T17" s="464" t="s">
        <v>390</v>
      </c>
      <c r="U17" s="465">
        <v>2020</v>
      </c>
      <c r="W17" s="444"/>
      <c r="Y17" s="445"/>
    </row>
    <row r="18" spans="2:25" x14ac:dyDescent="0.25">
      <c r="B18" s="471" t="s">
        <v>518</v>
      </c>
      <c r="C18" s="472">
        <v>363</v>
      </c>
      <c r="D18" s="472">
        <v>10</v>
      </c>
      <c r="E18" s="473">
        <f>11310*1.21*C18</f>
        <v>4967691.3</v>
      </c>
      <c r="F18" s="473">
        <v>0</v>
      </c>
      <c r="G18" s="473">
        <v>820000</v>
      </c>
      <c r="H18" s="473">
        <f t="shared" si="0"/>
        <v>4967691.3</v>
      </c>
      <c r="I18" s="473">
        <f t="shared" si="1"/>
        <v>820000</v>
      </c>
      <c r="J18" s="474" t="s">
        <v>388</v>
      </c>
      <c r="K18" s="475" t="s">
        <v>399</v>
      </c>
      <c r="L18" s="476" t="s">
        <v>385</v>
      </c>
      <c r="M18" s="475" t="s">
        <v>399</v>
      </c>
      <c r="N18" s="475" t="s">
        <v>399</v>
      </c>
      <c r="O18" s="476" t="s">
        <v>385</v>
      </c>
      <c r="P18" s="477" t="s">
        <v>411</v>
      </c>
      <c r="Q18" s="477" t="s">
        <v>390</v>
      </c>
      <c r="R18" s="477" t="s">
        <v>390</v>
      </c>
      <c r="S18" s="477" t="s">
        <v>390</v>
      </c>
      <c r="T18" s="478" t="s">
        <v>390</v>
      </c>
      <c r="U18" s="479">
        <v>2022</v>
      </c>
      <c r="W18" s="444"/>
      <c r="Y18" s="445"/>
    </row>
    <row r="19" spans="2:25" x14ac:dyDescent="0.25">
      <c r="B19" s="471" t="s">
        <v>519</v>
      </c>
      <c r="C19" s="472">
        <v>91</v>
      </c>
      <c r="D19" s="472">
        <v>12</v>
      </c>
      <c r="E19" s="473">
        <f>C19*1.21*12900</f>
        <v>1420419</v>
      </c>
      <c r="F19" s="473">
        <v>0</v>
      </c>
      <c r="G19" s="473">
        <v>245000</v>
      </c>
      <c r="H19" s="473">
        <f t="shared" si="0"/>
        <v>1420419</v>
      </c>
      <c r="I19" s="473">
        <f t="shared" si="1"/>
        <v>245000</v>
      </c>
      <c r="J19" s="474" t="s">
        <v>388</v>
      </c>
      <c r="K19" s="476" t="s">
        <v>385</v>
      </c>
      <c r="L19" s="476" t="s">
        <v>385</v>
      </c>
      <c r="M19" s="476" t="s">
        <v>385</v>
      </c>
      <c r="N19" s="475" t="s">
        <v>399</v>
      </c>
      <c r="O19" s="476" t="s">
        <v>385</v>
      </c>
      <c r="P19" s="477" t="s">
        <v>411</v>
      </c>
      <c r="Q19" s="477" t="s">
        <v>390</v>
      </c>
      <c r="R19" s="477" t="s">
        <v>390</v>
      </c>
      <c r="S19" s="477" t="s">
        <v>390</v>
      </c>
      <c r="T19" s="478" t="s">
        <v>390</v>
      </c>
      <c r="U19" s="479">
        <v>2022</v>
      </c>
      <c r="W19" s="444"/>
      <c r="Y19" s="445"/>
    </row>
    <row r="20" spans="2:25" x14ac:dyDescent="0.25">
      <c r="B20" s="468" t="s">
        <v>520</v>
      </c>
      <c r="C20" s="459">
        <v>176</v>
      </c>
      <c r="D20" s="459">
        <v>17</v>
      </c>
      <c r="E20" s="460">
        <f>10490*C20*1.21</f>
        <v>2233950.4</v>
      </c>
      <c r="F20" s="460">
        <v>0</v>
      </c>
      <c r="G20" s="460">
        <v>550000</v>
      </c>
      <c r="H20" s="460">
        <f t="shared" si="0"/>
        <v>2233950.4</v>
      </c>
      <c r="I20" s="460">
        <f t="shared" si="1"/>
        <v>550000</v>
      </c>
      <c r="J20" s="466" t="s">
        <v>388</v>
      </c>
      <c r="K20" s="462" t="s">
        <v>385</v>
      </c>
      <c r="L20" s="462" t="s">
        <v>385</v>
      </c>
      <c r="M20" s="462" t="s">
        <v>385</v>
      </c>
      <c r="N20" s="467" t="s">
        <v>399</v>
      </c>
      <c r="O20" s="462" t="s">
        <v>385</v>
      </c>
      <c r="P20" s="463" t="s">
        <v>411</v>
      </c>
      <c r="Q20" s="463" t="s">
        <v>390</v>
      </c>
      <c r="R20" s="463" t="s">
        <v>390</v>
      </c>
      <c r="S20" s="463" t="s">
        <v>390</v>
      </c>
      <c r="T20" s="464" t="s">
        <v>390</v>
      </c>
      <c r="U20" s="465">
        <v>2020</v>
      </c>
      <c r="W20" s="444"/>
      <c r="Y20" s="445"/>
    </row>
    <row r="21" spans="2:25" x14ac:dyDescent="0.25">
      <c r="B21" s="469" t="s">
        <v>521</v>
      </c>
      <c r="C21" s="459">
        <v>100</v>
      </c>
      <c r="D21" s="459">
        <v>16</v>
      </c>
      <c r="E21" s="460">
        <f>9150*C21*1.21</f>
        <v>1107150</v>
      </c>
      <c r="F21" s="460">
        <v>0</v>
      </c>
      <c r="G21" s="460">
        <v>211000</v>
      </c>
      <c r="H21" s="460">
        <f>E21-F21</f>
        <v>1107150</v>
      </c>
      <c r="I21" s="470">
        <f t="shared" si="1"/>
        <v>211000</v>
      </c>
      <c r="J21" s="466" t="s">
        <v>388</v>
      </c>
      <c r="K21" s="462" t="s">
        <v>385</v>
      </c>
      <c r="L21" s="462" t="s">
        <v>385</v>
      </c>
      <c r="M21" s="462" t="s">
        <v>385</v>
      </c>
      <c r="N21" s="467" t="s">
        <v>399</v>
      </c>
      <c r="O21" s="462" t="s">
        <v>385</v>
      </c>
      <c r="P21" s="463" t="s">
        <v>411</v>
      </c>
      <c r="Q21" s="463" t="s">
        <v>390</v>
      </c>
      <c r="R21" s="463" t="s">
        <v>390</v>
      </c>
      <c r="S21" s="463" t="s">
        <v>390</v>
      </c>
      <c r="T21" s="464" t="s">
        <v>390</v>
      </c>
      <c r="U21" s="465"/>
      <c r="W21" s="444"/>
      <c r="Y21" s="445"/>
    </row>
    <row r="22" spans="2:25" x14ac:dyDescent="0.25">
      <c r="B22" s="471" t="s">
        <v>402</v>
      </c>
      <c r="C22" s="472">
        <v>372</v>
      </c>
      <c r="D22" s="472">
        <v>12</v>
      </c>
      <c r="E22" s="473">
        <v>8400000</v>
      </c>
      <c r="F22" s="473">
        <v>0</v>
      </c>
      <c r="G22" s="473">
        <v>1380000</v>
      </c>
      <c r="H22" s="470">
        <f>E22-F22</f>
        <v>8400000</v>
      </c>
      <c r="I22" s="473">
        <f t="shared" si="1"/>
        <v>1380000</v>
      </c>
      <c r="J22" s="474" t="s">
        <v>388</v>
      </c>
      <c r="K22" s="476" t="s">
        <v>385</v>
      </c>
      <c r="L22" s="476" t="s">
        <v>385</v>
      </c>
      <c r="M22" s="476" t="s">
        <v>385</v>
      </c>
      <c r="N22" s="475" t="s">
        <v>399</v>
      </c>
      <c r="O22" s="476" t="s">
        <v>385</v>
      </c>
      <c r="P22" s="477" t="s">
        <v>411</v>
      </c>
      <c r="Q22" s="477" t="s">
        <v>390</v>
      </c>
      <c r="R22" s="477" t="s">
        <v>390</v>
      </c>
      <c r="S22" s="477" t="s">
        <v>390</v>
      </c>
      <c r="T22" s="478" t="s">
        <v>390</v>
      </c>
      <c r="U22" s="479">
        <v>2021</v>
      </c>
      <c r="W22" s="444"/>
      <c r="Y22" s="445"/>
    </row>
    <row r="23" spans="2:25" x14ac:dyDescent="0.25">
      <c r="B23" s="480" t="s">
        <v>387</v>
      </c>
      <c r="C23" s="481">
        <v>97</v>
      </c>
      <c r="D23" s="481">
        <v>7</v>
      </c>
      <c r="E23" s="482">
        <v>1400000</v>
      </c>
      <c r="F23" s="460">
        <f t="shared" ref="F23:F34" si="2">0*E23</f>
        <v>0</v>
      </c>
      <c r="G23" s="482">
        <v>1400000</v>
      </c>
      <c r="H23" s="460">
        <f t="shared" si="0"/>
        <v>1400000</v>
      </c>
      <c r="I23" s="460">
        <f t="shared" si="1"/>
        <v>1400000</v>
      </c>
      <c r="J23" s="466" t="s">
        <v>388</v>
      </c>
      <c r="K23" s="483" t="s">
        <v>385</v>
      </c>
      <c r="L23" s="483" t="s">
        <v>385</v>
      </c>
      <c r="M23" s="483" t="s">
        <v>385</v>
      </c>
      <c r="N23" s="483" t="s">
        <v>385</v>
      </c>
      <c r="O23" s="483" t="s">
        <v>385</v>
      </c>
      <c r="P23" s="466" t="s">
        <v>389</v>
      </c>
      <c r="Q23" s="466" t="s">
        <v>386</v>
      </c>
      <c r="R23" s="484" t="s">
        <v>390</v>
      </c>
      <c r="S23" s="484" t="s">
        <v>390</v>
      </c>
      <c r="T23" s="485" t="s">
        <v>390</v>
      </c>
      <c r="U23" s="486">
        <v>2022</v>
      </c>
      <c r="W23" s="444" t="s">
        <v>391</v>
      </c>
      <c r="Y23" s="445" t="s">
        <v>392</v>
      </c>
    </row>
    <row r="24" spans="2:25" x14ac:dyDescent="0.25">
      <c r="B24" s="480" t="s">
        <v>393</v>
      </c>
      <c r="C24" s="481">
        <v>332</v>
      </c>
      <c r="D24" s="481">
        <v>17</v>
      </c>
      <c r="E24" s="482">
        <v>4200000</v>
      </c>
      <c r="F24" s="460">
        <f t="shared" si="2"/>
        <v>0</v>
      </c>
      <c r="G24" s="482">
        <v>1500000</v>
      </c>
      <c r="H24" s="460">
        <f t="shared" si="0"/>
        <v>4200000</v>
      </c>
      <c r="I24" s="470">
        <f t="shared" si="1"/>
        <v>1500000</v>
      </c>
      <c r="J24" s="466" t="s">
        <v>394</v>
      </c>
      <c r="K24" s="483" t="s">
        <v>385</v>
      </c>
      <c r="L24" s="483" t="s">
        <v>385</v>
      </c>
      <c r="M24" s="483" t="s">
        <v>385</v>
      </c>
      <c r="N24" s="483" t="s">
        <v>385</v>
      </c>
      <c r="O24" s="483" t="s">
        <v>385</v>
      </c>
      <c r="P24" s="466" t="s">
        <v>389</v>
      </c>
      <c r="Q24" s="466" t="s">
        <v>386</v>
      </c>
      <c r="R24" s="484" t="s">
        <v>390</v>
      </c>
      <c r="S24" s="484" t="s">
        <v>390</v>
      </c>
      <c r="T24" s="485" t="s">
        <v>390</v>
      </c>
      <c r="U24" s="486">
        <v>2022</v>
      </c>
      <c r="W24" s="444" t="s">
        <v>395</v>
      </c>
      <c r="Y24" s="445" t="s">
        <v>396</v>
      </c>
    </row>
    <row r="25" spans="2:25" x14ac:dyDescent="0.25">
      <c r="B25" s="487" t="s">
        <v>397</v>
      </c>
      <c r="C25" s="488">
        <v>95</v>
      </c>
      <c r="D25" s="488">
        <v>12</v>
      </c>
      <c r="E25" s="489">
        <v>1500000</v>
      </c>
      <c r="F25" s="473">
        <f t="shared" si="2"/>
        <v>0</v>
      </c>
      <c r="G25" s="489">
        <v>500000</v>
      </c>
      <c r="H25" s="473">
        <f t="shared" si="0"/>
        <v>1500000</v>
      </c>
      <c r="I25" s="473">
        <f t="shared" si="1"/>
        <v>500000</v>
      </c>
      <c r="J25" s="474" t="s">
        <v>398</v>
      </c>
      <c r="K25" s="490" t="s">
        <v>385</v>
      </c>
      <c r="L25" s="490" t="s">
        <v>385</v>
      </c>
      <c r="M25" s="490" t="s">
        <v>385</v>
      </c>
      <c r="N25" s="491" t="s">
        <v>399</v>
      </c>
      <c r="O25" s="490" t="s">
        <v>385</v>
      </c>
      <c r="P25" s="474" t="s">
        <v>389</v>
      </c>
      <c r="Q25" s="474" t="s">
        <v>386</v>
      </c>
      <c r="R25" s="492" t="s">
        <v>390</v>
      </c>
      <c r="S25" s="492" t="s">
        <v>390</v>
      </c>
      <c r="T25" s="493" t="s">
        <v>390</v>
      </c>
      <c r="U25" s="494"/>
      <c r="W25" s="444" t="s">
        <v>400</v>
      </c>
      <c r="Y25" s="445" t="s">
        <v>401</v>
      </c>
    </row>
    <row r="26" spans="2:25" x14ac:dyDescent="0.25">
      <c r="B26" s="480" t="s">
        <v>403</v>
      </c>
      <c r="C26" s="481">
        <v>380</v>
      </c>
      <c r="D26" s="481">
        <v>12</v>
      </c>
      <c r="E26" s="482">
        <v>5900000</v>
      </c>
      <c r="F26" s="460">
        <f t="shared" si="2"/>
        <v>0</v>
      </c>
      <c r="G26" s="482">
        <v>370000</v>
      </c>
      <c r="H26" s="470">
        <f t="shared" si="0"/>
        <v>5900000</v>
      </c>
      <c r="I26" s="460">
        <f t="shared" si="1"/>
        <v>370000</v>
      </c>
      <c r="J26" s="466" t="s">
        <v>404</v>
      </c>
      <c r="K26" s="483" t="s">
        <v>385</v>
      </c>
      <c r="L26" s="483" t="s">
        <v>385</v>
      </c>
      <c r="M26" s="483" t="s">
        <v>385</v>
      </c>
      <c r="N26" s="495" t="s">
        <v>399</v>
      </c>
      <c r="O26" s="495" t="s">
        <v>399</v>
      </c>
      <c r="P26" s="466" t="s">
        <v>389</v>
      </c>
      <c r="Q26" s="466" t="s">
        <v>386</v>
      </c>
      <c r="R26" s="484" t="s">
        <v>390</v>
      </c>
      <c r="S26" s="484" t="s">
        <v>390</v>
      </c>
      <c r="T26" s="485" t="s">
        <v>390</v>
      </c>
      <c r="U26" s="486">
        <v>2021</v>
      </c>
      <c r="W26" s="444" t="s">
        <v>138</v>
      </c>
      <c r="Y26" s="445" t="s">
        <v>405</v>
      </c>
    </row>
    <row r="27" spans="2:25" x14ac:dyDescent="0.25">
      <c r="B27" s="487" t="s">
        <v>406</v>
      </c>
      <c r="C27" s="488">
        <v>825</v>
      </c>
      <c r="D27" s="488">
        <v>12</v>
      </c>
      <c r="E27" s="489">
        <v>17000000</v>
      </c>
      <c r="F27" s="473">
        <f t="shared" si="2"/>
        <v>0</v>
      </c>
      <c r="G27" s="489">
        <v>1917000</v>
      </c>
      <c r="H27" s="470">
        <f t="shared" si="0"/>
        <v>17000000</v>
      </c>
      <c r="I27" s="473">
        <f t="shared" si="1"/>
        <v>1917000</v>
      </c>
      <c r="J27" s="474" t="s">
        <v>404</v>
      </c>
      <c r="K27" s="490" t="s">
        <v>385</v>
      </c>
      <c r="L27" s="490" t="s">
        <v>385</v>
      </c>
      <c r="M27" s="490" t="s">
        <v>385</v>
      </c>
      <c r="N27" s="491" t="s">
        <v>407</v>
      </c>
      <c r="O27" s="490" t="s">
        <v>385</v>
      </c>
      <c r="P27" s="474" t="s">
        <v>408</v>
      </c>
      <c r="Q27" s="474" t="s">
        <v>386</v>
      </c>
      <c r="R27" s="474" t="s">
        <v>409</v>
      </c>
      <c r="S27" s="492" t="s">
        <v>390</v>
      </c>
      <c r="T27" s="493" t="s">
        <v>390</v>
      </c>
      <c r="U27" s="494">
        <v>2021</v>
      </c>
    </row>
    <row r="28" spans="2:25" x14ac:dyDescent="0.25">
      <c r="B28" s="487" t="s">
        <v>522</v>
      </c>
      <c r="C28" s="488">
        <v>348</v>
      </c>
      <c r="D28" s="488">
        <v>13</v>
      </c>
      <c r="E28" s="489">
        <f>15940*C28*1.21</f>
        <v>6712015.2000000002</v>
      </c>
      <c r="F28" s="473">
        <f t="shared" si="2"/>
        <v>0</v>
      </c>
      <c r="G28" s="489">
        <v>1250000</v>
      </c>
      <c r="H28" s="473">
        <f>E28-F28</f>
        <v>6712015.2000000002</v>
      </c>
      <c r="I28" s="473">
        <f>G28-F28</f>
        <v>1250000</v>
      </c>
      <c r="J28" s="474" t="s">
        <v>523</v>
      </c>
      <c r="K28" s="490" t="s">
        <v>385</v>
      </c>
      <c r="L28" s="490" t="s">
        <v>385</v>
      </c>
      <c r="M28" s="490" t="s">
        <v>385</v>
      </c>
      <c r="N28" s="491" t="s">
        <v>399</v>
      </c>
      <c r="O28" s="491" t="s">
        <v>399</v>
      </c>
      <c r="P28" s="492" t="s">
        <v>411</v>
      </c>
      <c r="Q28" s="492" t="s">
        <v>390</v>
      </c>
      <c r="R28" s="492" t="s">
        <v>390</v>
      </c>
      <c r="S28" s="492" t="s">
        <v>390</v>
      </c>
      <c r="T28" s="493" t="s">
        <v>390</v>
      </c>
      <c r="U28" s="494">
        <v>2019</v>
      </c>
    </row>
    <row r="29" spans="2:25" x14ac:dyDescent="0.25">
      <c r="B29" s="496" t="s">
        <v>784</v>
      </c>
      <c r="C29" s="481">
        <v>180</v>
      </c>
      <c r="D29" s="481">
        <v>12</v>
      </c>
      <c r="E29" s="460">
        <f>C29*1.21*12900</f>
        <v>2809620</v>
      </c>
      <c r="F29" s="460">
        <f t="shared" si="2"/>
        <v>0</v>
      </c>
      <c r="G29" s="482">
        <v>480000</v>
      </c>
      <c r="H29" s="460">
        <f>E29-F29</f>
        <v>2809620</v>
      </c>
      <c r="I29" s="460">
        <f>G29-F29</f>
        <v>480000</v>
      </c>
      <c r="J29" s="466" t="s">
        <v>388</v>
      </c>
      <c r="K29" s="483" t="s">
        <v>385</v>
      </c>
      <c r="L29" s="483" t="s">
        <v>385</v>
      </c>
      <c r="M29" s="483" t="s">
        <v>385</v>
      </c>
      <c r="N29" s="495" t="s">
        <v>399</v>
      </c>
      <c r="O29" s="495" t="s">
        <v>399</v>
      </c>
      <c r="P29" s="484" t="s">
        <v>411</v>
      </c>
      <c r="Q29" s="484" t="s">
        <v>390</v>
      </c>
      <c r="R29" s="484" t="s">
        <v>390</v>
      </c>
      <c r="S29" s="484" t="s">
        <v>390</v>
      </c>
      <c r="T29" s="485" t="s">
        <v>390</v>
      </c>
      <c r="U29" s="486">
        <v>2020</v>
      </c>
    </row>
    <row r="30" spans="2:25" x14ac:dyDescent="0.25">
      <c r="B30" s="487" t="s">
        <v>524</v>
      </c>
      <c r="C30" s="488">
        <v>172</v>
      </c>
      <c r="D30" s="488">
        <v>12</v>
      </c>
      <c r="E30" s="473">
        <f>C30*1.21*12900</f>
        <v>2684748</v>
      </c>
      <c r="F30" s="473">
        <f t="shared" si="2"/>
        <v>0</v>
      </c>
      <c r="G30" s="489">
        <v>450000</v>
      </c>
      <c r="H30" s="473">
        <f>E30-F30</f>
        <v>2684748</v>
      </c>
      <c r="I30" s="473">
        <f>G30-F30</f>
        <v>450000</v>
      </c>
      <c r="J30" s="474" t="s">
        <v>388</v>
      </c>
      <c r="K30" s="490" t="s">
        <v>385</v>
      </c>
      <c r="L30" s="490" t="s">
        <v>385</v>
      </c>
      <c r="M30" s="490" t="s">
        <v>385</v>
      </c>
      <c r="N30" s="491" t="s">
        <v>399</v>
      </c>
      <c r="O30" s="491" t="s">
        <v>399</v>
      </c>
      <c r="P30" s="492" t="s">
        <v>411</v>
      </c>
      <c r="Q30" s="492" t="s">
        <v>390</v>
      </c>
      <c r="R30" s="492" t="s">
        <v>390</v>
      </c>
      <c r="S30" s="492" t="s">
        <v>390</v>
      </c>
      <c r="T30" s="493" t="s">
        <v>390</v>
      </c>
      <c r="U30" s="494">
        <v>2022</v>
      </c>
    </row>
    <row r="31" spans="2:25" x14ac:dyDescent="0.25">
      <c r="B31" s="487" t="s">
        <v>410</v>
      </c>
      <c r="C31" s="488">
        <v>520</v>
      </c>
      <c r="D31" s="488">
        <v>13</v>
      </c>
      <c r="E31" s="489">
        <v>9800000</v>
      </c>
      <c r="F31" s="473">
        <f t="shared" si="2"/>
        <v>0</v>
      </c>
      <c r="G31" s="489">
        <v>1500000</v>
      </c>
      <c r="H31" s="473">
        <f t="shared" si="0"/>
        <v>9800000</v>
      </c>
      <c r="I31" s="473">
        <f t="shared" si="1"/>
        <v>1500000</v>
      </c>
      <c r="J31" s="474" t="s">
        <v>388</v>
      </c>
      <c r="K31" s="490" t="s">
        <v>385</v>
      </c>
      <c r="L31" s="490" t="s">
        <v>385</v>
      </c>
      <c r="M31" s="490" t="s">
        <v>385</v>
      </c>
      <c r="N31" s="490" t="s">
        <v>385</v>
      </c>
      <c r="O31" s="491" t="s">
        <v>399</v>
      </c>
      <c r="P31" s="492" t="s">
        <v>411</v>
      </c>
      <c r="Q31" s="492" t="s">
        <v>390</v>
      </c>
      <c r="R31" s="492" t="s">
        <v>390</v>
      </c>
      <c r="S31" s="492" t="s">
        <v>390</v>
      </c>
      <c r="T31" s="493" t="s">
        <v>390</v>
      </c>
      <c r="U31" s="494">
        <v>2022</v>
      </c>
    </row>
    <row r="32" spans="2:25" x14ac:dyDescent="0.25">
      <c r="B32" s="480" t="s">
        <v>412</v>
      </c>
      <c r="C32" s="481">
        <v>323</v>
      </c>
      <c r="D32" s="481">
        <v>12</v>
      </c>
      <c r="E32" s="482">
        <v>5000000</v>
      </c>
      <c r="F32" s="460">
        <f t="shared" si="2"/>
        <v>0</v>
      </c>
      <c r="G32" s="482">
        <v>1250000</v>
      </c>
      <c r="H32" s="460">
        <f t="shared" si="0"/>
        <v>5000000</v>
      </c>
      <c r="I32" s="460">
        <f t="shared" si="1"/>
        <v>1250000</v>
      </c>
      <c r="J32" s="466" t="s">
        <v>388</v>
      </c>
      <c r="K32" s="483" t="s">
        <v>385</v>
      </c>
      <c r="L32" s="483" t="s">
        <v>385</v>
      </c>
      <c r="M32" s="483" t="s">
        <v>385</v>
      </c>
      <c r="N32" s="483" t="s">
        <v>385</v>
      </c>
      <c r="O32" s="483" t="s">
        <v>385</v>
      </c>
      <c r="P32" s="484" t="s">
        <v>411</v>
      </c>
      <c r="Q32" s="484" t="s">
        <v>390</v>
      </c>
      <c r="R32" s="484" t="s">
        <v>390</v>
      </c>
      <c r="S32" s="484" t="s">
        <v>390</v>
      </c>
      <c r="T32" s="485" t="s">
        <v>390</v>
      </c>
      <c r="U32" s="486">
        <v>2022</v>
      </c>
    </row>
    <row r="33" spans="2:21" x14ac:dyDescent="0.25">
      <c r="B33" s="480" t="s">
        <v>413</v>
      </c>
      <c r="C33" s="481">
        <v>218</v>
      </c>
      <c r="D33" s="481">
        <v>7</v>
      </c>
      <c r="E33" s="482">
        <v>1450000</v>
      </c>
      <c r="F33" s="460">
        <f t="shared" si="2"/>
        <v>0</v>
      </c>
      <c r="G33" s="482">
        <f>E33</f>
        <v>1450000</v>
      </c>
      <c r="H33" s="460">
        <f t="shared" si="0"/>
        <v>1450000</v>
      </c>
      <c r="I33" s="460">
        <f t="shared" si="1"/>
        <v>1450000</v>
      </c>
      <c r="J33" s="466" t="s">
        <v>388</v>
      </c>
      <c r="K33" s="483" t="s">
        <v>385</v>
      </c>
      <c r="L33" s="483" t="s">
        <v>385</v>
      </c>
      <c r="M33" s="495" t="s">
        <v>414</v>
      </c>
      <c r="N33" s="483" t="s">
        <v>385</v>
      </c>
      <c r="O33" s="483" t="s">
        <v>385</v>
      </c>
      <c r="P33" s="484" t="s">
        <v>411</v>
      </c>
      <c r="Q33" s="484" t="s">
        <v>390</v>
      </c>
      <c r="R33" s="484" t="s">
        <v>390</v>
      </c>
      <c r="S33" s="484" t="s">
        <v>390</v>
      </c>
      <c r="T33" s="485" t="s">
        <v>390</v>
      </c>
      <c r="U33" s="486">
        <v>2022</v>
      </c>
    </row>
    <row r="34" spans="2:21" s="871" customFormat="1" ht="14.25" thickBot="1" x14ac:dyDescent="0.3">
      <c r="B34" s="865" t="s">
        <v>782</v>
      </c>
      <c r="C34" s="866">
        <v>552</v>
      </c>
      <c r="D34" s="866">
        <v>3</v>
      </c>
      <c r="E34" s="867">
        <v>58000000</v>
      </c>
      <c r="F34" s="868">
        <f t="shared" si="2"/>
        <v>0</v>
      </c>
      <c r="G34" s="867">
        <v>58000000</v>
      </c>
      <c r="H34" s="868">
        <v>12655000</v>
      </c>
      <c r="I34" s="868">
        <v>12655000</v>
      </c>
      <c r="J34" s="499" t="s">
        <v>404</v>
      </c>
      <c r="K34" s="869" t="s">
        <v>385</v>
      </c>
      <c r="L34" s="869" t="s">
        <v>385</v>
      </c>
      <c r="M34" s="498" t="s">
        <v>385</v>
      </c>
      <c r="N34" s="869" t="s">
        <v>385</v>
      </c>
      <c r="O34" s="869" t="s">
        <v>385</v>
      </c>
      <c r="P34" s="499"/>
      <c r="Q34" s="499"/>
      <c r="R34" s="499"/>
      <c r="S34" s="499"/>
      <c r="T34" s="500"/>
      <c r="U34" s="870">
        <v>2019</v>
      </c>
    </row>
    <row r="36" spans="2:21" x14ac:dyDescent="0.25">
      <c r="B36" s="444" t="s">
        <v>415</v>
      </c>
      <c r="C36" s="502">
        <f>SUM(C23:C34)</f>
        <v>4042</v>
      </c>
      <c r="E36" s="503">
        <f>SUM(E9:E34)</f>
        <v>183006238.42000002</v>
      </c>
      <c r="F36" s="503">
        <f>SUM(F9:F34)</f>
        <v>21250000</v>
      </c>
      <c r="G36" s="503">
        <f>SUM(G9:G34)</f>
        <v>101138000</v>
      </c>
      <c r="H36" s="503">
        <f>SUM(H9:H34)</f>
        <v>116411238.42</v>
      </c>
      <c r="I36" s="503">
        <f>SUM(I9:I34)</f>
        <v>34543000</v>
      </c>
    </row>
    <row r="37" spans="2:21" ht="14.25" thickBot="1" x14ac:dyDescent="0.3"/>
    <row r="38" spans="2:21" ht="14.25" thickBot="1" x14ac:dyDescent="0.3">
      <c r="B38" s="453" t="s">
        <v>525</v>
      </c>
      <c r="C38" s="454" t="s">
        <v>367</v>
      </c>
      <c r="E38" s="454" t="s">
        <v>369</v>
      </c>
      <c r="F38" s="454" t="s">
        <v>416</v>
      </c>
      <c r="G38" s="454" t="s">
        <v>371</v>
      </c>
      <c r="H38" s="454" t="s">
        <v>372</v>
      </c>
      <c r="I38" s="454" t="s">
        <v>373</v>
      </c>
      <c r="J38" s="454" t="s">
        <v>374</v>
      </c>
      <c r="N38" s="454" t="s">
        <v>378</v>
      </c>
      <c r="O38" s="454" t="s">
        <v>379</v>
      </c>
      <c r="P38" s="454" t="s">
        <v>380</v>
      </c>
      <c r="Q38" s="454" t="s">
        <v>381</v>
      </c>
      <c r="R38" s="504" t="s">
        <v>138</v>
      </c>
      <c r="S38" s="504" t="s">
        <v>382</v>
      </c>
    </row>
    <row r="39" spans="2:21" x14ac:dyDescent="0.25">
      <c r="B39" s="458" t="s">
        <v>526</v>
      </c>
      <c r="C39" s="459">
        <v>500</v>
      </c>
      <c r="E39" s="460">
        <v>6000000</v>
      </c>
      <c r="F39" s="460">
        <v>4200000</v>
      </c>
      <c r="G39" s="460">
        <v>6000000</v>
      </c>
      <c r="H39" s="460">
        <f>E39-F39</f>
        <v>1800000</v>
      </c>
      <c r="I39" s="460">
        <f>H39</f>
        <v>1800000</v>
      </c>
      <c r="J39" s="461" t="s">
        <v>384</v>
      </c>
      <c r="N39" s="505" t="s">
        <v>389</v>
      </c>
      <c r="O39" s="505" t="s">
        <v>386</v>
      </c>
      <c r="P39" s="505" t="s">
        <v>386</v>
      </c>
      <c r="Q39" s="505" t="s">
        <v>386</v>
      </c>
      <c r="R39" s="506" t="s">
        <v>390</v>
      </c>
      <c r="S39" s="506"/>
    </row>
    <row r="40" spans="2:21" x14ac:dyDescent="0.25">
      <c r="B40" s="458" t="s">
        <v>418</v>
      </c>
      <c r="C40" s="459">
        <v>350</v>
      </c>
      <c r="E40" s="460">
        <v>650000</v>
      </c>
      <c r="F40" s="460">
        <v>350000</v>
      </c>
      <c r="G40" s="482">
        <v>650000</v>
      </c>
      <c r="H40" s="482">
        <f>E40-F40</f>
        <v>300000</v>
      </c>
      <c r="I40" s="482">
        <f>H40</f>
        <v>300000</v>
      </c>
      <c r="J40" s="461" t="s">
        <v>388</v>
      </c>
      <c r="N40" s="505" t="s">
        <v>419</v>
      </c>
      <c r="O40" s="505" t="s">
        <v>386</v>
      </c>
      <c r="P40" s="505" t="s">
        <v>390</v>
      </c>
      <c r="Q40" s="505" t="s">
        <v>390</v>
      </c>
      <c r="R40" s="506" t="s">
        <v>390</v>
      </c>
      <c r="S40" s="506"/>
    </row>
    <row r="41" spans="2:21" ht="27" x14ac:dyDescent="0.25">
      <c r="B41" s="471" t="s">
        <v>527</v>
      </c>
      <c r="C41" s="472">
        <v>300</v>
      </c>
      <c r="E41" s="473">
        <v>1500000</v>
      </c>
      <c r="F41" s="473">
        <v>0</v>
      </c>
      <c r="G41" s="489">
        <v>1500000</v>
      </c>
      <c r="H41" s="489">
        <f>E41-F41</f>
        <v>1500000</v>
      </c>
      <c r="I41" s="489">
        <f>H41</f>
        <v>1500000</v>
      </c>
      <c r="J41" s="507" t="s">
        <v>388</v>
      </c>
      <c r="N41" s="505"/>
      <c r="O41" s="505"/>
      <c r="P41" s="505"/>
      <c r="Q41" s="505"/>
      <c r="R41" s="506"/>
      <c r="S41" s="506"/>
    </row>
    <row r="42" spans="2:21" x14ac:dyDescent="0.25">
      <c r="B42" s="508" t="s">
        <v>528</v>
      </c>
      <c r="C42" s="472">
        <v>200</v>
      </c>
      <c r="E42" s="473">
        <v>400000</v>
      </c>
      <c r="F42" s="473">
        <v>0</v>
      </c>
      <c r="G42" s="489">
        <v>400000</v>
      </c>
      <c r="H42" s="489">
        <v>400000</v>
      </c>
      <c r="I42" s="489">
        <v>400000</v>
      </c>
      <c r="J42" s="507" t="s">
        <v>388</v>
      </c>
      <c r="N42" s="505"/>
      <c r="O42" s="505"/>
      <c r="P42" s="505"/>
      <c r="Q42" s="505"/>
      <c r="R42" s="506"/>
      <c r="S42" s="506"/>
    </row>
    <row r="43" spans="2:21" x14ac:dyDescent="0.25">
      <c r="B43" s="458" t="s">
        <v>420</v>
      </c>
      <c r="C43" s="509">
        <v>3000</v>
      </c>
      <c r="E43" s="460">
        <v>7400000</v>
      </c>
      <c r="F43" s="460">
        <f>0.5*E43</f>
        <v>3700000</v>
      </c>
      <c r="G43" s="482">
        <v>500000</v>
      </c>
      <c r="H43" s="482">
        <f t="shared" ref="H43:H48" si="3">E43-F43</f>
        <v>3700000</v>
      </c>
      <c r="I43" s="482">
        <f>G43</f>
        <v>500000</v>
      </c>
      <c r="J43" s="461" t="s">
        <v>388</v>
      </c>
      <c r="N43" s="505" t="s">
        <v>419</v>
      </c>
      <c r="O43" s="505" t="s">
        <v>390</v>
      </c>
      <c r="P43" s="505" t="s">
        <v>390</v>
      </c>
      <c r="Q43" s="505" t="s">
        <v>390</v>
      </c>
      <c r="R43" s="506" t="s">
        <v>390</v>
      </c>
      <c r="S43" s="506"/>
    </row>
    <row r="44" spans="2:21" x14ac:dyDescent="0.25">
      <c r="B44" s="510" t="s">
        <v>421</v>
      </c>
      <c r="C44" s="511">
        <v>100</v>
      </c>
      <c r="E44" s="512">
        <v>12000000</v>
      </c>
      <c r="F44" s="512">
        <f>0.7*E44</f>
        <v>8400000</v>
      </c>
      <c r="G44" s="512">
        <v>12000000</v>
      </c>
      <c r="H44" s="512">
        <f t="shared" si="3"/>
        <v>3600000</v>
      </c>
      <c r="I44" s="512">
        <v>3600000</v>
      </c>
      <c r="J44" s="513" t="s">
        <v>388</v>
      </c>
      <c r="N44" s="514" t="s">
        <v>422</v>
      </c>
      <c r="O44" s="514" t="s">
        <v>390</v>
      </c>
      <c r="P44" s="514" t="s">
        <v>390</v>
      </c>
      <c r="Q44" s="514" t="s">
        <v>390</v>
      </c>
      <c r="R44" s="515" t="s">
        <v>390</v>
      </c>
      <c r="S44" s="515"/>
    </row>
    <row r="45" spans="2:21" ht="27" x14ac:dyDescent="0.25">
      <c r="B45" s="516" t="s">
        <v>529</v>
      </c>
      <c r="C45" s="481">
        <v>800</v>
      </c>
      <c r="E45" s="482">
        <v>2400000</v>
      </c>
      <c r="F45" s="482">
        <v>0</v>
      </c>
      <c r="G45" s="482">
        <v>1200000</v>
      </c>
      <c r="H45" s="482">
        <f t="shared" si="3"/>
        <v>2400000</v>
      </c>
      <c r="I45" s="482">
        <v>1200000</v>
      </c>
      <c r="J45" s="466" t="s">
        <v>388</v>
      </c>
      <c r="N45" s="514"/>
      <c r="O45" s="514"/>
      <c r="P45" s="514"/>
      <c r="Q45" s="514"/>
      <c r="R45" s="515"/>
      <c r="S45" s="515"/>
    </row>
    <row r="46" spans="2:21" x14ac:dyDescent="0.25">
      <c r="B46" s="517" t="s">
        <v>530</v>
      </c>
      <c r="C46" s="518">
        <v>1000</v>
      </c>
      <c r="E46" s="519">
        <v>3000000</v>
      </c>
      <c r="F46" s="519">
        <v>1500000</v>
      </c>
      <c r="G46" s="519">
        <v>1500000</v>
      </c>
      <c r="H46" s="519">
        <f t="shared" si="3"/>
        <v>1500000</v>
      </c>
      <c r="I46" s="519">
        <f>H46</f>
        <v>1500000</v>
      </c>
      <c r="J46" s="514" t="s">
        <v>388</v>
      </c>
      <c r="N46" s="514"/>
      <c r="O46" s="514"/>
      <c r="P46" s="514"/>
      <c r="Q46" s="514"/>
      <c r="R46" s="515"/>
      <c r="S46" s="515"/>
    </row>
    <row r="47" spans="2:21" x14ac:dyDescent="0.25">
      <c r="B47" s="517" t="s">
        <v>423</v>
      </c>
      <c r="C47" s="520">
        <v>0</v>
      </c>
      <c r="E47" s="519">
        <v>3000000</v>
      </c>
      <c r="F47" s="519">
        <f>0.7*E47</f>
        <v>2100000</v>
      </c>
      <c r="G47" s="519">
        <v>3000000</v>
      </c>
      <c r="H47" s="519">
        <f t="shared" si="3"/>
        <v>900000</v>
      </c>
      <c r="I47" s="519">
        <f>H47</f>
        <v>900000</v>
      </c>
      <c r="J47" s="514" t="s">
        <v>388</v>
      </c>
      <c r="N47" s="514" t="s">
        <v>422</v>
      </c>
      <c r="O47" s="514" t="s">
        <v>390</v>
      </c>
      <c r="P47" s="514" t="s">
        <v>390</v>
      </c>
      <c r="Q47" s="514" t="s">
        <v>390</v>
      </c>
      <c r="R47" s="515" t="s">
        <v>390</v>
      </c>
      <c r="S47" s="515"/>
    </row>
    <row r="48" spans="2:21" ht="14.25" thickBot="1" x14ac:dyDescent="0.3">
      <c r="B48" s="521" t="s">
        <v>424</v>
      </c>
      <c r="C48" s="522">
        <v>250</v>
      </c>
      <c r="E48" s="523">
        <v>1400000</v>
      </c>
      <c r="F48" s="523">
        <v>0</v>
      </c>
      <c r="G48" s="524">
        <v>400000</v>
      </c>
      <c r="H48" s="524">
        <f t="shared" si="3"/>
        <v>1400000</v>
      </c>
      <c r="I48" s="524">
        <v>400000</v>
      </c>
      <c r="J48" s="525" t="s">
        <v>398</v>
      </c>
      <c r="N48" s="525" t="s">
        <v>389</v>
      </c>
      <c r="O48" s="525" t="s">
        <v>386</v>
      </c>
      <c r="P48" s="525" t="s">
        <v>390</v>
      </c>
      <c r="Q48" s="525" t="s">
        <v>390</v>
      </c>
      <c r="R48" s="526" t="s">
        <v>390</v>
      </c>
      <c r="S48" s="526"/>
    </row>
    <row r="50" spans="2:19" x14ac:dyDescent="0.25">
      <c r="B50" s="444" t="s">
        <v>415</v>
      </c>
      <c r="C50" s="502">
        <f>SUM(C39:C48)</f>
        <v>6500</v>
      </c>
      <c r="E50" s="503">
        <f>SUM(E39:E48)</f>
        <v>37750000</v>
      </c>
      <c r="F50" s="503">
        <f>SUM(F39:F48)</f>
        <v>20250000</v>
      </c>
      <c r="G50" s="503">
        <f>SUM(G39:G48)</f>
        <v>27150000</v>
      </c>
      <c r="H50" s="503">
        <f>SUM(H39:H48)</f>
        <v>17500000</v>
      </c>
      <c r="I50" s="503">
        <f>SUM(I39:I48)</f>
        <v>12100000</v>
      </c>
    </row>
    <row r="51" spans="2:19" x14ac:dyDescent="0.25">
      <c r="F51" s="503"/>
    </row>
    <row r="52" spans="2:19" ht="14.25" thickBot="1" x14ac:dyDescent="0.3">
      <c r="B52" s="446" t="s">
        <v>425</v>
      </c>
      <c r="F52" s="503"/>
    </row>
    <row r="53" spans="2:19" ht="14.25" thickBot="1" x14ac:dyDescent="0.3">
      <c r="B53" s="457"/>
      <c r="E53" s="453" t="s">
        <v>369</v>
      </c>
      <c r="F53" s="527" t="s">
        <v>426</v>
      </c>
      <c r="G53" s="454" t="s">
        <v>417</v>
      </c>
      <c r="H53" s="454" t="s">
        <v>374</v>
      </c>
      <c r="N53" s="454" t="s">
        <v>378</v>
      </c>
      <c r="O53" s="454" t="s">
        <v>379</v>
      </c>
      <c r="P53" s="454" t="s">
        <v>380</v>
      </c>
      <c r="Q53" s="454" t="s">
        <v>381</v>
      </c>
      <c r="R53" s="504" t="s">
        <v>138</v>
      </c>
      <c r="S53" s="504" t="s">
        <v>382</v>
      </c>
    </row>
    <row r="54" spans="2:19" x14ac:dyDescent="0.25">
      <c r="B54" s="479" t="s">
        <v>427</v>
      </c>
      <c r="E54" s="528">
        <v>7300000</v>
      </c>
      <c r="F54" s="529">
        <f>0.25*E54</f>
        <v>1825000</v>
      </c>
      <c r="G54" s="470">
        <f t="shared" ref="G54:G59" si="4">E54-F54</f>
        <v>5475000</v>
      </c>
      <c r="H54" s="507" t="s">
        <v>384</v>
      </c>
      <c r="N54" s="505" t="s">
        <v>428</v>
      </c>
      <c r="O54" s="505" t="s">
        <v>386</v>
      </c>
      <c r="P54" s="505" t="s">
        <v>386</v>
      </c>
      <c r="Q54" s="505" t="s">
        <v>386</v>
      </c>
      <c r="R54" s="505" t="s">
        <v>386</v>
      </c>
      <c r="S54" s="506"/>
    </row>
    <row r="55" spans="2:19" x14ac:dyDescent="0.25">
      <c r="B55" s="465" t="s">
        <v>429</v>
      </c>
      <c r="E55" s="530">
        <v>8500000</v>
      </c>
      <c r="F55" s="531">
        <f>0.25*E55</f>
        <v>2125000</v>
      </c>
      <c r="G55" s="470">
        <f t="shared" si="4"/>
        <v>6375000</v>
      </c>
      <c r="H55" s="461" t="s">
        <v>388</v>
      </c>
      <c r="N55" s="505" t="s">
        <v>428</v>
      </c>
      <c r="O55" s="505" t="s">
        <v>386</v>
      </c>
      <c r="P55" s="505" t="s">
        <v>386</v>
      </c>
      <c r="Q55" s="505" t="s">
        <v>386</v>
      </c>
      <c r="R55" s="505" t="s">
        <v>386</v>
      </c>
      <c r="S55" s="506"/>
    </row>
    <row r="56" spans="2:19" x14ac:dyDescent="0.25">
      <c r="B56" s="532" t="s">
        <v>430</v>
      </c>
      <c r="E56" s="533">
        <v>12000000</v>
      </c>
      <c r="F56" s="534">
        <f>0.5*E56</f>
        <v>6000000</v>
      </c>
      <c r="G56" s="470">
        <f t="shared" si="4"/>
        <v>6000000</v>
      </c>
      <c r="H56" s="535" t="s">
        <v>388</v>
      </c>
      <c r="N56" s="514" t="s">
        <v>431</v>
      </c>
      <c r="O56" s="514" t="s">
        <v>386</v>
      </c>
      <c r="P56" s="514" t="s">
        <v>386</v>
      </c>
      <c r="Q56" s="514" t="s">
        <v>386</v>
      </c>
      <c r="R56" s="514" t="s">
        <v>386</v>
      </c>
      <c r="S56" s="515"/>
    </row>
    <row r="57" spans="2:19" x14ac:dyDescent="0.25">
      <c r="B57" s="465" t="s">
        <v>432</v>
      </c>
      <c r="E57" s="536">
        <v>4100000</v>
      </c>
      <c r="F57" s="531">
        <f>0.25*E57</f>
        <v>1025000</v>
      </c>
      <c r="G57" s="470">
        <f t="shared" si="4"/>
        <v>3075000</v>
      </c>
      <c r="H57" s="461" t="s">
        <v>388</v>
      </c>
      <c r="N57" s="514" t="s">
        <v>428</v>
      </c>
      <c r="O57" s="514" t="s">
        <v>386</v>
      </c>
      <c r="P57" s="514" t="s">
        <v>386</v>
      </c>
      <c r="Q57" s="514" t="s">
        <v>386</v>
      </c>
      <c r="R57" s="514" t="s">
        <v>386</v>
      </c>
      <c r="S57" s="515"/>
    </row>
    <row r="58" spans="2:19" x14ac:dyDescent="0.25">
      <c r="B58" s="479" t="s">
        <v>433</v>
      </c>
      <c r="E58" s="537">
        <v>2900000</v>
      </c>
      <c r="F58" s="529">
        <f>0.25*E58</f>
        <v>725000</v>
      </c>
      <c r="G58" s="470">
        <f t="shared" si="4"/>
        <v>2175000</v>
      </c>
      <c r="H58" s="507" t="s">
        <v>388</v>
      </c>
      <c r="N58" s="514" t="s">
        <v>428</v>
      </c>
      <c r="O58" s="514" t="s">
        <v>386</v>
      </c>
      <c r="P58" s="514" t="s">
        <v>386</v>
      </c>
      <c r="Q58" s="514" t="s">
        <v>386</v>
      </c>
      <c r="R58" s="514" t="s">
        <v>386</v>
      </c>
      <c r="S58" s="515"/>
    </row>
    <row r="59" spans="2:19" ht="14.25" thickBot="1" x14ac:dyDescent="0.3">
      <c r="B59" s="501" t="s">
        <v>434</v>
      </c>
      <c r="E59" s="538">
        <v>2900000</v>
      </c>
      <c r="F59" s="539">
        <f>0.25*E59</f>
        <v>725000</v>
      </c>
      <c r="G59" s="540">
        <f t="shared" si="4"/>
        <v>2175000</v>
      </c>
      <c r="H59" s="497" t="s">
        <v>388</v>
      </c>
      <c r="N59" s="541" t="s">
        <v>428</v>
      </c>
      <c r="O59" s="525" t="s">
        <v>386</v>
      </c>
      <c r="P59" s="525" t="s">
        <v>386</v>
      </c>
      <c r="Q59" s="525" t="s">
        <v>386</v>
      </c>
      <c r="R59" s="525" t="s">
        <v>386</v>
      </c>
      <c r="S59" s="526"/>
    </row>
    <row r="60" spans="2:19" x14ac:dyDescent="0.25">
      <c r="E60" s="503"/>
      <c r="F60" s="503"/>
      <c r="G60" s="503"/>
    </row>
    <row r="61" spans="2:19" x14ac:dyDescent="0.25">
      <c r="B61" s="444" t="s">
        <v>415</v>
      </c>
      <c r="E61" s="503">
        <f>SUM(E54:E59)</f>
        <v>37700000</v>
      </c>
      <c r="F61" s="503">
        <f>SUM(F54:F59)</f>
        <v>12425000</v>
      </c>
      <c r="G61" s="503">
        <f>SUM(G54:G59)</f>
        <v>25275000</v>
      </c>
      <c r="H61" s="503"/>
      <c r="I61" s="503">
        <f>SUM(N55:N59)</f>
        <v>0</v>
      </c>
    </row>
    <row r="64" spans="2:19" ht="14.25" thickBot="1" x14ac:dyDescent="0.3">
      <c r="B64" s="446" t="s">
        <v>435</v>
      </c>
      <c r="F64" s="503"/>
    </row>
    <row r="65" spans="2:18" ht="14.25" thickBot="1" x14ac:dyDescent="0.3">
      <c r="B65" s="457"/>
      <c r="E65" s="453" t="s">
        <v>369</v>
      </c>
      <c r="F65" s="527" t="s">
        <v>426</v>
      </c>
      <c r="G65" s="527" t="s">
        <v>371</v>
      </c>
      <c r="H65" s="454" t="s">
        <v>372</v>
      </c>
      <c r="I65" s="454" t="s">
        <v>373</v>
      </c>
      <c r="J65" s="504" t="s">
        <v>374</v>
      </c>
      <c r="M65" s="454" t="s">
        <v>378</v>
      </c>
      <c r="N65" s="454" t="s">
        <v>379</v>
      </c>
      <c r="O65" s="454" t="s">
        <v>380</v>
      </c>
      <c r="P65" s="454" t="s">
        <v>381</v>
      </c>
      <c r="Q65" s="504" t="s">
        <v>138</v>
      </c>
      <c r="R65" s="504" t="s">
        <v>382</v>
      </c>
    </row>
    <row r="66" spans="2:18" x14ac:dyDescent="0.25">
      <c r="B66" s="479" t="s">
        <v>436</v>
      </c>
      <c r="E66" s="528">
        <v>24000000</v>
      </c>
      <c r="F66" s="529">
        <f>0.8*E66</f>
        <v>19200000</v>
      </c>
      <c r="G66" s="528">
        <v>24000000</v>
      </c>
      <c r="H66" s="470">
        <f t="shared" ref="H66:H73" si="5">E66-F66</f>
        <v>4800000</v>
      </c>
      <c r="I66" s="473">
        <f t="shared" ref="I66:I73" si="6">G66-F66</f>
        <v>4800000</v>
      </c>
      <c r="J66" s="542" t="s">
        <v>384</v>
      </c>
      <c r="M66" s="505" t="s">
        <v>428</v>
      </c>
      <c r="N66" s="505" t="s">
        <v>386</v>
      </c>
      <c r="O66" s="505" t="s">
        <v>386</v>
      </c>
      <c r="P66" s="505" t="s">
        <v>386</v>
      </c>
      <c r="Q66" s="505" t="s">
        <v>386</v>
      </c>
      <c r="R66" s="506">
        <v>2023</v>
      </c>
    </row>
    <row r="67" spans="2:18" ht="27" x14ac:dyDescent="0.25">
      <c r="B67" s="543" t="s">
        <v>531</v>
      </c>
      <c r="E67" s="530">
        <v>16000000</v>
      </c>
      <c r="F67" s="531">
        <f>0.6*E67</f>
        <v>9600000</v>
      </c>
      <c r="G67" s="530">
        <v>16000000</v>
      </c>
      <c r="H67" s="470">
        <f t="shared" si="5"/>
        <v>6400000</v>
      </c>
      <c r="I67" s="460">
        <f t="shared" si="6"/>
        <v>6400000</v>
      </c>
      <c r="J67" s="544" t="s">
        <v>388</v>
      </c>
      <c r="M67" s="505"/>
      <c r="N67" s="505"/>
      <c r="O67" s="505"/>
      <c r="P67" s="505"/>
      <c r="Q67" s="505"/>
      <c r="R67" s="506">
        <v>2020</v>
      </c>
    </row>
    <row r="68" spans="2:18" x14ac:dyDescent="0.25">
      <c r="B68" s="465" t="s">
        <v>484</v>
      </c>
      <c r="E68" s="530">
        <v>14000000</v>
      </c>
      <c r="F68" s="531">
        <f>0.6*E68</f>
        <v>8400000</v>
      </c>
      <c r="G68" s="530">
        <v>14000000</v>
      </c>
      <c r="H68" s="470">
        <f t="shared" si="5"/>
        <v>5600000</v>
      </c>
      <c r="I68" s="460">
        <f t="shared" si="6"/>
        <v>5600000</v>
      </c>
      <c r="J68" s="544" t="s">
        <v>388</v>
      </c>
      <c r="M68" s="505"/>
      <c r="N68" s="505"/>
      <c r="O68" s="505"/>
      <c r="P68" s="505"/>
      <c r="Q68" s="505"/>
      <c r="R68" s="506">
        <v>2019</v>
      </c>
    </row>
    <row r="69" spans="2:18" x14ac:dyDescent="0.25">
      <c r="B69" s="465" t="s">
        <v>437</v>
      </c>
      <c r="E69" s="530">
        <v>2000000</v>
      </c>
      <c r="F69" s="531">
        <f>0.5*E69</f>
        <v>1000000</v>
      </c>
      <c r="G69" s="530">
        <v>2000000</v>
      </c>
      <c r="H69" s="460">
        <f t="shared" si="5"/>
        <v>1000000</v>
      </c>
      <c r="I69" s="460">
        <f t="shared" si="6"/>
        <v>1000000</v>
      </c>
      <c r="J69" s="544" t="s">
        <v>388</v>
      </c>
      <c r="M69" s="505" t="s">
        <v>438</v>
      </c>
      <c r="N69" s="505" t="s">
        <v>390</v>
      </c>
      <c r="O69" s="505" t="s">
        <v>390</v>
      </c>
      <c r="P69" s="505" t="s">
        <v>390</v>
      </c>
      <c r="Q69" s="505" t="s">
        <v>390</v>
      </c>
      <c r="R69" s="506">
        <v>2020</v>
      </c>
    </row>
    <row r="70" spans="2:18" x14ac:dyDescent="0.25">
      <c r="B70" s="465" t="s">
        <v>796</v>
      </c>
      <c r="E70" s="530">
        <v>800000</v>
      </c>
      <c r="F70" s="531">
        <f>+E70*0.95</f>
        <v>760000</v>
      </c>
      <c r="G70" s="530">
        <v>800000</v>
      </c>
      <c r="H70" s="460">
        <f>+E70-F70</f>
        <v>40000</v>
      </c>
      <c r="I70" s="460">
        <v>40000</v>
      </c>
      <c r="J70" s="544"/>
      <c r="M70" s="505"/>
      <c r="N70" s="505"/>
      <c r="O70" s="505"/>
      <c r="P70" s="505"/>
      <c r="Q70" s="505"/>
      <c r="R70" s="506"/>
    </row>
    <row r="71" spans="2:18" x14ac:dyDescent="0.25">
      <c r="B71" s="545" t="s">
        <v>532</v>
      </c>
      <c r="E71" s="546">
        <v>30000000</v>
      </c>
      <c r="F71" s="534">
        <v>0</v>
      </c>
      <c r="G71" s="546">
        <v>15000000</v>
      </c>
      <c r="H71" s="470">
        <f t="shared" si="5"/>
        <v>30000000</v>
      </c>
      <c r="I71" s="547">
        <f t="shared" si="6"/>
        <v>15000000</v>
      </c>
      <c r="J71" s="548" t="s">
        <v>388</v>
      </c>
      <c r="M71" s="505"/>
      <c r="N71" s="505"/>
      <c r="O71" s="505"/>
      <c r="P71" s="505"/>
      <c r="Q71" s="505"/>
      <c r="R71" s="506">
        <v>2019</v>
      </c>
    </row>
    <row r="72" spans="2:18" ht="27" x14ac:dyDescent="0.25">
      <c r="B72" s="549" t="s">
        <v>533</v>
      </c>
      <c r="E72" s="528">
        <v>8000000</v>
      </c>
      <c r="F72" s="529">
        <v>2500000</v>
      </c>
      <c r="G72" s="528">
        <v>8000000</v>
      </c>
      <c r="H72" s="473">
        <f t="shared" si="5"/>
        <v>5500000</v>
      </c>
      <c r="I72" s="473">
        <f t="shared" si="6"/>
        <v>5500000</v>
      </c>
      <c r="J72" s="542" t="s">
        <v>388</v>
      </c>
      <c r="M72" s="505" t="s">
        <v>428</v>
      </c>
      <c r="N72" s="505" t="s">
        <v>386</v>
      </c>
      <c r="O72" s="505" t="s">
        <v>386</v>
      </c>
      <c r="P72" s="505" t="s">
        <v>386</v>
      </c>
      <c r="Q72" s="505" t="s">
        <v>386</v>
      </c>
      <c r="R72" s="506">
        <v>2020</v>
      </c>
    </row>
    <row r="73" spans="2:18" ht="14.25" thickBot="1" x14ac:dyDescent="0.3">
      <c r="B73" s="550" t="s">
        <v>439</v>
      </c>
      <c r="E73" s="551">
        <v>3000000</v>
      </c>
      <c r="F73" s="552">
        <f>0.5*E73</f>
        <v>1500000</v>
      </c>
      <c r="G73" s="551">
        <v>3000000</v>
      </c>
      <c r="H73" s="523">
        <f t="shared" si="5"/>
        <v>1500000</v>
      </c>
      <c r="I73" s="523">
        <f t="shared" si="6"/>
        <v>1500000</v>
      </c>
      <c r="J73" s="553" t="s">
        <v>388</v>
      </c>
      <c r="M73" s="514" t="s">
        <v>431</v>
      </c>
      <c r="N73" s="514" t="s">
        <v>386</v>
      </c>
      <c r="O73" s="514" t="s">
        <v>386</v>
      </c>
      <c r="P73" s="514" t="s">
        <v>386</v>
      </c>
      <c r="Q73" s="514" t="s">
        <v>386</v>
      </c>
      <c r="R73" s="515">
        <v>2020</v>
      </c>
    </row>
    <row r="74" spans="2:18" x14ac:dyDescent="0.25">
      <c r="E74" s="503"/>
      <c r="F74" s="503"/>
      <c r="G74" s="503"/>
      <c r="H74" s="503"/>
      <c r="I74" s="503"/>
    </row>
    <row r="75" spans="2:18" x14ac:dyDescent="0.25">
      <c r="B75" s="444" t="s">
        <v>415</v>
      </c>
      <c r="E75" s="503">
        <f>SUM(E66:E73)</f>
        <v>97800000</v>
      </c>
      <c r="F75" s="503">
        <f>SUM(F66:F73)</f>
        <v>42960000</v>
      </c>
      <c r="G75" s="503">
        <f>SUM(G66:G73)</f>
        <v>82800000</v>
      </c>
      <c r="H75" s="503">
        <f>SUM(H66:H73)</f>
        <v>54840000</v>
      </c>
      <c r="I75" s="503">
        <f>SUM(I66:I73)</f>
        <v>39840000</v>
      </c>
      <c r="J75" s="503"/>
    </row>
    <row r="77" spans="2:18" hidden="1" x14ac:dyDescent="0.25"/>
    <row r="78" spans="2:18" ht="14.25" thickBot="1" x14ac:dyDescent="0.3">
      <c r="B78" s="446" t="s">
        <v>440</v>
      </c>
      <c r="F78" s="503"/>
    </row>
    <row r="79" spans="2:18" ht="14.25" thickBot="1" x14ac:dyDescent="0.3">
      <c r="B79" s="457"/>
      <c r="E79" s="453" t="s">
        <v>369</v>
      </c>
      <c r="F79" s="527" t="s">
        <v>426</v>
      </c>
      <c r="G79" s="454" t="s">
        <v>417</v>
      </c>
      <c r="H79" s="504" t="s">
        <v>374</v>
      </c>
      <c r="M79" s="454" t="s">
        <v>378</v>
      </c>
      <c r="N79" s="454" t="s">
        <v>379</v>
      </c>
      <c r="O79" s="454" t="s">
        <v>380</v>
      </c>
      <c r="P79" s="454" t="s">
        <v>381</v>
      </c>
      <c r="Q79" s="504" t="s">
        <v>138</v>
      </c>
      <c r="R79" s="504" t="s">
        <v>382</v>
      </c>
    </row>
    <row r="80" spans="2:18" x14ac:dyDescent="0.25">
      <c r="B80" s="479" t="s">
        <v>720</v>
      </c>
      <c r="E80" s="528">
        <v>23000000</v>
      </c>
      <c r="F80" s="529"/>
      <c r="G80" s="473">
        <v>2000000</v>
      </c>
      <c r="H80" s="542" t="s">
        <v>388</v>
      </c>
      <c r="M80" s="505"/>
      <c r="N80" s="505"/>
      <c r="O80" s="505"/>
      <c r="P80" s="505"/>
      <c r="Q80" s="505"/>
      <c r="R80" s="506">
        <v>2020</v>
      </c>
    </row>
    <row r="81" spans="2:18" x14ac:dyDescent="0.25">
      <c r="B81" s="465" t="s">
        <v>441</v>
      </c>
      <c r="E81" s="530">
        <v>1600000</v>
      </c>
      <c r="F81" s="531">
        <v>0</v>
      </c>
      <c r="G81" s="470">
        <f t="shared" ref="G81:G88" si="7">E81-F81</f>
        <v>1600000</v>
      </c>
      <c r="H81" s="544" t="s">
        <v>388</v>
      </c>
      <c r="M81" s="505" t="s">
        <v>428</v>
      </c>
      <c r="N81" s="505" t="s">
        <v>386</v>
      </c>
      <c r="O81" s="505" t="s">
        <v>386</v>
      </c>
      <c r="P81" s="505" t="s">
        <v>386</v>
      </c>
      <c r="Q81" s="505" t="s">
        <v>386</v>
      </c>
      <c r="R81" s="506">
        <v>2020</v>
      </c>
    </row>
    <row r="82" spans="2:18" x14ac:dyDescent="0.25">
      <c r="B82" s="479" t="s">
        <v>442</v>
      </c>
      <c r="E82" s="528">
        <v>18000000</v>
      </c>
      <c r="F82" s="529">
        <f>0.5*E82</f>
        <v>9000000</v>
      </c>
      <c r="G82" s="473">
        <f t="shared" si="7"/>
        <v>9000000</v>
      </c>
      <c r="H82" s="542" t="s">
        <v>388</v>
      </c>
      <c r="M82" s="505" t="s">
        <v>428</v>
      </c>
      <c r="N82" s="505" t="s">
        <v>390</v>
      </c>
      <c r="O82" s="505" t="s">
        <v>390</v>
      </c>
      <c r="P82" s="505" t="s">
        <v>390</v>
      </c>
      <c r="Q82" s="505" t="s">
        <v>390</v>
      </c>
      <c r="R82" s="506">
        <v>2020</v>
      </c>
    </row>
    <row r="83" spans="2:18" ht="27" x14ac:dyDescent="0.25">
      <c r="B83" s="554" t="s">
        <v>534</v>
      </c>
      <c r="E83" s="555"/>
      <c r="F83" s="556"/>
      <c r="G83" s="557">
        <v>3500000</v>
      </c>
      <c r="H83" s="506" t="s">
        <v>388</v>
      </c>
      <c r="M83" s="505"/>
      <c r="N83" s="505"/>
      <c r="O83" s="505"/>
      <c r="P83" s="505"/>
      <c r="Q83" s="505"/>
      <c r="R83" s="506">
        <v>2020</v>
      </c>
    </row>
    <row r="84" spans="2:18" x14ac:dyDescent="0.25">
      <c r="B84" s="479" t="s">
        <v>535</v>
      </c>
      <c r="E84" s="528">
        <v>450000000</v>
      </c>
      <c r="F84" s="529">
        <f>0.85*E84</f>
        <v>382500000</v>
      </c>
      <c r="G84" s="473">
        <f t="shared" si="7"/>
        <v>67500000</v>
      </c>
      <c r="H84" s="542" t="s">
        <v>536</v>
      </c>
      <c r="M84" s="505"/>
      <c r="N84" s="505"/>
      <c r="O84" s="505"/>
      <c r="P84" s="505"/>
      <c r="Q84" s="505"/>
      <c r="R84" s="506">
        <v>2020</v>
      </c>
    </row>
    <row r="85" spans="2:18" x14ac:dyDescent="0.25">
      <c r="B85" s="479" t="s">
        <v>443</v>
      </c>
      <c r="E85" s="528">
        <v>8500000</v>
      </c>
      <c r="F85" s="529">
        <v>3500000</v>
      </c>
      <c r="G85" s="473">
        <f>E85-F85</f>
        <v>5000000</v>
      </c>
      <c r="H85" s="542" t="s">
        <v>388</v>
      </c>
      <c r="M85" s="505"/>
      <c r="N85" s="505"/>
      <c r="O85" s="505"/>
      <c r="P85" s="505"/>
      <c r="Q85" s="505"/>
      <c r="R85" s="506">
        <v>2021</v>
      </c>
    </row>
    <row r="86" spans="2:18" x14ac:dyDescent="0.25">
      <c r="B86" s="479" t="s">
        <v>797</v>
      </c>
      <c r="E86" s="528">
        <v>4800000</v>
      </c>
      <c r="F86" s="529">
        <v>2400000</v>
      </c>
      <c r="G86" s="473">
        <v>2400000</v>
      </c>
      <c r="H86" s="542"/>
      <c r="M86" s="505"/>
      <c r="N86" s="505"/>
      <c r="O86" s="505"/>
      <c r="P86" s="505"/>
      <c r="Q86" s="505"/>
      <c r="R86" s="506"/>
    </row>
    <row r="87" spans="2:18" x14ac:dyDescent="0.25">
      <c r="B87" s="465" t="s">
        <v>444</v>
      </c>
      <c r="E87" s="530">
        <v>9300000</v>
      </c>
      <c r="F87" s="531">
        <v>4500000</v>
      </c>
      <c r="G87" s="460">
        <f t="shared" si="7"/>
        <v>4800000</v>
      </c>
      <c r="H87" s="544" t="s">
        <v>388</v>
      </c>
      <c r="M87" s="505" t="s">
        <v>428</v>
      </c>
      <c r="N87" s="505" t="s">
        <v>386</v>
      </c>
      <c r="O87" s="505" t="s">
        <v>390</v>
      </c>
      <c r="P87" s="505" t="s">
        <v>390</v>
      </c>
      <c r="Q87" s="505" t="s">
        <v>390</v>
      </c>
      <c r="R87" s="506">
        <v>2020</v>
      </c>
    </row>
    <row r="88" spans="2:18" ht="14.25" thickBot="1" x14ac:dyDescent="0.3">
      <c r="B88" s="558" t="s">
        <v>445</v>
      </c>
      <c r="E88" s="559">
        <v>1000000</v>
      </c>
      <c r="F88" s="560">
        <v>0</v>
      </c>
      <c r="G88" s="561">
        <f t="shared" si="7"/>
        <v>1000000</v>
      </c>
      <c r="H88" s="562" t="s">
        <v>388</v>
      </c>
      <c r="M88" s="514" t="s">
        <v>431</v>
      </c>
      <c r="N88" s="514" t="s">
        <v>386</v>
      </c>
      <c r="O88" s="514" t="s">
        <v>386</v>
      </c>
      <c r="P88" s="514" t="s">
        <v>386</v>
      </c>
      <c r="Q88" s="514" t="s">
        <v>386</v>
      </c>
      <c r="R88" s="515">
        <v>2021</v>
      </c>
    </row>
    <row r="89" spans="2:18" x14ac:dyDescent="0.25">
      <c r="E89" s="503"/>
      <c r="F89" s="503"/>
      <c r="G89" s="503"/>
    </row>
    <row r="90" spans="2:18" x14ac:dyDescent="0.25">
      <c r="B90" s="444" t="s">
        <v>415</v>
      </c>
      <c r="E90" s="503">
        <f>SUM(E80:E88)</f>
        <v>516200000</v>
      </c>
      <c r="F90" s="503">
        <f>SUM(F80:F88)</f>
        <v>401900000</v>
      </c>
      <c r="G90" s="503">
        <f>SUM(G80:G88)</f>
        <v>96800000</v>
      </c>
      <c r="H90" s="503"/>
    </row>
    <row r="91" spans="2:18" x14ac:dyDescent="0.25">
      <c r="B91" s="444"/>
      <c r="E91" s="503"/>
      <c r="F91" s="503"/>
      <c r="G91" s="503"/>
      <c r="H91" s="503"/>
    </row>
    <row r="92" spans="2:18" x14ac:dyDescent="0.25">
      <c r="C92" s="563" t="s">
        <v>446</v>
      </c>
      <c r="D92" s="563" t="s">
        <v>447</v>
      </c>
      <c r="E92" s="563"/>
    </row>
    <row r="93" spans="2:18" x14ac:dyDescent="0.25">
      <c r="B93" s="444" t="s">
        <v>448</v>
      </c>
      <c r="C93" s="503">
        <f>E36+E50+E61+E75+E90</f>
        <v>872456238.42000008</v>
      </c>
      <c r="D93" s="503">
        <f>SUM(F36,I36,F50,I50,F61,G61,F75,I75,F90,G90)</f>
        <v>707343000</v>
      </c>
      <c r="E93" s="503"/>
      <c r="G93" s="503">
        <f>+G81+H66+H67+H68+H71+G61</f>
        <v>73675000</v>
      </c>
    </row>
    <row r="94" spans="2:18" x14ac:dyDescent="0.25">
      <c r="B94" s="444" t="s">
        <v>449</v>
      </c>
      <c r="C94" s="503">
        <f>F36+F50+F61+F75+F90</f>
        <v>498785000</v>
      </c>
      <c r="D94" s="503">
        <f>F36+F50+F61+F75+F90</f>
        <v>498785000</v>
      </c>
      <c r="E94" s="503"/>
    </row>
    <row r="95" spans="2:18" x14ac:dyDescent="0.25">
      <c r="B95" s="444" t="s">
        <v>450</v>
      </c>
      <c r="C95" s="503">
        <f>C93-C94</f>
        <v>373671238.42000008</v>
      </c>
      <c r="D95" s="503">
        <f>D93-D94</f>
        <v>208558000</v>
      </c>
      <c r="E95" s="503"/>
    </row>
    <row r="96" spans="2:18" x14ac:dyDescent="0.25">
      <c r="B96" s="564" t="s">
        <v>451</v>
      </c>
      <c r="C96" s="565">
        <f>H36</f>
        <v>116411238.42</v>
      </c>
      <c r="D96" s="565">
        <f>I36</f>
        <v>34543000</v>
      </c>
      <c r="E96" s="565"/>
    </row>
    <row r="97" spans="2:5" x14ac:dyDescent="0.25">
      <c r="B97" s="564" t="s">
        <v>452</v>
      </c>
      <c r="C97" s="565">
        <f>H50</f>
        <v>17500000</v>
      </c>
      <c r="D97" s="565">
        <f>I50</f>
        <v>12100000</v>
      </c>
      <c r="E97" s="565"/>
    </row>
    <row r="98" spans="2:5" x14ac:dyDescent="0.25">
      <c r="B98" s="564" t="s">
        <v>453</v>
      </c>
      <c r="C98" s="565">
        <f>H75</f>
        <v>54840000</v>
      </c>
      <c r="D98" s="565">
        <f>H75</f>
        <v>54840000</v>
      </c>
      <c r="E98" s="565"/>
    </row>
    <row r="99" spans="2:5" x14ac:dyDescent="0.25">
      <c r="B99" s="564" t="s">
        <v>454</v>
      </c>
      <c r="C99" s="565">
        <f>G90</f>
        <v>96800000</v>
      </c>
      <c r="D99" s="565">
        <f>G90</f>
        <v>96800000</v>
      </c>
      <c r="E99" s="565"/>
    </row>
    <row r="100" spans="2:5" x14ac:dyDescent="0.25">
      <c r="B100" s="564" t="s">
        <v>455</v>
      </c>
      <c r="C100" s="565">
        <f>G61</f>
        <v>25275000</v>
      </c>
      <c r="D100" s="565">
        <f>G61</f>
        <v>25275000</v>
      </c>
      <c r="E100" s="565"/>
    </row>
    <row r="102" spans="2:5" x14ac:dyDescent="0.25">
      <c r="B102" s="444" t="s">
        <v>456</v>
      </c>
      <c r="C102" s="503">
        <v>40000000</v>
      </c>
      <c r="D102" s="503">
        <f>C102</f>
        <v>40000000</v>
      </c>
      <c r="E102" s="503"/>
    </row>
    <row r="103" spans="2:5" x14ac:dyDescent="0.25">
      <c r="B103" s="444" t="s">
        <v>537</v>
      </c>
      <c r="C103" s="503">
        <v>20000000</v>
      </c>
      <c r="D103" s="503">
        <v>20000000</v>
      </c>
      <c r="E103" s="503"/>
    </row>
    <row r="104" spans="2:5" x14ac:dyDescent="0.25">
      <c r="B104" s="444" t="s">
        <v>538</v>
      </c>
      <c r="C104" s="503">
        <v>20000000</v>
      </c>
      <c r="D104" s="503">
        <v>20000000</v>
      </c>
      <c r="E104" s="503"/>
    </row>
    <row r="106" spans="2:5" x14ac:dyDescent="0.25">
      <c r="B106" s="444" t="s">
        <v>457</v>
      </c>
      <c r="C106" s="566">
        <f>C95-SUM(C102:C104)</f>
        <v>293671238.42000008</v>
      </c>
      <c r="D106" s="566">
        <f>D95-SUM(D102:D104)</f>
        <v>128558000</v>
      </c>
      <c r="E106" s="566"/>
    </row>
    <row r="108" spans="2:5" x14ac:dyDescent="0.25">
      <c r="B108" s="444" t="s">
        <v>458</v>
      </c>
    </row>
    <row r="109" spans="2:5" x14ac:dyDescent="0.25">
      <c r="B109" s="564" t="s">
        <v>459</v>
      </c>
      <c r="C109" s="503">
        <v>10000000</v>
      </c>
      <c r="D109" s="503">
        <v>10000000</v>
      </c>
      <c r="E109" s="503"/>
    </row>
    <row r="110" spans="2:5" x14ac:dyDescent="0.25">
      <c r="B110" s="564" t="s">
        <v>460</v>
      </c>
      <c r="C110" s="503">
        <f>35000000</f>
        <v>35000000</v>
      </c>
      <c r="D110" s="503">
        <f>35000000</f>
        <v>35000000</v>
      </c>
      <c r="E110" s="503"/>
    </row>
    <row r="111" spans="2:5" x14ac:dyDescent="0.25">
      <c r="B111" s="564" t="s">
        <v>461</v>
      </c>
      <c r="C111" s="567">
        <f>33000*1800*0.7</f>
        <v>41580000</v>
      </c>
      <c r="D111" s="567">
        <f>33000*1800*0.7</f>
        <v>41580000</v>
      </c>
      <c r="E111" s="567"/>
    </row>
    <row r="112" spans="2:5" x14ac:dyDescent="0.25">
      <c r="B112" s="564" t="s">
        <v>462</v>
      </c>
      <c r="C112" s="503">
        <f>15000*780</f>
        <v>11700000</v>
      </c>
      <c r="D112" s="503">
        <f>15000*780</f>
        <v>11700000</v>
      </c>
      <c r="E112" s="503"/>
    </row>
    <row r="113" spans="2:5" x14ac:dyDescent="0.25">
      <c r="B113" s="567"/>
      <c r="C113" s="503"/>
      <c r="D113" s="503"/>
      <c r="E113" s="503"/>
    </row>
    <row r="114" spans="2:5" x14ac:dyDescent="0.25">
      <c r="B114" s="444" t="s">
        <v>463</v>
      </c>
      <c r="C114" s="503">
        <f>SUM(C109:C110,C112)</f>
        <v>56700000</v>
      </c>
      <c r="D114" s="503">
        <f>SUM(D109:D110,D112)</f>
        <v>56700000</v>
      </c>
      <c r="E114" s="503"/>
    </row>
    <row r="115" spans="2:5" x14ac:dyDescent="0.25">
      <c r="B115" s="444" t="s">
        <v>464</v>
      </c>
      <c r="C115" s="503">
        <f>SUM(C109,C111,C112)</f>
        <v>63280000</v>
      </c>
      <c r="D115" s="503">
        <f>SUM(D109,D111,D112)</f>
        <v>63280000</v>
      </c>
      <c r="E115" s="503"/>
    </row>
    <row r="116" spans="2:5" x14ac:dyDescent="0.25">
      <c r="C116" s="503"/>
      <c r="D116" s="503"/>
      <c r="E116" s="503"/>
    </row>
    <row r="117" spans="2:5" x14ac:dyDescent="0.25">
      <c r="B117" s="444" t="s">
        <v>465</v>
      </c>
      <c r="C117" s="503">
        <v>77000000</v>
      </c>
      <c r="D117" s="503">
        <v>77000000</v>
      </c>
      <c r="E117" s="503"/>
    </row>
    <row r="118" spans="2:5" x14ac:dyDescent="0.25">
      <c r="B118" s="444" t="s">
        <v>466</v>
      </c>
      <c r="C118" s="503">
        <v>145000000</v>
      </c>
      <c r="D118" s="503">
        <v>145000000</v>
      </c>
      <c r="E118" s="503"/>
    </row>
    <row r="120" spans="2:5" x14ac:dyDescent="0.25">
      <c r="B120" s="444" t="s">
        <v>467</v>
      </c>
      <c r="C120" s="503">
        <f>C118-C117</f>
        <v>68000000</v>
      </c>
      <c r="D120" s="503">
        <f>D118-D117</f>
        <v>68000000</v>
      </c>
      <c r="E120" s="503"/>
    </row>
    <row r="121" spans="2:5" x14ac:dyDescent="0.25">
      <c r="B121" s="275" t="s">
        <v>468</v>
      </c>
      <c r="C121" s="503">
        <f>4*10908000</f>
        <v>43632000</v>
      </c>
      <c r="D121" s="503">
        <f>4*10908000</f>
        <v>43632000</v>
      </c>
      <c r="E121" s="503"/>
    </row>
    <row r="122" spans="2:5" x14ac:dyDescent="0.25">
      <c r="C122" s="503"/>
      <c r="D122" s="503"/>
      <c r="E122" s="503"/>
    </row>
    <row r="123" spans="2:5" x14ac:dyDescent="0.25">
      <c r="B123" s="444" t="s">
        <v>469</v>
      </c>
      <c r="C123" s="566">
        <f>SUM(C120:C121)</f>
        <v>111632000</v>
      </c>
      <c r="D123" s="566">
        <f>SUM(D120:D121)</f>
        <v>111632000</v>
      </c>
      <c r="E123" s="566"/>
    </row>
    <row r="125" spans="2:5" x14ac:dyDescent="0.25">
      <c r="B125" s="444" t="s">
        <v>470</v>
      </c>
      <c r="C125" s="568">
        <f>C123-C106</f>
        <v>-182039238.42000008</v>
      </c>
      <c r="D125" s="568">
        <f>D123-D106</f>
        <v>-16926000</v>
      </c>
      <c r="E125" s="568"/>
    </row>
    <row r="127" spans="2:5" x14ac:dyDescent="0.25">
      <c r="B127" s="444" t="s">
        <v>539</v>
      </c>
    </row>
    <row r="129" spans="2:4" x14ac:dyDescent="0.25">
      <c r="B129" s="444" t="s">
        <v>540</v>
      </c>
      <c r="C129" s="444" t="s">
        <v>541</v>
      </c>
      <c r="D129" s="444" t="s">
        <v>417</v>
      </c>
    </row>
    <row r="130" spans="2:4" x14ac:dyDescent="0.25">
      <c r="B130" s="445"/>
      <c r="C130" s="565"/>
      <c r="D130" s="565"/>
    </row>
    <row r="131" spans="2:4" x14ac:dyDescent="0.25">
      <c r="B131" s="569" t="s">
        <v>530</v>
      </c>
      <c r="C131" s="570">
        <f>E46</f>
        <v>3000000</v>
      </c>
      <c r="D131" s="570">
        <f>I46</f>
        <v>1500000</v>
      </c>
    </row>
    <row r="132" spans="2:4" x14ac:dyDescent="0.25">
      <c r="B132" s="569" t="str">
        <f>B12</f>
        <v>Fibichova</v>
      </c>
      <c r="C132" s="570">
        <f>E12</f>
        <v>5401730.3999999994</v>
      </c>
      <c r="D132" s="570">
        <f>I12</f>
        <v>900000</v>
      </c>
    </row>
    <row r="133" spans="2:4" x14ac:dyDescent="0.25">
      <c r="B133" s="569" t="str">
        <f>B16</f>
        <v>Na Ztraceném Korci</v>
      </c>
      <c r="C133" s="570">
        <f>E16</f>
        <v>1760368.5</v>
      </c>
      <c r="D133" s="570">
        <f>I16</f>
        <v>180000</v>
      </c>
    </row>
    <row r="134" spans="2:4" x14ac:dyDescent="0.25">
      <c r="B134" s="569" t="str">
        <f>B17</f>
        <v>Kupkova</v>
      </c>
      <c r="C134" s="570">
        <f>E17</f>
        <v>2477003.1</v>
      </c>
      <c r="D134" s="570">
        <f>I17</f>
        <v>550000</v>
      </c>
    </row>
    <row r="135" spans="2:4" x14ac:dyDescent="0.25">
      <c r="B135" s="569" t="str">
        <f>B24</f>
        <v>Táboritská</v>
      </c>
      <c r="C135" s="570">
        <f>E24</f>
        <v>4200000</v>
      </c>
      <c r="D135" s="570">
        <f>I24</f>
        <v>1500000</v>
      </c>
    </row>
    <row r="136" spans="2:4" x14ac:dyDescent="0.25">
      <c r="B136" s="569" t="str">
        <f>B29</f>
        <v>šamalová</v>
      </c>
      <c r="C136" s="570">
        <f>E29</f>
        <v>2809620</v>
      </c>
      <c r="D136" s="570">
        <f>I29</f>
        <v>480000</v>
      </c>
    </row>
    <row r="137" spans="2:4" x14ac:dyDescent="0.25">
      <c r="B137" s="569"/>
      <c r="C137" s="570"/>
      <c r="D137" s="570"/>
    </row>
    <row r="138" spans="2:4" x14ac:dyDescent="0.25">
      <c r="B138" s="569" t="str">
        <f>B45</f>
        <v>Cyklostezka - propojení Mánesova - koupaliště - Muchova</v>
      </c>
      <c r="C138" s="570">
        <f>E45</f>
        <v>2400000</v>
      </c>
      <c r="D138" s="570">
        <f>I45</f>
        <v>1200000</v>
      </c>
    </row>
    <row r="139" spans="2:4" x14ac:dyDescent="0.25">
      <c r="B139" s="569" t="s">
        <v>423</v>
      </c>
      <c r="C139" s="570">
        <f>E47</f>
        <v>3000000</v>
      </c>
      <c r="D139" s="570">
        <f>I47</f>
        <v>900000</v>
      </c>
    </row>
    <row r="140" spans="2:4" x14ac:dyDescent="0.25">
      <c r="B140" s="569" t="s">
        <v>424</v>
      </c>
      <c r="C140" s="570">
        <f>E48</f>
        <v>1400000</v>
      </c>
      <c r="D140" s="570">
        <f>I48</f>
        <v>400000</v>
      </c>
    </row>
    <row r="141" spans="2:4" x14ac:dyDescent="0.25">
      <c r="B141" s="569"/>
      <c r="C141" s="570"/>
      <c r="D141" s="570"/>
    </row>
    <row r="142" spans="2:4" x14ac:dyDescent="0.25">
      <c r="B142" s="569" t="s">
        <v>542</v>
      </c>
      <c r="C142" s="570">
        <f>E85</f>
        <v>8500000</v>
      </c>
      <c r="D142" s="570">
        <f>G85</f>
        <v>5000000</v>
      </c>
    </row>
    <row r="143" spans="2:4" x14ac:dyDescent="0.25">
      <c r="B143" s="569" t="str">
        <f>B44</f>
        <v xml:space="preserve">Cyklostezka - přemostění I/12 </v>
      </c>
      <c r="C143" s="570">
        <f>E44</f>
        <v>12000000</v>
      </c>
      <c r="D143" s="570">
        <f>I44</f>
        <v>3600000</v>
      </c>
    </row>
    <row r="144" spans="2:4" x14ac:dyDescent="0.25">
      <c r="B144" s="569" t="str">
        <f>B82</f>
        <v>Zateplení ZŠ Úvaly budova B</v>
      </c>
      <c r="C144" s="570">
        <f>E82</f>
        <v>18000000</v>
      </c>
      <c r="D144" s="570">
        <f>G82</f>
        <v>9000000</v>
      </c>
    </row>
    <row r="145" spans="2:4" x14ac:dyDescent="0.25">
      <c r="B145" s="445"/>
      <c r="C145" s="565"/>
      <c r="D145" s="565"/>
    </row>
    <row r="146" spans="2:4" x14ac:dyDescent="0.25">
      <c r="B146" s="444" t="s">
        <v>543</v>
      </c>
      <c r="C146" s="565"/>
      <c r="D146" s="565"/>
    </row>
    <row r="147" spans="2:4" x14ac:dyDescent="0.25">
      <c r="B147" s="445"/>
      <c r="C147" s="565"/>
      <c r="D147" s="565"/>
    </row>
    <row r="148" spans="2:4" x14ac:dyDescent="0.25">
      <c r="B148" s="571" t="s">
        <v>532</v>
      </c>
      <c r="C148" s="572">
        <f>E71</f>
        <v>30000000</v>
      </c>
      <c r="D148" s="572">
        <f>I71</f>
        <v>15000000</v>
      </c>
    </row>
    <row r="149" spans="2:4" x14ac:dyDescent="0.25">
      <c r="B149" s="571" t="s">
        <v>430</v>
      </c>
      <c r="C149" s="572">
        <f>E56</f>
        <v>12000000</v>
      </c>
      <c r="D149" s="572">
        <f>G56</f>
        <v>6000000</v>
      </c>
    </row>
    <row r="150" spans="2:4" x14ac:dyDescent="0.25">
      <c r="B150" s="445"/>
      <c r="D150" s="565"/>
    </row>
    <row r="151" spans="2:4" x14ac:dyDescent="0.25">
      <c r="B151" s="444" t="s">
        <v>470</v>
      </c>
      <c r="D151" s="573">
        <f>D125+SUM(D131:D144,D148:D149)</f>
        <v>29284000</v>
      </c>
    </row>
    <row r="152" spans="2:4" x14ac:dyDescent="0.25">
      <c r="B152" s="445"/>
      <c r="D152" s="565"/>
    </row>
    <row r="153" spans="2:4" x14ac:dyDescent="0.25">
      <c r="B153" s="445"/>
      <c r="D153" s="565"/>
    </row>
    <row r="154" spans="2:4" x14ac:dyDescent="0.25">
      <c r="B154" s="445"/>
      <c r="D154" s="565"/>
    </row>
    <row r="155" spans="2:4" x14ac:dyDescent="0.25">
      <c r="B155" s="445"/>
      <c r="D155" s="565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61"/>
  <sheetViews>
    <sheetView workbookViewId="0">
      <selection activeCell="E11" sqref="E11"/>
    </sheetView>
  </sheetViews>
  <sheetFormatPr defaultColWidth="8.7109375" defaultRowHeight="15" customHeight="1" outlineLevelCol="1" x14ac:dyDescent="0.25"/>
  <cols>
    <col min="1" max="1" width="50.7109375" style="2138" customWidth="1"/>
    <col min="2" max="2" width="14.28515625" style="2138" bestFit="1" customWidth="1"/>
    <col min="3" max="3" width="11.5703125" style="2138" bestFit="1" customWidth="1"/>
    <col min="4" max="4" width="21" style="2138" bestFit="1" customWidth="1" outlineLevel="1"/>
    <col min="5" max="7" width="14.28515625" style="2138" bestFit="1" customWidth="1" outlineLevel="1"/>
    <col min="8" max="8" width="11.5703125" style="2138" bestFit="1" customWidth="1" outlineLevel="1"/>
    <col min="9" max="12" width="14.28515625" style="2138" bestFit="1" customWidth="1" outlineLevel="1"/>
    <col min="13" max="13" width="11.5703125" style="2138" bestFit="1" customWidth="1" outlineLevel="1"/>
    <col min="14" max="17" width="14.28515625" style="2138" bestFit="1" customWidth="1" outlineLevel="1"/>
    <col min="18" max="21" width="11.5703125" style="2138" bestFit="1" customWidth="1" outlineLevel="1"/>
    <col min="22" max="22" width="10.85546875" style="2138" customWidth="1"/>
    <col min="23" max="23" width="8.85546875" style="2138" customWidth="1"/>
    <col min="24" max="16384" width="8.7109375" style="2138"/>
  </cols>
  <sheetData>
    <row r="1" spans="1:22" ht="12.75" x14ac:dyDescent="0.25"/>
    <row r="2" spans="1:22" s="2140" customFormat="1" ht="12.75" x14ac:dyDescent="0.25"/>
    <row r="3" spans="1:22" s="2140" customFormat="1" ht="12.75" x14ac:dyDescent="0.25">
      <c r="A3" s="2140" t="s">
        <v>657</v>
      </c>
    </row>
    <row r="4" spans="1:22" s="2145" customFormat="1" ht="12.75" x14ac:dyDescent="0.25">
      <c r="A4" s="2145" t="s">
        <v>700</v>
      </c>
    </row>
    <row r="5" spans="1:22" s="2145" customFormat="1" ht="12.75" x14ac:dyDescent="0.25">
      <c r="A5" s="2145" t="s">
        <v>764</v>
      </c>
    </row>
    <row r="6" spans="1:22" s="2145" customFormat="1" ht="12.75" x14ac:dyDescent="0.25">
      <c r="A6" s="2145" t="s">
        <v>1136</v>
      </c>
    </row>
    <row r="7" spans="1:22" s="2145" customFormat="1" ht="12.75" x14ac:dyDescent="0.25">
      <c r="A7" s="2145" t="s">
        <v>1136</v>
      </c>
    </row>
    <row r="8" spans="1:22" ht="13.5" thickBot="1" x14ac:dyDescent="0.3">
      <c r="A8" s="2147"/>
      <c r="B8" s="2147"/>
      <c r="C8" s="2148"/>
      <c r="D8" s="2147"/>
      <c r="E8" s="2147"/>
      <c r="F8" s="2147"/>
      <c r="G8" s="2147"/>
      <c r="H8" s="2147"/>
      <c r="I8" s="2147"/>
      <c r="J8" s="2147"/>
      <c r="K8" s="2147"/>
      <c r="L8" s="2147"/>
      <c r="M8" s="2147"/>
      <c r="N8" s="2147"/>
      <c r="O8" s="2147"/>
      <c r="P8" s="2147"/>
      <c r="Q8" s="2147"/>
      <c r="R8" s="2147"/>
      <c r="S8" s="2147"/>
      <c r="T8" s="2147"/>
      <c r="U8" s="2147"/>
      <c r="V8" s="2147"/>
    </row>
    <row r="9" spans="1:22" ht="13.5" thickBot="1" x14ac:dyDescent="0.3">
      <c r="A9" s="2149" t="s">
        <v>658</v>
      </c>
      <c r="B9" s="2154">
        <v>2021</v>
      </c>
      <c r="C9" s="2982">
        <v>2022</v>
      </c>
      <c r="D9" s="2982">
        <v>2023</v>
      </c>
      <c r="E9" s="2156">
        <v>2024</v>
      </c>
      <c r="F9" s="2156">
        <v>2025</v>
      </c>
      <c r="G9" s="2156">
        <v>2026</v>
      </c>
      <c r="H9" s="2157">
        <v>2027</v>
      </c>
      <c r="I9" s="2157">
        <v>2028</v>
      </c>
      <c r="J9" s="2157">
        <v>2029</v>
      </c>
      <c r="K9" s="2157">
        <v>2030</v>
      </c>
      <c r="L9" s="2151">
        <v>2031</v>
      </c>
      <c r="M9" s="2151">
        <v>2032</v>
      </c>
      <c r="N9" s="2151">
        <v>2033</v>
      </c>
      <c r="O9" s="2151">
        <v>2034</v>
      </c>
      <c r="P9" s="2151">
        <v>2035</v>
      </c>
      <c r="Q9" s="2158">
        <v>2036</v>
      </c>
      <c r="R9" s="2151">
        <v>2037</v>
      </c>
      <c r="S9" s="2151">
        <v>2038</v>
      </c>
      <c r="T9" s="2159">
        <v>2040</v>
      </c>
      <c r="U9" s="2160">
        <v>2041</v>
      </c>
      <c r="V9" s="2161"/>
    </row>
    <row r="10" spans="1:22" s="2147" customFormat="1" ht="12.75" x14ac:dyDescent="0.25">
      <c r="A10" s="2974"/>
      <c r="B10" s="2975"/>
      <c r="C10" s="2983"/>
      <c r="D10" s="2976"/>
      <c r="E10" s="2976"/>
      <c r="F10" s="2976"/>
      <c r="G10" s="2976"/>
      <c r="H10" s="2977"/>
      <c r="I10" s="2977"/>
      <c r="J10" s="2977"/>
      <c r="K10" s="2977"/>
      <c r="L10" s="2978"/>
      <c r="M10" s="2978"/>
      <c r="N10" s="2978"/>
      <c r="O10" s="2978"/>
      <c r="P10" s="2978"/>
      <c r="Q10" s="2979"/>
      <c r="R10" s="2978"/>
      <c r="S10" s="2978"/>
      <c r="T10" s="2980"/>
      <c r="U10" s="2981"/>
      <c r="V10" s="2297"/>
    </row>
    <row r="11" spans="1:22" s="2183" customFormat="1" ht="12" customHeight="1" x14ac:dyDescent="0.25">
      <c r="A11" s="2204" t="s">
        <v>2859</v>
      </c>
      <c r="B11" s="2206"/>
      <c r="C11" s="2208"/>
      <c r="D11" s="2206"/>
      <c r="E11" s="2206"/>
      <c r="F11" s="2206"/>
      <c r="G11" s="2206"/>
      <c r="H11" s="2206">
        <f>+'přepočet úroků'!Q44</f>
        <v>0</v>
      </c>
      <c r="I11" s="2206">
        <f>+'přepočet úroků'!Q53</f>
        <v>0</v>
      </c>
      <c r="J11" s="2206">
        <f>+'přepočet úroků'!Q62</f>
        <v>0</v>
      </c>
      <c r="K11" s="2206">
        <f>+'přepočet úroků'!Q71</f>
        <v>0</v>
      </c>
      <c r="L11" s="2206">
        <f>+'přepočet úroků'!Q80</f>
        <v>0</v>
      </c>
      <c r="M11" s="2206">
        <f>+'přepočet úroků'!Q89</f>
        <v>0</v>
      </c>
      <c r="N11" s="2206">
        <f>+'přepočet úroků'!Q98</f>
        <v>0</v>
      </c>
      <c r="O11" s="2206">
        <f>+'přepočet úroků'!Q107</f>
        <v>0</v>
      </c>
      <c r="P11" s="2206">
        <f>+'přepočet úroků'!Q116</f>
        <v>0</v>
      </c>
      <c r="Q11" s="2208">
        <f>+'přepočet úroků'!Q125</f>
        <v>0</v>
      </c>
      <c r="R11" s="2206">
        <f>+'přepočet úroků'!Q134</f>
        <v>0</v>
      </c>
      <c r="S11" s="2206"/>
      <c r="T11" s="2209"/>
      <c r="U11" s="2210"/>
      <c r="V11" s="2211"/>
    </row>
    <row r="12" spans="1:22" s="2183" customFormat="1" ht="12.75" x14ac:dyDescent="0.25">
      <c r="A12" s="2178" t="s">
        <v>2860</v>
      </c>
      <c r="B12" s="939">
        <v>10909092</v>
      </c>
      <c r="C12" s="2182">
        <v>10909092</v>
      </c>
      <c r="D12" s="939">
        <v>10000001</v>
      </c>
      <c r="E12" s="939">
        <f>+'přepočet úroků'!C14</f>
        <v>909091</v>
      </c>
      <c r="F12" s="939"/>
      <c r="G12" s="939"/>
      <c r="H12" s="939"/>
      <c r="I12" s="939"/>
      <c r="J12" s="939"/>
      <c r="K12" s="939"/>
      <c r="L12" s="939"/>
      <c r="M12" s="939"/>
      <c r="N12" s="939"/>
      <c r="O12" s="939"/>
      <c r="P12" s="939"/>
      <c r="Q12" s="2182"/>
      <c r="R12" s="939"/>
      <c r="S12" s="939"/>
      <c r="T12" s="2185"/>
      <c r="U12" s="2184"/>
      <c r="V12" s="2147"/>
    </row>
    <row r="13" spans="1:22" s="2194" customFormat="1" ht="12.75" x14ac:dyDescent="0.25">
      <c r="A13" s="2186" t="s">
        <v>2861</v>
      </c>
      <c r="B13" s="2188">
        <v>531073</v>
      </c>
      <c r="C13" s="2191">
        <v>1172702</v>
      </c>
      <c r="D13" s="2188">
        <v>531882</v>
      </c>
      <c r="E13" s="2188">
        <f>+'přepočet úroků'!Q14</f>
        <v>18255</v>
      </c>
      <c r="F13" s="2188"/>
      <c r="G13" s="2188"/>
      <c r="H13" s="2188"/>
      <c r="I13" s="2188"/>
      <c r="J13" s="2188"/>
      <c r="K13" s="2188"/>
      <c r="L13" s="2188"/>
      <c r="M13" s="2188"/>
      <c r="N13" s="2188"/>
      <c r="O13" s="2188"/>
      <c r="P13" s="2188"/>
      <c r="Q13" s="2191"/>
      <c r="R13" s="2188"/>
      <c r="S13" s="2188"/>
      <c r="T13" s="2192"/>
      <c r="U13" s="2193"/>
      <c r="V13" s="2147"/>
    </row>
    <row r="14" spans="1:22" s="2183" customFormat="1" ht="12" customHeight="1" x14ac:dyDescent="0.25">
      <c r="A14" s="2204" t="s">
        <v>2862</v>
      </c>
      <c r="B14" s="2206"/>
      <c r="C14" s="2208"/>
      <c r="D14" s="2206"/>
      <c r="E14" s="2206"/>
      <c r="F14" s="2206"/>
      <c r="G14" s="2206"/>
      <c r="H14" s="2206"/>
      <c r="I14" s="2206"/>
      <c r="J14" s="2206"/>
      <c r="K14" s="2206"/>
      <c r="L14" s="2206"/>
      <c r="M14" s="2206"/>
      <c r="N14" s="2206"/>
      <c r="O14" s="2206"/>
      <c r="P14" s="2206"/>
      <c r="Q14" s="2208"/>
      <c r="R14" s="2206"/>
      <c r="S14" s="2206"/>
      <c r="T14" s="2209"/>
      <c r="U14" s="2210"/>
      <c r="V14" s="2211"/>
    </row>
    <row r="15" spans="1:22" s="2139" customFormat="1" ht="12.75" hidden="1" x14ac:dyDescent="0.25">
      <c r="A15" s="2170"/>
      <c r="B15" s="2172"/>
      <c r="C15" s="2175"/>
      <c r="D15" s="2172"/>
      <c r="E15" s="2172"/>
      <c r="F15" s="2172"/>
      <c r="G15" s="2172"/>
      <c r="H15" s="2172"/>
      <c r="I15" s="2172"/>
      <c r="J15" s="2172"/>
      <c r="K15" s="2172"/>
      <c r="L15" s="2172"/>
      <c r="M15" s="2172"/>
      <c r="N15" s="2172"/>
      <c r="O15" s="2172"/>
      <c r="P15" s="2172"/>
      <c r="Q15" s="2175"/>
      <c r="R15" s="2172"/>
      <c r="S15" s="2172"/>
      <c r="T15" s="2176"/>
      <c r="U15" s="2177"/>
      <c r="V15" s="2147"/>
    </row>
    <row r="16" spans="1:22" s="2203" customFormat="1" ht="12.75" x14ac:dyDescent="0.25">
      <c r="A16" s="2178" t="s">
        <v>2860</v>
      </c>
      <c r="B16" s="2197">
        <v>5118492</v>
      </c>
      <c r="C16" s="2199">
        <v>5118492</v>
      </c>
      <c r="D16" s="2197">
        <v>5118492</v>
      </c>
      <c r="E16" s="2197">
        <v>5118492</v>
      </c>
      <c r="F16" s="2197">
        <v>5118492</v>
      </c>
      <c r="G16" s="2197">
        <v>5118492</v>
      </c>
      <c r="H16" s="2197">
        <v>5118492</v>
      </c>
      <c r="I16" s="2197">
        <v>5118492</v>
      </c>
      <c r="J16" s="2197">
        <v>5118492</v>
      </c>
      <c r="K16" s="2197">
        <v>5118492</v>
      </c>
      <c r="L16" s="2197">
        <v>5118492</v>
      </c>
      <c r="M16" s="2197">
        <v>5118492</v>
      </c>
      <c r="N16" s="2197">
        <v>5118492</v>
      </c>
      <c r="O16" s="2197">
        <v>5118492</v>
      </c>
      <c r="P16" s="2197">
        <v>5118492</v>
      </c>
      <c r="Q16" s="2197">
        <v>5118492</v>
      </c>
      <c r="R16" s="2197"/>
      <c r="S16" s="2197"/>
      <c r="T16" s="2200"/>
      <c r="U16" s="2201"/>
      <c r="V16" s="2202"/>
    </row>
    <row r="17" spans="1:22" s="2203" customFormat="1" ht="12" customHeight="1" x14ac:dyDescent="0.25">
      <c r="A17" s="2186" t="s">
        <v>2861</v>
      </c>
      <c r="B17" s="2197">
        <v>737549</v>
      </c>
      <c r="C17" s="2199">
        <v>690754</v>
      </c>
      <c r="D17" s="2197">
        <v>644049</v>
      </c>
      <c r="E17" s="2197">
        <f>+'přepočet úroků'!Q24</f>
        <v>564926.54868000001</v>
      </c>
      <c r="F17" s="2197">
        <f>+'přepočet úroků'!Q33</f>
        <v>517017.46356</v>
      </c>
      <c r="G17" s="2197"/>
      <c r="H17" s="2197"/>
      <c r="I17" s="2197"/>
      <c r="J17" s="2197"/>
      <c r="K17" s="2197"/>
      <c r="L17" s="2197"/>
      <c r="M17" s="2197"/>
      <c r="N17" s="2197"/>
      <c r="O17" s="2197"/>
      <c r="P17" s="2197"/>
      <c r="Q17" s="2199"/>
      <c r="R17" s="2197"/>
      <c r="S17" s="2197"/>
      <c r="T17" s="2200"/>
      <c r="U17" s="2201"/>
      <c r="V17" s="2202"/>
    </row>
    <row r="18" spans="1:22" s="2183" customFormat="1" ht="12" customHeight="1" x14ac:dyDescent="0.25">
      <c r="A18" s="2204" t="s">
        <v>2863</v>
      </c>
      <c r="B18" s="2206"/>
      <c r="C18" s="2208"/>
      <c r="D18" s="2206"/>
      <c r="E18" s="2206"/>
      <c r="F18" s="2206"/>
      <c r="G18" s="2206"/>
      <c r="H18" s="2206"/>
      <c r="I18" s="2206"/>
      <c r="J18" s="2206"/>
      <c r="K18" s="2206"/>
      <c r="L18" s="2206"/>
      <c r="M18" s="2206"/>
      <c r="N18" s="2206"/>
      <c r="O18" s="2206"/>
      <c r="P18" s="2206"/>
      <c r="Q18" s="2208"/>
      <c r="R18" s="2206"/>
      <c r="S18" s="2206"/>
      <c r="T18" s="2209"/>
      <c r="U18" s="2210"/>
      <c r="V18" s="2211"/>
    </row>
    <row r="19" spans="1:22" s="2183" customFormat="1" ht="12" customHeight="1" x14ac:dyDescent="0.25">
      <c r="A19" s="2178" t="s">
        <v>2860</v>
      </c>
      <c r="B19" s="2967">
        <v>1698120</v>
      </c>
      <c r="C19" s="2968">
        <v>2264160</v>
      </c>
      <c r="D19" s="2967">
        <v>2264160</v>
      </c>
      <c r="E19" s="2967">
        <v>2264160</v>
      </c>
      <c r="F19" s="2967">
        <v>2264160</v>
      </c>
      <c r="G19" s="2967">
        <v>2264160</v>
      </c>
      <c r="H19" s="2967">
        <v>2264160</v>
      </c>
      <c r="I19" s="2967">
        <v>2264160</v>
      </c>
      <c r="J19" s="2967">
        <v>2264160</v>
      </c>
      <c r="K19" s="2967">
        <v>2264160</v>
      </c>
      <c r="L19" s="2967">
        <v>2264160</v>
      </c>
      <c r="M19" s="2967">
        <v>2264160</v>
      </c>
      <c r="N19" s="2967">
        <v>2264160</v>
      </c>
      <c r="O19" s="2967">
        <v>2264160</v>
      </c>
      <c r="P19" s="2967">
        <v>2264160</v>
      </c>
      <c r="Q19" s="2967">
        <v>2264160</v>
      </c>
      <c r="R19" s="2967">
        <v>2264160</v>
      </c>
      <c r="S19" s="2967">
        <v>2264160</v>
      </c>
      <c r="T19" s="2967">
        <v>2264160</v>
      </c>
      <c r="U19" s="2969"/>
      <c r="V19" s="2211"/>
    </row>
    <row r="20" spans="1:22" s="2220" customFormat="1" ht="12" customHeight="1" x14ac:dyDescent="0.25">
      <c r="A20" s="2186" t="s">
        <v>2861</v>
      </c>
      <c r="B20" s="2970">
        <v>583036</v>
      </c>
      <c r="C20" s="2971">
        <v>542625</v>
      </c>
      <c r="D20" s="2970">
        <v>497861</v>
      </c>
      <c r="E20" s="2970">
        <f>+'přepočet úroků'!Q34</f>
        <v>363164.29151999991</v>
      </c>
      <c r="F20" s="2970"/>
      <c r="G20" s="2970"/>
      <c r="H20" s="2970"/>
      <c r="I20" s="2970"/>
      <c r="J20" s="2970"/>
      <c r="K20" s="2970"/>
      <c r="L20" s="2970"/>
      <c r="M20" s="2970"/>
      <c r="N20" s="2970"/>
      <c r="O20" s="2970"/>
      <c r="P20" s="2970"/>
      <c r="Q20" s="2971"/>
      <c r="R20" s="2970"/>
      <c r="S20" s="2970"/>
      <c r="T20" s="2972"/>
      <c r="U20" s="2973"/>
      <c r="V20" s="2219"/>
    </row>
    <row r="21" spans="1:22" s="2220" customFormat="1" ht="12" customHeight="1" x14ac:dyDescent="0.25">
      <c r="A21" s="2212" t="s">
        <v>2864</v>
      </c>
      <c r="B21" s="2214"/>
      <c r="C21" s="2216"/>
      <c r="D21" s="2990" t="s">
        <v>2870</v>
      </c>
      <c r="E21" s="2214"/>
      <c r="F21" s="2214"/>
      <c r="G21" s="2214"/>
      <c r="H21" s="2214"/>
      <c r="I21" s="2214"/>
      <c r="J21" s="2214"/>
      <c r="K21" s="2214"/>
      <c r="L21" s="2214"/>
      <c r="M21" s="2214"/>
      <c r="N21" s="2214"/>
      <c r="O21" s="2214"/>
      <c r="P21" s="2214"/>
      <c r="Q21" s="2216"/>
      <c r="R21" s="2214"/>
      <c r="S21" s="2214"/>
      <c r="T21" s="2217"/>
      <c r="U21" s="2218"/>
      <c r="V21" s="2219"/>
    </row>
    <row r="22" spans="1:22" s="2220" customFormat="1" ht="12" customHeight="1" x14ac:dyDescent="0.25">
      <c r="A22" s="2178" t="s">
        <v>2860</v>
      </c>
      <c r="B22" s="2223">
        <v>600000</v>
      </c>
      <c r="C22" s="2225">
        <v>720000</v>
      </c>
      <c r="D22" s="2986">
        <v>801255</v>
      </c>
      <c r="E22" s="2986">
        <v>681660</v>
      </c>
      <c r="F22" s="2986">
        <v>681660</v>
      </c>
      <c r="G22" s="2986">
        <v>681660</v>
      </c>
      <c r="H22" s="2986">
        <v>681660</v>
      </c>
      <c r="I22" s="2986">
        <v>681660</v>
      </c>
      <c r="J22" s="2986">
        <v>681660</v>
      </c>
      <c r="K22" s="2986">
        <v>681660</v>
      </c>
      <c r="L22" s="2986">
        <v>681660</v>
      </c>
      <c r="M22" s="2986">
        <v>681660</v>
      </c>
      <c r="N22" s="2986">
        <v>681660</v>
      </c>
      <c r="O22" s="2986">
        <v>681660</v>
      </c>
      <c r="P22" s="2986">
        <v>681660</v>
      </c>
      <c r="Q22" s="2986">
        <v>681660</v>
      </c>
      <c r="R22" s="2986">
        <v>681660</v>
      </c>
      <c r="S22" s="2986">
        <v>681660</v>
      </c>
      <c r="T22" s="2986">
        <v>681660</v>
      </c>
      <c r="U22" s="2989"/>
      <c r="V22" s="2219"/>
    </row>
    <row r="23" spans="1:22" s="2220" customFormat="1" ht="12" customHeight="1" x14ac:dyDescent="0.25">
      <c r="A23" s="2186" t="s">
        <v>2861</v>
      </c>
      <c r="B23" s="2223">
        <v>185362</v>
      </c>
      <c r="C23" s="2225">
        <v>844603</v>
      </c>
      <c r="D23" s="2986">
        <v>1015065</v>
      </c>
      <c r="E23" s="2986">
        <f>+'přepočet úroků'!Q17</f>
        <v>698469.89464999991</v>
      </c>
      <c r="F23" s="2986"/>
      <c r="G23" s="2986"/>
      <c r="H23" s="2986"/>
      <c r="I23" s="2986"/>
      <c r="J23" s="2986"/>
      <c r="K23" s="2986"/>
      <c r="L23" s="2986"/>
      <c r="M23" s="2986"/>
      <c r="N23" s="2986"/>
      <c r="O23" s="2986"/>
      <c r="P23" s="2986"/>
      <c r="Q23" s="2987"/>
      <c r="R23" s="2986"/>
      <c r="S23" s="2986"/>
      <c r="T23" s="2988"/>
      <c r="U23" s="2989"/>
      <c r="V23" s="2219"/>
    </row>
    <row r="24" spans="1:22" s="2220" customFormat="1" ht="12" customHeight="1" x14ac:dyDescent="0.25">
      <c r="A24" s="2212" t="s">
        <v>2865</v>
      </c>
      <c r="B24" s="2214"/>
      <c r="C24" s="2216"/>
      <c r="D24" s="2214"/>
      <c r="E24" s="2214"/>
      <c r="F24" s="2214"/>
      <c r="G24" s="2214"/>
      <c r="H24" s="2214"/>
      <c r="I24" s="2214"/>
      <c r="J24" s="2214"/>
      <c r="K24" s="2214"/>
      <c r="L24" s="2214"/>
      <c r="M24" s="2214"/>
      <c r="N24" s="2214"/>
      <c r="O24" s="2214"/>
      <c r="P24" s="2214"/>
      <c r="Q24" s="2216"/>
      <c r="R24" s="2214"/>
      <c r="S24" s="2214"/>
      <c r="T24" s="2217"/>
      <c r="U24" s="2218"/>
      <c r="V24" s="2219"/>
    </row>
    <row r="25" spans="1:22" s="2220" customFormat="1" ht="12" customHeight="1" x14ac:dyDescent="0.25">
      <c r="A25" s="2178" t="s">
        <v>2860</v>
      </c>
      <c r="B25" s="2223">
        <v>166680</v>
      </c>
      <c r="C25" s="2225">
        <v>166680</v>
      </c>
      <c r="D25" s="2223"/>
      <c r="E25" s="2223"/>
      <c r="F25" s="2223"/>
      <c r="G25" s="2223"/>
      <c r="H25" s="2223"/>
      <c r="I25" s="2223"/>
      <c r="J25" s="2223"/>
      <c r="K25" s="2223"/>
      <c r="L25" s="2223"/>
      <c r="M25" s="2223"/>
      <c r="N25" s="2223"/>
      <c r="O25" s="2223"/>
      <c r="P25" s="2223"/>
      <c r="Q25" s="2225"/>
      <c r="R25" s="2223"/>
      <c r="S25" s="2223"/>
      <c r="T25" s="2226"/>
      <c r="U25" s="2227"/>
      <c r="V25" s="2219"/>
    </row>
    <row r="26" spans="1:22" s="2220" customFormat="1" ht="12" customHeight="1" x14ac:dyDescent="0.25">
      <c r="A26" s="2186" t="s">
        <v>2861</v>
      </c>
      <c r="B26" s="2223">
        <v>31893</v>
      </c>
      <c r="C26" s="2225">
        <v>187683</v>
      </c>
      <c r="D26" s="2223"/>
      <c r="E26" s="2222"/>
      <c r="F26" s="2222"/>
      <c r="G26" s="2222"/>
      <c r="H26" s="2222"/>
      <c r="I26" s="2222"/>
      <c r="J26" s="2222"/>
      <c r="K26" s="2222"/>
      <c r="L26" s="2222"/>
      <c r="M26" s="2222"/>
      <c r="N26" s="2222"/>
      <c r="O26" s="2222"/>
      <c r="P26" s="2222"/>
      <c r="Q26" s="2266"/>
      <c r="R26" s="2223"/>
      <c r="S26" s="2223"/>
      <c r="T26" s="2266"/>
      <c r="U26" s="2227"/>
      <c r="V26" s="2219"/>
    </row>
    <row r="27" spans="1:22" s="2220" customFormat="1" ht="12" customHeight="1" x14ac:dyDescent="0.25">
      <c r="A27" s="2212" t="s">
        <v>2869</v>
      </c>
      <c r="B27" s="2214"/>
      <c r="C27" s="2216"/>
      <c r="D27" s="2214"/>
      <c r="E27" s="2214"/>
      <c r="F27" s="2214"/>
      <c r="G27" s="2214"/>
      <c r="H27" s="2214"/>
      <c r="I27" s="2214"/>
      <c r="J27" s="2214"/>
      <c r="K27" s="2214"/>
      <c r="L27" s="2214"/>
      <c r="M27" s="2214"/>
      <c r="N27" s="2214"/>
      <c r="O27" s="2214"/>
      <c r="P27" s="2214"/>
      <c r="Q27" s="2216"/>
      <c r="R27" s="2214"/>
      <c r="S27" s="2214"/>
      <c r="T27" s="2217"/>
      <c r="U27" s="2218"/>
      <c r="V27" s="2219"/>
    </row>
    <row r="28" spans="1:22" s="2220" customFormat="1" ht="12" customHeight="1" x14ac:dyDescent="0.25">
      <c r="A28" s="2178" t="s">
        <v>2860</v>
      </c>
      <c r="B28" s="2223"/>
      <c r="C28" s="2225"/>
      <c r="D28" s="2223">
        <v>52614429</v>
      </c>
      <c r="E28" s="2222"/>
      <c r="F28" s="2222"/>
      <c r="G28" s="2222"/>
      <c r="H28" s="2222"/>
      <c r="I28" s="2222"/>
      <c r="J28" s="2222"/>
      <c r="K28" s="2222"/>
      <c r="L28" s="2222"/>
      <c r="M28" s="2222"/>
      <c r="N28" s="2222"/>
      <c r="O28" s="2222"/>
      <c r="P28" s="2222"/>
      <c r="Q28" s="2266"/>
      <c r="R28" s="2223"/>
      <c r="S28" s="2223"/>
      <c r="T28" s="2266"/>
      <c r="U28" s="2227"/>
      <c r="V28" s="2219"/>
    </row>
    <row r="29" spans="1:22" s="2220" customFormat="1" ht="12" customHeight="1" x14ac:dyDescent="0.25">
      <c r="A29" s="2186" t="s">
        <v>2861</v>
      </c>
      <c r="B29" s="2223"/>
      <c r="C29" s="2225"/>
      <c r="D29" s="2223">
        <v>389641</v>
      </c>
      <c r="E29" s="2222"/>
      <c r="F29" s="2222"/>
      <c r="G29" s="2222"/>
      <c r="H29" s="2222"/>
      <c r="I29" s="2222"/>
      <c r="J29" s="2222"/>
      <c r="K29" s="2222"/>
      <c r="L29" s="2222"/>
      <c r="M29" s="2222"/>
      <c r="N29" s="2222"/>
      <c r="O29" s="2222"/>
      <c r="P29" s="2222"/>
      <c r="Q29" s="2266"/>
      <c r="R29" s="2223"/>
      <c r="S29" s="2223"/>
      <c r="T29" s="2266"/>
      <c r="U29" s="2227"/>
      <c r="V29" s="2219"/>
    </row>
    <row r="30" spans="1:22" s="2220" customFormat="1" ht="12" customHeight="1" x14ac:dyDescent="0.25">
      <c r="A30" s="2212" t="s">
        <v>2866</v>
      </c>
      <c r="B30" s="2214"/>
      <c r="C30" s="2216"/>
      <c r="D30" s="2214"/>
      <c r="E30" s="2214"/>
      <c r="F30" s="2214"/>
      <c r="G30" s="2214"/>
      <c r="H30" s="2214"/>
      <c r="I30" s="2214"/>
      <c r="J30" s="2214"/>
      <c r="K30" s="2214"/>
      <c r="L30" s="2214"/>
      <c r="M30" s="2214"/>
      <c r="N30" s="2214"/>
      <c r="O30" s="2214"/>
      <c r="P30" s="2214"/>
      <c r="Q30" s="2216"/>
      <c r="R30" s="2214"/>
      <c r="S30" s="2214"/>
      <c r="T30" s="2217"/>
      <c r="U30" s="2218"/>
      <c r="V30" s="2219"/>
    </row>
    <row r="31" spans="1:22" s="2220" customFormat="1" ht="12" customHeight="1" x14ac:dyDescent="0.25">
      <c r="A31" s="2178" t="s">
        <v>2860</v>
      </c>
      <c r="B31" s="2223"/>
      <c r="C31" s="2225"/>
      <c r="D31" s="2223"/>
      <c r="E31" s="2222"/>
      <c r="F31" s="2222"/>
      <c r="G31" s="2222"/>
      <c r="H31" s="2222"/>
      <c r="I31" s="2222"/>
      <c r="J31" s="2222"/>
      <c r="K31" s="2222"/>
      <c r="L31" s="2222"/>
      <c r="M31" s="2222"/>
      <c r="N31" s="2222"/>
      <c r="O31" s="2222"/>
      <c r="P31" s="2222"/>
      <c r="Q31" s="2266"/>
      <c r="R31" s="2223"/>
      <c r="S31" s="2223"/>
      <c r="T31" s="2266"/>
      <c r="U31" s="2227"/>
      <c r="V31" s="2219"/>
    </row>
    <row r="32" spans="1:22" s="2220" customFormat="1" ht="12" customHeight="1" x14ac:dyDescent="0.25">
      <c r="A32" s="2186" t="s">
        <v>2861</v>
      </c>
      <c r="B32" s="2223"/>
      <c r="C32" s="2225"/>
      <c r="D32" s="2223"/>
      <c r="E32" s="2222"/>
      <c r="F32" s="2222"/>
      <c r="G32" s="2222"/>
      <c r="H32" s="2222"/>
      <c r="I32" s="2222"/>
      <c r="J32" s="2222"/>
      <c r="K32" s="2222"/>
      <c r="L32" s="2222"/>
      <c r="M32" s="2222"/>
      <c r="N32" s="2222"/>
      <c r="O32" s="2222"/>
      <c r="P32" s="2222"/>
      <c r="Q32" s="2266"/>
      <c r="R32" s="2223"/>
      <c r="S32" s="2223"/>
      <c r="T32" s="2266"/>
      <c r="U32" s="2227"/>
      <c r="V32" s="2219"/>
    </row>
    <row r="33" spans="1:22" s="2234" customFormat="1" ht="13.5" thickBot="1" x14ac:dyDescent="0.3">
      <c r="A33" s="2228" t="s">
        <v>650</v>
      </c>
      <c r="B33" s="2230">
        <f>+B12+B13+B16+B17+B19+B20+B22+B23+B25+B26+B31+B32+B28+B29</f>
        <v>20561297</v>
      </c>
      <c r="C33" s="2984">
        <f t="shared" ref="C33:U33" si="0">+C12+C13+C16+C17+C19+C20+C22+C23+C25+C26+C31+C32+C28+C29</f>
        <v>22616791</v>
      </c>
      <c r="D33" s="2230">
        <f t="shared" si="0"/>
        <v>73876835</v>
      </c>
      <c r="E33" s="2229">
        <f t="shared" si="0"/>
        <v>10618218.734849999</v>
      </c>
      <c r="F33" s="2229">
        <f t="shared" si="0"/>
        <v>8581329.4635600001</v>
      </c>
      <c r="G33" s="2229">
        <f t="shared" si="0"/>
        <v>8064312</v>
      </c>
      <c r="H33" s="2229">
        <f t="shared" si="0"/>
        <v>8064312</v>
      </c>
      <c r="I33" s="2229">
        <f t="shared" si="0"/>
        <v>8064312</v>
      </c>
      <c r="J33" s="2229">
        <f t="shared" si="0"/>
        <v>8064312</v>
      </c>
      <c r="K33" s="2229">
        <f t="shared" si="0"/>
        <v>8064312</v>
      </c>
      <c r="L33" s="2229">
        <f t="shared" si="0"/>
        <v>8064312</v>
      </c>
      <c r="M33" s="2229">
        <f t="shared" si="0"/>
        <v>8064312</v>
      </c>
      <c r="N33" s="2229">
        <f t="shared" si="0"/>
        <v>8064312</v>
      </c>
      <c r="O33" s="2229">
        <f t="shared" si="0"/>
        <v>8064312</v>
      </c>
      <c r="P33" s="2229">
        <f t="shared" si="0"/>
        <v>8064312</v>
      </c>
      <c r="Q33" s="2232">
        <f t="shared" si="0"/>
        <v>8064312</v>
      </c>
      <c r="R33" s="2230">
        <f t="shared" si="0"/>
        <v>2945820</v>
      </c>
      <c r="S33" s="2230">
        <f t="shared" si="0"/>
        <v>2945820</v>
      </c>
      <c r="T33" s="2229">
        <f t="shared" si="0"/>
        <v>2945820</v>
      </c>
      <c r="U33" s="2233">
        <f t="shared" si="0"/>
        <v>0</v>
      </c>
      <c r="V33" s="2147"/>
    </row>
    <row r="34" spans="1:22" s="2139" customFormat="1" ht="14.25" customHeight="1" thickBot="1" x14ac:dyDescent="0.3">
      <c r="A34" s="2235"/>
      <c r="B34" s="2148"/>
      <c r="C34" s="2148"/>
      <c r="D34" s="2148"/>
      <c r="E34" s="2148"/>
      <c r="F34" s="2148"/>
      <c r="G34" s="2148"/>
      <c r="H34" s="2148"/>
      <c r="I34" s="2148"/>
      <c r="J34" s="2148"/>
      <c r="K34" s="2148"/>
      <c r="L34" s="2148"/>
      <c r="M34" s="2148"/>
      <c r="N34" s="2148"/>
      <c r="O34" s="2148"/>
      <c r="P34" s="2148"/>
      <c r="Q34" s="2148"/>
      <c r="R34" s="2148"/>
      <c r="S34" s="2148"/>
      <c r="T34" s="2148"/>
      <c r="U34" s="2148"/>
      <c r="V34" s="2147"/>
    </row>
    <row r="35" spans="1:22" s="2139" customFormat="1" ht="12.75" x14ac:dyDescent="0.25">
      <c r="A35" s="2236" t="s">
        <v>2859</v>
      </c>
      <c r="B35" s="2238">
        <v>22727264</v>
      </c>
      <c r="C35" s="2238">
        <v>11818172</v>
      </c>
      <c r="D35" s="2238">
        <v>1816171</v>
      </c>
      <c r="E35" s="2238">
        <f>+D35-E12</f>
        <v>907080</v>
      </c>
      <c r="F35" s="2238"/>
      <c r="G35" s="2238"/>
      <c r="H35" s="2238"/>
      <c r="I35" s="2238"/>
      <c r="J35" s="2238"/>
      <c r="K35" s="2238"/>
      <c r="L35" s="2238"/>
      <c r="M35" s="2238"/>
      <c r="N35" s="2238"/>
      <c r="O35" s="2238"/>
      <c r="P35" s="2238"/>
      <c r="Q35" s="2241"/>
      <c r="R35" s="2241"/>
      <c r="S35" s="2238"/>
      <c r="T35" s="2242"/>
      <c r="U35" s="2243"/>
      <c r="V35" s="2147"/>
    </row>
    <row r="36" spans="1:22" s="2139" customFormat="1" ht="12.75" x14ac:dyDescent="0.25">
      <c r="A36" s="2162" t="s">
        <v>2862</v>
      </c>
      <c r="B36" s="2172">
        <v>78056852</v>
      </c>
      <c r="C36" s="2172">
        <v>72938360</v>
      </c>
      <c r="D36" s="2172">
        <v>67819868</v>
      </c>
      <c r="E36" s="2172">
        <f>+D36-E16</f>
        <v>62701376</v>
      </c>
      <c r="F36" s="2172">
        <f t="shared" ref="F36:Q36" si="1">E36-F12</f>
        <v>62701376</v>
      </c>
      <c r="G36" s="2172">
        <f t="shared" si="1"/>
        <v>62701376</v>
      </c>
      <c r="H36" s="2172">
        <f t="shared" si="1"/>
        <v>62701376</v>
      </c>
      <c r="I36" s="2172">
        <f t="shared" si="1"/>
        <v>62701376</v>
      </c>
      <c r="J36" s="2172">
        <f t="shared" si="1"/>
        <v>62701376</v>
      </c>
      <c r="K36" s="2172">
        <f t="shared" si="1"/>
        <v>62701376</v>
      </c>
      <c r="L36" s="2172">
        <f t="shared" si="1"/>
        <v>62701376</v>
      </c>
      <c r="M36" s="2172">
        <f t="shared" si="1"/>
        <v>62701376</v>
      </c>
      <c r="N36" s="2172">
        <f t="shared" si="1"/>
        <v>62701376</v>
      </c>
      <c r="O36" s="2172">
        <f t="shared" si="1"/>
        <v>62701376</v>
      </c>
      <c r="P36" s="2172">
        <f t="shared" si="1"/>
        <v>62701376</v>
      </c>
      <c r="Q36" s="2175">
        <f t="shared" si="1"/>
        <v>62701376</v>
      </c>
      <c r="R36" s="2175"/>
      <c r="S36" s="2172"/>
      <c r="T36" s="2244"/>
      <c r="U36" s="2177"/>
      <c r="V36" s="2147"/>
    </row>
    <row r="37" spans="1:22" s="2139" customFormat="1" ht="12.75" x14ac:dyDescent="0.25">
      <c r="A37" s="2162" t="s">
        <v>2863</v>
      </c>
      <c r="B37" s="2172">
        <v>28301880</v>
      </c>
      <c r="C37" s="2172">
        <v>26037720</v>
      </c>
      <c r="D37" s="2245">
        <v>23773560</v>
      </c>
      <c r="E37" s="2245">
        <f>+D37-E19</f>
        <v>21509400</v>
      </c>
      <c r="F37" s="2245">
        <f t="shared" ref="F37:N37" si="2">+E37-F17</f>
        <v>20992382.53644</v>
      </c>
      <c r="G37" s="2245">
        <f t="shared" si="2"/>
        <v>20992382.53644</v>
      </c>
      <c r="H37" s="2245">
        <f t="shared" si="2"/>
        <v>20992382.53644</v>
      </c>
      <c r="I37" s="2245">
        <f t="shared" si="2"/>
        <v>20992382.53644</v>
      </c>
      <c r="J37" s="2245">
        <f t="shared" si="2"/>
        <v>20992382.53644</v>
      </c>
      <c r="K37" s="2245">
        <f t="shared" si="2"/>
        <v>20992382.53644</v>
      </c>
      <c r="L37" s="2245">
        <f t="shared" si="2"/>
        <v>20992382.53644</v>
      </c>
      <c r="M37" s="2245">
        <f t="shared" si="2"/>
        <v>20992382.53644</v>
      </c>
      <c r="N37" s="2245">
        <f t="shared" si="2"/>
        <v>20992382.53644</v>
      </c>
      <c r="O37" s="2245"/>
      <c r="P37" s="2245"/>
      <c r="Q37" s="2249"/>
      <c r="R37" s="2249"/>
      <c r="S37" s="2245"/>
      <c r="T37" s="2250"/>
      <c r="U37" s="2251"/>
      <c r="V37" s="2147"/>
    </row>
    <row r="38" spans="1:22" s="2183" customFormat="1" ht="12.75" x14ac:dyDescent="0.25">
      <c r="A38" s="2162" t="s">
        <v>2864</v>
      </c>
      <c r="B38" s="2172">
        <v>13980000</v>
      </c>
      <c r="C38" s="2172">
        <v>13260000</v>
      </c>
      <c r="D38" s="3188">
        <v>14542045</v>
      </c>
      <c r="E38" s="3188">
        <f>+D38-E22</f>
        <v>13860385</v>
      </c>
      <c r="F38" s="3188">
        <f>+E38-F22</f>
        <v>13178725</v>
      </c>
      <c r="G38" s="3188">
        <f t="shared" ref="G38:U38" si="3">+F38-G22</f>
        <v>12497065</v>
      </c>
      <c r="H38" s="3188">
        <f t="shared" si="3"/>
        <v>11815405</v>
      </c>
      <c r="I38" s="3188">
        <f t="shared" si="3"/>
        <v>11133745</v>
      </c>
      <c r="J38" s="3188">
        <f t="shared" si="3"/>
        <v>10452085</v>
      </c>
      <c r="K38" s="3188">
        <f t="shared" si="3"/>
        <v>9770425</v>
      </c>
      <c r="L38" s="3188">
        <f t="shared" si="3"/>
        <v>9088765</v>
      </c>
      <c r="M38" s="3188">
        <f t="shared" si="3"/>
        <v>8407105</v>
      </c>
      <c r="N38" s="3188">
        <f t="shared" si="3"/>
        <v>7725445</v>
      </c>
      <c r="O38" s="3188">
        <f t="shared" si="3"/>
        <v>7043785</v>
      </c>
      <c r="P38" s="3188">
        <f t="shared" si="3"/>
        <v>6362125</v>
      </c>
      <c r="Q38" s="3188">
        <f t="shared" si="3"/>
        <v>5680465</v>
      </c>
      <c r="R38" s="3188">
        <f t="shared" si="3"/>
        <v>4998805</v>
      </c>
      <c r="S38" s="3188">
        <f t="shared" si="3"/>
        <v>4317145</v>
      </c>
      <c r="T38" s="3188">
        <f t="shared" si="3"/>
        <v>3635485</v>
      </c>
      <c r="U38" s="3188">
        <f t="shared" si="3"/>
        <v>3635485</v>
      </c>
      <c r="V38" s="2211"/>
    </row>
    <row r="39" spans="1:22" s="2183" customFormat="1" ht="12" customHeight="1" x14ac:dyDescent="0.25">
      <c r="A39" s="2162" t="s">
        <v>2865</v>
      </c>
      <c r="B39" s="2172">
        <v>2249980</v>
      </c>
      <c r="C39" s="2172">
        <v>2083300</v>
      </c>
      <c r="D39" s="3189"/>
      <c r="E39" s="3189"/>
      <c r="F39" s="3189"/>
      <c r="G39" s="3189"/>
      <c r="H39" s="3189"/>
      <c r="I39" s="3189"/>
      <c r="J39" s="3189"/>
      <c r="K39" s="3189"/>
      <c r="L39" s="3189"/>
      <c r="M39" s="3189"/>
      <c r="N39" s="3189"/>
      <c r="O39" s="3189"/>
      <c r="P39" s="3189"/>
      <c r="Q39" s="3189"/>
      <c r="R39" s="3189"/>
      <c r="S39" s="3189"/>
      <c r="T39" s="3189"/>
      <c r="U39" s="3189"/>
      <c r="V39" s="2211"/>
    </row>
    <row r="40" spans="1:22" s="2183" customFormat="1" ht="12.75" x14ac:dyDescent="0.25">
      <c r="A40" s="2162" t="s">
        <v>2867</v>
      </c>
      <c r="B40" s="2245"/>
      <c r="C40" s="2245"/>
      <c r="D40" s="2245">
        <v>47385571</v>
      </c>
      <c r="E40" s="2256">
        <f>+D40-E28</f>
        <v>47385571</v>
      </c>
      <c r="F40" s="2256"/>
      <c r="G40" s="2256"/>
      <c r="H40" s="2256"/>
      <c r="I40" s="2256"/>
      <c r="J40" s="2256"/>
      <c r="K40" s="2256"/>
      <c r="L40" s="2256"/>
      <c r="M40" s="2256"/>
      <c r="N40" s="2256"/>
      <c r="O40" s="2256"/>
      <c r="P40" s="2256"/>
      <c r="Q40" s="2257"/>
      <c r="R40" s="2257"/>
      <c r="S40" s="2256"/>
      <c r="T40" s="2258"/>
      <c r="U40" s="2259"/>
      <c r="V40" s="2211"/>
    </row>
    <row r="41" spans="1:22" s="2183" customFormat="1" ht="12.75" x14ac:dyDescent="0.25">
      <c r="A41" s="2260" t="s">
        <v>2868</v>
      </c>
      <c r="B41" s="2256"/>
      <c r="C41" s="2256"/>
      <c r="D41" s="2256"/>
      <c r="E41" s="2256">
        <f>+D41-E31</f>
        <v>0</v>
      </c>
      <c r="F41" s="2256">
        <f t="shared" ref="F41:U41" si="4">+E41-F23</f>
        <v>0</v>
      </c>
      <c r="G41" s="2256">
        <f t="shared" si="4"/>
        <v>0</v>
      </c>
      <c r="H41" s="2256">
        <f t="shared" si="4"/>
        <v>0</v>
      </c>
      <c r="I41" s="2256">
        <f t="shared" si="4"/>
        <v>0</v>
      </c>
      <c r="J41" s="2256">
        <f t="shared" si="4"/>
        <v>0</v>
      </c>
      <c r="K41" s="2256">
        <f t="shared" si="4"/>
        <v>0</v>
      </c>
      <c r="L41" s="2256">
        <f t="shared" si="4"/>
        <v>0</v>
      </c>
      <c r="M41" s="2256">
        <f t="shared" si="4"/>
        <v>0</v>
      </c>
      <c r="N41" s="2256">
        <f t="shared" si="4"/>
        <v>0</v>
      </c>
      <c r="O41" s="2256">
        <f t="shared" si="4"/>
        <v>0</v>
      </c>
      <c r="P41" s="2256">
        <f t="shared" si="4"/>
        <v>0</v>
      </c>
      <c r="Q41" s="2257">
        <f t="shared" si="4"/>
        <v>0</v>
      </c>
      <c r="R41" s="2257">
        <f t="shared" si="4"/>
        <v>0</v>
      </c>
      <c r="S41" s="2256">
        <f t="shared" si="4"/>
        <v>0</v>
      </c>
      <c r="T41" s="2258">
        <f t="shared" si="4"/>
        <v>0</v>
      </c>
      <c r="U41" s="2259">
        <f t="shared" si="4"/>
        <v>0</v>
      </c>
      <c r="V41" s="2211"/>
    </row>
    <row r="42" spans="1:22" s="2234" customFormat="1" ht="13.5" thickBot="1" x14ac:dyDescent="0.3">
      <c r="A42" s="2269" t="s">
        <v>773</v>
      </c>
      <c r="B42" s="2271">
        <f>SUM(B35:B39)</f>
        <v>145315976</v>
      </c>
      <c r="C42" s="2274">
        <f>SUM(C35:C39)</f>
        <v>126137552</v>
      </c>
      <c r="D42" s="2271">
        <f t="shared" ref="D42:U42" si="5">SUM(D35:D41)</f>
        <v>155337215</v>
      </c>
      <c r="E42" s="2270">
        <f t="shared" si="5"/>
        <v>146363812</v>
      </c>
      <c r="F42" s="2270">
        <f t="shared" si="5"/>
        <v>96872483.53644</v>
      </c>
      <c r="G42" s="2270">
        <f t="shared" si="5"/>
        <v>96190823.53644</v>
      </c>
      <c r="H42" s="2270">
        <f t="shared" si="5"/>
        <v>95509163.53644</v>
      </c>
      <c r="I42" s="2270">
        <f t="shared" si="5"/>
        <v>94827503.53644</v>
      </c>
      <c r="J42" s="2270">
        <f t="shared" si="5"/>
        <v>94145843.53644</v>
      </c>
      <c r="K42" s="2270">
        <f t="shared" si="5"/>
        <v>93464183.53644</v>
      </c>
      <c r="L42" s="2270">
        <f t="shared" si="5"/>
        <v>92782523.53644</v>
      </c>
      <c r="M42" s="2270">
        <f t="shared" si="5"/>
        <v>92100863.53644</v>
      </c>
      <c r="N42" s="2270">
        <f t="shared" si="5"/>
        <v>91419203.53644</v>
      </c>
      <c r="O42" s="2270">
        <f t="shared" si="5"/>
        <v>69745161</v>
      </c>
      <c r="P42" s="2270">
        <f t="shared" si="5"/>
        <v>69063501</v>
      </c>
      <c r="Q42" s="2273">
        <f t="shared" si="5"/>
        <v>68381841</v>
      </c>
      <c r="R42" s="2274">
        <f t="shared" si="5"/>
        <v>4998805</v>
      </c>
      <c r="S42" s="2271">
        <f t="shared" si="5"/>
        <v>4317145</v>
      </c>
      <c r="T42" s="2273">
        <f t="shared" si="5"/>
        <v>3635485</v>
      </c>
      <c r="U42" s="2275">
        <f t="shared" si="5"/>
        <v>3635485</v>
      </c>
      <c r="V42" s="2147"/>
    </row>
    <row r="43" spans="1:22" ht="16.5" customHeight="1" thickBot="1" x14ac:dyDescent="0.3">
      <c r="A43" s="2147"/>
      <c r="B43" s="2148"/>
      <c r="C43" s="2148"/>
      <c r="D43" s="2148"/>
      <c r="E43" s="2148"/>
      <c r="F43" s="2148"/>
      <c r="G43" s="2148"/>
      <c r="H43" s="2148"/>
      <c r="I43" s="2148"/>
      <c r="J43" s="2148"/>
      <c r="K43" s="2148"/>
      <c r="L43" s="2148"/>
      <c r="M43" s="2148"/>
      <c r="N43" s="2148"/>
      <c r="O43" s="2148"/>
      <c r="P43" s="2148"/>
      <c r="Q43" s="2148"/>
      <c r="R43" s="2148"/>
      <c r="S43" s="2148"/>
      <c r="T43" s="2148"/>
      <c r="U43" s="2148"/>
      <c r="V43" s="2147"/>
    </row>
    <row r="44" spans="1:22" s="2283" customFormat="1" ht="12.75" x14ac:dyDescent="0.25">
      <c r="A44" s="2276" t="s">
        <v>668</v>
      </c>
      <c r="B44" s="2278">
        <v>179926851</v>
      </c>
      <c r="C44" s="2281">
        <v>212770795.75999999</v>
      </c>
      <c r="D44" s="2278">
        <v>251112544</v>
      </c>
      <c r="E44" s="2278">
        <f>+'Souhrn příjmů a výdajů 2024'!H213</f>
        <v>271245741</v>
      </c>
      <c r="F44" s="2278">
        <f t="shared" ref="F44:U44" si="6">+E44*1.005</f>
        <v>272601969.70499998</v>
      </c>
      <c r="G44" s="2278">
        <f t="shared" si="6"/>
        <v>273964979.55352497</v>
      </c>
      <c r="H44" s="2278">
        <f t="shared" si="6"/>
        <v>275334804.45129257</v>
      </c>
      <c r="I44" s="2278">
        <f t="shared" si="6"/>
        <v>276711478.47354901</v>
      </c>
      <c r="J44" s="2278">
        <f t="shared" si="6"/>
        <v>278095035.86591673</v>
      </c>
      <c r="K44" s="2278">
        <f t="shared" si="6"/>
        <v>279485511.0452463</v>
      </c>
      <c r="L44" s="2278">
        <f t="shared" si="6"/>
        <v>280882938.60047251</v>
      </c>
      <c r="M44" s="2278">
        <f t="shared" si="6"/>
        <v>282287353.29347485</v>
      </c>
      <c r="N44" s="2278">
        <f t="shared" si="6"/>
        <v>283698790.05994219</v>
      </c>
      <c r="O44" s="2278">
        <f t="shared" si="6"/>
        <v>285117284.01024187</v>
      </c>
      <c r="P44" s="2278">
        <f t="shared" si="6"/>
        <v>286542870.43029302</v>
      </c>
      <c r="Q44" s="2281">
        <f t="shared" si="6"/>
        <v>287975584.78244448</v>
      </c>
      <c r="R44" s="2281">
        <f t="shared" si="6"/>
        <v>289415462.70635664</v>
      </c>
      <c r="S44" s="2278">
        <f t="shared" si="6"/>
        <v>290862540.0198884</v>
      </c>
      <c r="T44" s="2282">
        <f t="shared" si="6"/>
        <v>292316852.71998781</v>
      </c>
      <c r="U44" s="2279">
        <f t="shared" si="6"/>
        <v>293778436.98358774</v>
      </c>
      <c r="V44" s="2147"/>
    </row>
    <row r="45" spans="1:22" ht="13.5" thickBot="1" x14ac:dyDescent="0.3">
      <c r="A45" s="2284" t="s">
        <v>669</v>
      </c>
      <c r="B45" s="2286">
        <f t="shared" ref="B45:U45" si="7">+B33/B44</f>
        <v>0.11427586758576684</v>
      </c>
      <c r="C45" s="2289">
        <f t="shared" si="7"/>
        <v>0.10629650050992506</v>
      </c>
      <c r="D45" s="2286">
        <f t="shared" si="7"/>
        <v>0.29419810664655605</v>
      </c>
      <c r="E45" s="2286">
        <f t="shared" si="7"/>
        <v>3.9146121504816542E-2</v>
      </c>
      <c r="F45" s="2286">
        <f t="shared" si="7"/>
        <v>3.1479337705616749E-2</v>
      </c>
      <c r="G45" s="2286">
        <f t="shared" si="7"/>
        <v>2.9435557833494781E-2</v>
      </c>
      <c r="H45" s="2286">
        <f t="shared" si="7"/>
        <v>2.9289112272134113E-2</v>
      </c>
      <c r="I45" s="2286">
        <f t="shared" si="7"/>
        <v>2.9143395295655839E-2</v>
      </c>
      <c r="J45" s="2286">
        <f t="shared" si="7"/>
        <v>2.8998403279259545E-2</v>
      </c>
      <c r="K45" s="2286">
        <f t="shared" si="7"/>
        <v>2.8854132616178651E-2</v>
      </c>
      <c r="L45" s="2286">
        <f t="shared" si="7"/>
        <v>2.8710579717590699E-2</v>
      </c>
      <c r="M45" s="2286">
        <f t="shared" si="7"/>
        <v>2.8567741012528063E-2</v>
      </c>
      <c r="N45" s="2286">
        <f t="shared" si="7"/>
        <v>2.8425612947789121E-2</v>
      </c>
      <c r="O45" s="2286">
        <f t="shared" si="7"/>
        <v>2.8284191987849875E-2</v>
      </c>
      <c r="P45" s="2286">
        <f t="shared" si="7"/>
        <v>2.8143474614775999E-2</v>
      </c>
      <c r="Q45" s="2289">
        <f t="shared" si="7"/>
        <v>2.8003457328135323E-2</v>
      </c>
      <c r="R45" s="2289">
        <f t="shared" si="7"/>
        <v>1.0178516284006752E-2</v>
      </c>
      <c r="S45" s="2286">
        <f t="shared" si="7"/>
        <v>1.0127876899509208E-2</v>
      </c>
      <c r="T45" s="2290">
        <f t="shared" si="7"/>
        <v>1.0077489452247968E-2</v>
      </c>
      <c r="U45" s="2287">
        <f t="shared" si="7"/>
        <v>0</v>
      </c>
      <c r="V45" s="2147"/>
    </row>
    <row r="46" spans="1:22" ht="13.5" hidden="1" thickBot="1" x14ac:dyDescent="0.3">
      <c r="A46" s="2291" t="s">
        <v>670</v>
      </c>
      <c r="B46" s="2293">
        <f t="shared" ref="B46:Q46" si="8">B42/B44</f>
        <v>0.80763918888348685</v>
      </c>
      <c r="C46" s="2294">
        <f t="shared" si="8"/>
        <v>0.59283301333459282</v>
      </c>
      <c r="D46" s="2292">
        <f t="shared" si="8"/>
        <v>0.61859599893185746</v>
      </c>
      <c r="E46" s="2293">
        <f t="shared" si="8"/>
        <v>0.53959856276600482</v>
      </c>
      <c r="F46" s="2293">
        <f t="shared" si="8"/>
        <v>0.35536237555903177</v>
      </c>
      <c r="G46" s="2293">
        <f t="shared" si="8"/>
        <v>0.35110627531007865</v>
      </c>
      <c r="H46" s="2293">
        <f t="shared" si="8"/>
        <v>0.34688372843664889</v>
      </c>
      <c r="I46" s="2293">
        <f t="shared" si="8"/>
        <v>0.34269450642071797</v>
      </c>
      <c r="J46" s="2293">
        <f t="shared" si="8"/>
        <v>0.33853838218756388</v>
      </c>
      <c r="K46" s="2293">
        <f t="shared" si="8"/>
        <v>0.33441513009706236</v>
      </c>
      <c r="L46" s="2293">
        <f t="shared" si="8"/>
        <v>0.33032452593503275</v>
      </c>
      <c r="M46" s="2293">
        <f t="shared" si="8"/>
        <v>0.32626634690463457</v>
      </c>
      <c r="N46" s="2293">
        <f t="shared" si="8"/>
        <v>0.3222403716178141</v>
      </c>
      <c r="O46" s="2293">
        <f t="shared" si="8"/>
        <v>0.2446191967705986</v>
      </c>
      <c r="P46" s="2293">
        <f t="shared" si="8"/>
        <v>0.24102327479406263</v>
      </c>
      <c r="Q46" s="2294">
        <f t="shared" si="8"/>
        <v>0.2374570783549588</v>
      </c>
      <c r="R46" s="2295"/>
      <c r="S46" s="2295"/>
      <c r="T46" s="2295"/>
      <c r="U46" s="2295"/>
      <c r="V46" s="2147"/>
    </row>
    <row r="47" spans="1:22" ht="13.5" thickBot="1" x14ac:dyDescent="0.3">
      <c r="A47" s="2147"/>
      <c r="B47" s="2147"/>
      <c r="C47" s="2147"/>
      <c r="D47" s="2147"/>
      <c r="E47" s="2147"/>
      <c r="F47" s="2147"/>
      <c r="G47" s="2147"/>
      <c r="H47" s="2147"/>
      <c r="I47" s="2147"/>
      <c r="J47" s="2147"/>
      <c r="K47" s="2147"/>
      <c r="L47" s="2147"/>
      <c r="M47" s="2147"/>
      <c r="N47" s="2147"/>
      <c r="O47" s="2147"/>
      <c r="P47" s="2147"/>
      <c r="Q47" s="2147"/>
      <c r="R47" s="2147"/>
      <c r="S47" s="2147"/>
      <c r="T47" s="2147"/>
      <c r="U47" s="2147"/>
      <c r="V47" s="2147"/>
    </row>
    <row r="48" spans="1:22" s="2283" customFormat="1" ht="13.5" thickBot="1" x14ac:dyDescent="0.3">
      <c r="A48" s="2160" t="s">
        <v>671</v>
      </c>
      <c r="B48" s="2296"/>
      <c r="C48" s="2296"/>
      <c r="D48" s="2296"/>
      <c r="E48" s="2297"/>
      <c r="F48" s="2297"/>
      <c r="G48" s="2297"/>
      <c r="H48" s="2297"/>
      <c r="I48" s="2297"/>
      <c r="J48" s="2297"/>
      <c r="K48" s="2297"/>
      <c r="L48" s="2297"/>
      <c r="M48" s="2297"/>
      <c r="N48" s="2297"/>
      <c r="O48" s="2297"/>
      <c r="P48" s="2297"/>
      <c r="Q48" s="2297"/>
      <c r="R48" s="2297"/>
      <c r="S48" s="2297"/>
      <c r="T48" s="2297"/>
      <c r="U48" s="2297"/>
      <c r="V48" s="2147"/>
    </row>
    <row r="49" spans="1:22" ht="12.75" x14ac:dyDescent="0.25">
      <c r="A49" s="2298" t="s">
        <v>2558</v>
      </c>
      <c r="B49" s="2237">
        <v>169590252</v>
      </c>
      <c r="C49" s="2242">
        <v>174677959.56</v>
      </c>
      <c r="D49" s="2238">
        <v>182138129</v>
      </c>
      <c r="E49" s="2237">
        <f t="shared" ref="E49:Q49" si="9">+D49*1.02</f>
        <v>185780891.58000001</v>
      </c>
      <c r="F49" s="2237">
        <f t="shared" si="9"/>
        <v>189496509.41160002</v>
      </c>
      <c r="G49" s="2237">
        <f t="shared" si="9"/>
        <v>193286439.59983203</v>
      </c>
      <c r="H49" s="2237">
        <f t="shared" si="9"/>
        <v>197152168.39182869</v>
      </c>
      <c r="I49" s="2237">
        <f t="shared" si="9"/>
        <v>201095211.75966525</v>
      </c>
      <c r="J49" s="2237">
        <f t="shared" si="9"/>
        <v>205117115.99485856</v>
      </c>
      <c r="K49" s="2237">
        <f t="shared" si="9"/>
        <v>209219458.31475574</v>
      </c>
      <c r="L49" s="2237">
        <f t="shared" si="9"/>
        <v>213403847.48105085</v>
      </c>
      <c r="M49" s="2237">
        <f t="shared" si="9"/>
        <v>217671924.43067187</v>
      </c>
      <c r="N49" s="2237">
        <f t="shared" si="9"/>
        <v>222025362.9192853</v>
      </c>
      <c r="O49" s="2237">
        <f t="shared" si="9"/>
        <v>226465870.17767102</v>
      </c>
      <c r="P49" s="2237">
        <f t="shared" si="9"/>
        <v>230995187.58122444</v>
      </c>
      <c r="Q49" s="2300">
        <f t="shared" si="9"/>
        <v>235615091.33284894</v>
      </c>
      <c r="R49" s="1023"/>
      <c r="S49" s="1023"/>
      <c r="T49" s="1023"/>
      <c r="U49" s="1023"/>
      <c r="V49" s="2147"/>
    </row>
    <row r="50" spans="1:22" s="2307" customFormat="1" ht="13.5" thickBot="1" x14ac:dyDescent="0.3">
      <c r="A50" s="2301" t="s">
        <v>670</v>
      </c>
      <c r="B50" s="2302">
        <f t="shared" ref="B50:Q50" si="10">+B42/B49</f>
        <v>0.85686514576321282</v>
      </c>
      <c r="C50" s="2985">
        <f>+C42/C49</f>
        <v>0.72211486965917471</v>
      </c>
      <c r="D50" s="2302">
        <f t="shared" si="10"/>
        <v>0.85285390737707645</v>
      </c>
      <c r="E50" s="2302">
        <f t="shared" si="10"/>
        <v>0.78783028090363949</v>
      </c>
      <c r="F50" s="2302">
        <f t="shared" si="10"/>
        <v>0.51120985730679613</v>
      </c>
      <c r="G50" s="2302">
        <f t="shared" si="10"/>
        <v>0.49765945161795816</v>
      </c>
      <c r="H50" s="2302">
        <f t="shared" si="10"/>
        <v>0.4844438908053042</v>
      </c>
      <c r="I50" s="2302">
        <f t="shared" si="10"/>
        <v>0.47155525338798776</v>
      </c>
      <c r="J50" s="2302">
        <f t="shared" si="10"/>
        <v>0.45898579979449322</v>
      </c>
      <c r="K50" s="2302">
        <f t="shared" si="10"/>
        <v>0.44672796827448913</v>
      </c>
      <c r="L50" s="2302">
        <f t="shared" si="10"/>
        <v>0.43477437090106169</v>
      </c>
      <c r="M50" s="2302">
        <f t="shared" si="10"/>
        <v>0.42311778966135782</v>
      </c>
      <c r="N50" s="2302">
        <f t="shared" si="10"/>
        <v>0.41175117263370659</v>
      </c>
      <c r="O50" s="2302">
        <f t="shared" si="10"/>
        <v>0.30797206195036053</v>
      </c>
      <c r="P50" s="2302">
        <f t="shared" si="10"/>
        <v>0.29898242350055593</v>
      </c>
      <c r="Q50" s="2303">
        <f t="shared" si="10"/>
        <v>0.29022691463934402</v>
      </c>
      <c r="R50" s="2306"/>
      <c r="S50" s="2306"/>
      <c r="T50" s="2306"/>
      <c r="U50" s="2306"/>
      <c r="V50" s="2147"/>
    </row>
    <row r="51" spans="1:22" ht="12.75" x14ac:dyDescent="0.25">
      <c r="A51" s="2147"/>
      <c r="B51" s="2147"/>
      <c r="C51" s="2147"/>
      <c r="D51" s="2147"/>
      <c r="E51" s="2147"/>
      <c r="F51" s="2147"/>
      <c r="G51" s="2147"/>
      <c r="H51" s="2147"/>
      <c r="I51" s="2147"/>
      <c r="J51" s="2147"/>
      <c r="K51" s="2147"/>
      <c r="L51" s="2147"/>
      <c r="M51" s="2147"/>
      <c r="N51" s="2147"/>
      <c r="O51" s="2147"/>
      <c r="P51" s="2147"/>
      <c r="Q51" s="2147"/>
      <c r="R51" s="2147"/>
      <c r="S51" s="2147"/>
      <c r="T51" s="2147"/>
      <c r="U51" s="2147"/>
      <c r="V51" s="2147"/>
    </row>
    <row r="52" spans="1:22" ht="12.75" hidden="1" x14ac:dyDescent="0.25">
      <c r="A52" s="2147"/>
      <c r="B52" s="2147"/>
      <c r="C52" s="2147"/>
      <c r="D52" s="2147"/>
      <c r="E52" s="2147"/>
      <c r="F52" s="2147"/>
      <c r="G52" s="2147"/>
      <c r="H52" s="2147"/>
      <c r="I52" s="2147"/>
      <c r="J52" s="2147"/>
      <c r="K52" s="2147"/>
      <c r="L52" s="2147"/>
      <c r="M52" s="2147"/>
      <c r="N52" s="2147"/>
      <c r="O52" s="2147"/>
      <c r="P52" s="2147"/>
      <c r="Q52" s="2147"/>
      <c r="R52" s="2147"/>
      <c r="S52" s="2147"/>
      <c r="T52" s="2147"/>
      <c r="U52" s="2147"/>
      <c r="V52" s="2147"/>
    </row>
    <row r="53" spans="1:22" s="2314" customFormat="1" ht="13.5" hidden="1" thickBot="1" x14ac:dyDescent="0.3">
      <c r="A53" s="2308" t="s">
        <v>683</v>
      </c>
      <c r="B53" s="2313"/>
      <c r="C53" s="2310">
        <v>2018</v>
      </c>
      <c r="D53" s="2311"/>
      <c r="E53" s="2312"/>
      <c r="F53" s="2312"/>
      <c r="G53" s="2313"/>
      <c r="H53" s="2310">
        <v>2019</v>
      </c>
      <c r="I53" s="2311"/>
      <c r="J53" s="2312"/>
      <c r="K53" s="2312"/>
      <c r="L53" s="2313"/>
      <c r="M53" s="2310">
        <v>2020</v>
      </c>
      <c r="N53" s="2311"/>
      <c r="O53" s="2311"/>
      <c r="P53" s="2312"/>
      <c r="Q53" s="2313"/>
      <c r="R53" s="2308"/>
      <c r="S53" s="2308"/>
      <c r="T53" s="2308"/>
      <c r="U53" s="2308"/>
      <c r="V53" s="2308"/>
    </row>
    <row r="54" spans="1:22" ht="13.5" hidden="1" thickBot="1" x14ac:dyDescent="0.3">
      <c r="A54" s="2147"/>
      <c r="B54" s="2320" t="s">
        <v>681</v>
      </c>
      <c r="C54" s="2316"/>
      <c r="D54" s="2317" t="s">
        <v>678</v>
      </c>
      <c r="E54" s="2318" t="s">
        <v>679</v>
      </c>
      <c r="F54" s="2319" t="s">
        <v>680</v>
      </c>
      <c r="G54" s="2320" t="s">
        <v>681</v>
      </c>
      <c r="H54" s="2316"/>
      <c r="I54" s="2317" t="s">
        <v>678</v>
      </c>
      <c r="J54" s="2318" t="s">
        <v>679</v>
      </c>
      <c r="K54" s="2319" t="s">
        <v>680</v>
      </c>
      <c r="L54" s="2320" t="s">
        <v>681</v>
      </c>
      <c r="M54" s="2316"/>
      <c r="N54" s="2321" t="s">
        <v>678</v>
      </c>
      <c r="O54" s="2317" t="s">
        <v>679</v>
      </c>
      <c r="P54" s="2319" t="s">
        <v>680</v>
      </c>
      <c r="Q54" s="2320" t="s">
        <v>681</v>
      </c>
      <c r="R54" s="2322"/>
      <c r="S54" s="2322"/>
      <c r="T54" s="2322"/>
      <c r="U54" s="2322"/>
      <c r="V54" s="2322"/>
    </row>
    <row r="55" spans="1:22" ht="13.5" hidden="1" thickBot="1" x14ac:dyDescent="0.3">
      <c r="A55" s="2323" t="s">
        <v>676</v>
      </c>
      <c r="B55" s="2324" t="e">
        <f t="shared" ref="B55:Q55" si="11">+B56/B57</f>
        <v>#DIV/0!</v>
      </c>
      <c r="C55" s="2324" t="e">
        <f t="shared" si="11"/>
        <v>#REF!</v>
      </c>
      <c r="D55" s="2324" t="e">
        <f t="shared" si="11"/>
        <v>#DIV/0!</v>
      </c>
      <c r="E55" s="2324" t="e">
        <f t="shared" si="11"/>
        <v>#DIV/0!</v>
      </c>
      <c r="F55" s="2324" t="e">
        <f t="shared" si="11"/>
        <v>#DIV/0!</v>
      </c>
      <c r="G55" s="2324" t="e">
        <f t="shared" si="11"/>
        <v>#DIV/0!</v>
      </c>
      <c r="H55" s="2324" t="e">
        <f t="shared" si="11"/>
        <v>#REF!</v>
      </c>
      <c r="I55" s="2324" t="e">
        <f t="shared" si="11"/>
        <v>#DIV/0!</v>
      </c>
      <c r="J55" s="2324" t="e">
        <f t="shared" si="11"/>
        <v>#DIV/0!</v>
      </c>
      <c r="K55" s="2324" t="e">
        <f t="shared" si="11"/>
        <v>#DIV/0!</v>
      </c>
      <c r="L55" s="2324" t="e">
        <f t="shared" si="11"/>
        <v>#DIV/0!</v>
      </c>
      <c r="M55" s="2324" t="e">
        <f t="shared" si="11"/>
        <v>#REF!</v>
      </c>
      <c r="N55" s="2324" t="e">
        <f t="shared" si="11"/>
        <v>#DIV/0!</v>
      </c>
      <c r="O55" s="2324" t="e">
        <f t="shared" si="11"/>
        <v>#DIV/0!</v>
      </c>
      <c r="P55" s="2324" t="e">
        <f t="shared" si="11"/>
        <v>#DIV/0!</v>
      </c>
      <c r="Q55" s="2324" t="e">
        <f t="shared" si="11"/>
        <v>#DIV/0!</v>
      </c>
      <c r="R55" s="2326"/>
      <c r="S55" s="2326"/>
      <c r="T55" s="2326"/>
      <c r="U55" s="2326"/>
      <c r="V55" s="2326"/>
    </row>
    <row r="56" spans="1:22" ht="12.75" hidden="1" x14ac:dyDescent="0.25">
      <c r="A56" s="2327" t="s">
        <v>682</v>
      </c>
      <c r="B56" s="2331"/>
      <c r="C56" s="2329">
        <v>37491467</v>
      </c>
      <c r="D56" s="2332"/>
      <c r="E56" s="2330"/>
      <c r="F56" s="2330"/>
      <c r="G56" s="2331"/>
      <c r="H56" s="2329"/>
      <c r="I56" s="2332"/>
      <c r="J56" s="2330"/>
      <c r="K56" s="2330"/>
      <c r="L56" s="2331"/>
      <c r="M56" s="2329"/>
      <c r="N56" s="2333"/>
      <c r="O56" s="2332"/>
      <c r="P56" s="2330"/>
      <c r="Q56" s="2331"/>
      <c r="R56" s="2148"/>
      <c r="S56" s="2148"/>
      <c r="T56" s="2148"/>
      <c r="U56" s="2148"/>
      <c r="V56" s="2148"/>
    </row>
    <row r="57" spans="1:22" ht="13.5" hidden="1" thickBot="1" x14ac:dyDescent="0.3">
      <c r="A57" s="2334" t="s">
        <v>677</v>
      </c>
      <c r="B57" s="2339"/>
      <c r="C57" s="2336" t="e">
        <f>+#REF!</f>
        <v>#REF!</v>
      </c>
      <c r="D57" s="2337"/>
      <c r="E57" s="2338"/>
      <c r="F57" s="2338"/>
      <c r="G57" s="2339"/>
      <c r="H57" s="2336" t="e">
        <f>+#REF!</f>
        <v>#REF!</v>
      </c>
      <c r="I57" s="2337"/>
      <c r="J57" s="2338"/>
      <c r="K57" s="2338"/>
      <c r="L57" s="2339"/>
      <c r="M57" s="2336" t="e">
        <f>#REF!</f>
        <v>#REF!</v>
      </c>
      <c r="N57" s="2340"/>
      <c r="O57" s="2337"/>
      <c r="P57" s="2338"/>
      <c r="Q57" s="2339"/>
      <c r="R57" s="2148"/>
      <c r="S57" s="2148"/>
      <c r="T57" s="2148"/>
      <c r="U57" s="2148"/>
      <c r="V57" s="2148"/>
    </row>
    <row r="58" spans="1:22" ht="12.75" hidden="1" x14ac:dyDescent="0.25">
      <c r="A58" s="2147"/>
      <c r="B58" s="2147"/>
      <c r="C58" s="2147"/>
      <c r="D58" s="2147"/>
      <c r="E58" s="2147"/>
      <c r="F58" s="2147"/>
      <c r="G58" s="2147"/>
      <c r="H58" s="2147"/>
      <c r="I58" s="2147"/>
      <c r="J58" s="2147"/>
      <c r="K58" s="2147"/>
      <c r="L58" s="2147"/>
      <c r="M58" s="2147"/>
      <c r="N58" s="2147"/>
      <c r="O58" s="2147"/>
      <c r="P58" s="2147"/>
      <c r="Q58" s="2147"/>
      <c r="R58" s="2147"/>
      <c r="S58" s="2147"/>
      <c r="T58" s="2147"/>
      <c r="U58" s="2147"/>
      <c r="V58" s="2147"/>
    </row>
    <row r="59" spans="1:22" ht="12.75" x14ac:dyDescent="0.25"/>
    <row r="60" spans="1:22" ht="12.75" x14ac:dyDescent="0.25"/>
    <row r="61" spans="1:22" ht="12.75" x14ac:dyDescent="0.25"/>
  </sheetData>
  <mergeCells count="18">
    <mergeCell ref="U38:U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I38:I39"/>
    <mergeCell ref="D38:D39"/>
    <mergeCell ref="E38:E39"/>
    <mergeCell ref="F38:F39"/>
    <mergeCell ref="G38:G39"/>
    <mergeCell ref="H38:H39"/>
  </mergeCells>
  <phoneticPr fontId="6" type="noConversion"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70"/>
  <sheetViews>
    <sheetView topLeftCell="A4" zoomScale="71" zoomScaleNormal="71" workbookViewId="0">
      <pane xSplit="1" ySplit="6" topLeftCell="C19" activePane="bottomRight" state="frozen"/>
      <selection activeCell="A4" sqref="A4"/>
      <selection pane="topRight" activeCell="B4" sqref="B4"/>
      <selection pane="bottomLeft" activeCell="A10" sqref="A10"/>
      <selection pane="bottomRight" activeCell="F40" sqref="F40"/>
    </sheetView>
  </sheetViews>
  <sheetFormatPr defaultColWidth="8.7109375" defaultRowHeight="15" customHeight="1" outlineLevelCol="1" x14ac:dyDescent="0.25"/>
  <cols>
    <col min="1" max="1" width="50.7109375" style="2138" customWidth="1"/>
    <col min="2" max="2" width="14.28515625" style="2138" bestFit="1" customWidth="1"/>
    <col min="3" max="3" width="11.5703125" style="2138" bestFit="1" customWidth="1"/>
    <col min="4" max="4" width="15" style="2138" customWidth="1" outlineLevel="1"/>
    <col min="5" max="7" width="14.28515625" style="2138" bestFit="1" customWidth="1" outlineLevel="1"/>
    <col min="8" max="8" width="11.5703125" style="2138" bestFit="1" customWidth="1" outlineLevel="1"/>
    <col min="9" max="12" width="14.28515625" style="2138" bestFit="1" customWidth="1" outlineLevel="1"/>
    <col min="13" max="13" width="11.5703125" style="2138" bestFit="1" customWidth="1" outlineLevel="1"/>
    <col min="14" max="17" width="14.28515625" style="2138" bestFit="1" customWidth="1" outlineLevel="1"/>
    <col min="18" max="21" width="11.5703125" style="2138" bestFit="1" customWidth="1" outlineLevel="1"/>
    <col min="22" max="22" width="10.85546875" style="2138" customWidth="1"/>
    <col min="23" max="23" width="8.85546875" style="2138" customWidth="1"/>
    <col min="24" max="16384" width="8.7109375" style="2138"/>
  </cols>
  <sheetData>
    <row r="1" spans="1:22" ht="12.75" x14ac:dyDescent="0.25"/>
    <row r="2" spans="1:22" s="2140" customFormat="1" ht="12.75" x14ac:dyDescent="0.25"/>
    <row r="3" spans="1:22" s="2140" customFormat="1" ht="12.75" x14ac:dyDescent="0.25">
      <c r="A3" s="2140" t="s">
        <v>657</v>
      </c>
    </row>
    <row r="4" spans="1:22" s="2145" customFormat="1" ht="12.75" x14ac:dyDescent="0.25">
      <c r="A4" s="2145" t="s">
        <v>700</v>
      </c>
    </row>
    <row r="5" spans="1:22" s="2145" customFormat="1" ht="12.75" x14ac:dyDescent="0.25">
      <c r="A5" s="2145" t="s">
        <v>764</v>
      </c>
    </row>
    <row r="6" spans="1:22" s="2145" customFormat="1" ht="12.75" x14ac:dyDescent="0.25">
      <c r="A6" s="2145" t="s">
        <v>1136</v>
      </c>
    </row>
    <row r="7" spans="1:22" s="2145" customFormat="1" ht="12.75" x14ac:dyDescent="0.25">
      <c r="A7" s="2145" t="s">
        <v>1136</v>
      </c>
    </row>
    <row r="8" spans="1:22" ht="13.5" thickBot="1" x14ac:dyDescent="0.3">
      <c r="A8" s="2147"/>
      <c r="B8" s="2147"/>
      <c r="C8" s="2148"/>
      <c r="D8" s="2147"/>
      <c r="E8" s="2147"/>
      <c r="F8" s="2147"/>
      <c r="G8" s="2147"/>
      <c r="H8" s="2147"/>
      <c r="I8" s="2147"/>
      <c r="J8" s="2147"/>
      <c r="K8" s="2147"/>
      <c r="L8" s="2147"/>
      <c r="M8" s="2147"/>
      <c r="N8" s="2147"/>
      <c r="O8" s="2147"/>
      <c r="P8" s="2147"/>
      <c r="Q8" s="2147"/>
      <c r="R8" s="2147"/>
      <c r="S8" s="2147"/>
      <c r="T8" s="2147"/>
      <c r="U8" s="2147"/>
      <c r="V8" s="2147"/>
    </row>
    <row r="9" spans="1:22" ht="13.5" thickBot="1" x14ac:dyDescent="0.3">
      <c r="A9" s="2149" t="s">
        <v>658</v>
      </c>
      <c r="B9" s="2154">
        <v>2021</v>
      </c>
      <c r="C9" s="2982">
        <v>2022</v>
      </c>
      <c r="D9" s="2982">
        <v>2023</v>
      </c>
      <c r="E9" s="3013">
        <v>2024</v>
      </c>
      <c r="F9" s="3013">
        <v>2025</v>
      </c>
      <c r="G9" s="3013">
        <v>2026</v>
      </c>
      <c r="H9" s="3014">
        <v>2027</v>
      </c>
      <c r="I9" s="3014">
        <v>2028</v>
      </c>
      <c r="J9" s="3014">
        <v>2029</v>
      </c>
      <c r="K9" s="3014">
        <v>2030</v>
      </c>
      <c r="L9" s="3015">
        <v>2031</v>
      </c>
      <c r="M9" s="3015">
        <v>2032</v>
      </c>
      <c r="N9" s="3015">
        <v>2033</v>
      </c>
      <c r="O9" s="3015">
        <v>2034</v>
      </c>
      <c r="P9" s="3015">
        <v>2035</v>
      </c>
      <c r="Q9" s="3016">
        <v>2036</v>
      </c>
      <c r="R9" s="3015">
        <v>2037</v>
      </c>
      <c r="S9" s="3015">
        <v>2038</v>
      </c>
      <c r="T9" s="3017">
        <v>2040</v>
      </c>
      <c r="U9" s="3018">
        <v>2041</v>
      </c>
      <c r="V9" s="2161"/>
    </row>
    <row r="10" spans="1:22" s="2147" customFormat="1" ht="12.75" x14ac:dyDescent="0.25">
      <c r="A10" s="2974"/>
      <c r="B10" s="2975"/>
      <c r="C10" s="2983"/>
      <c r="D10" s="2976"/>
      <c r="E10" s="2976"/>
      <c r="F10" s="2976"/>
      <c r="G10" s="2976"/>
      <c r="H10" s="2977"/>
      <c r="I10" s="2977"/>
      <c r="J10" s="2977"/>
      <c r="K10" s="2977"/>
      <c r="L10" s="2978"/>
      <c r="M10" s="2978"/>
      <c r="N10" s="2978"/>
      <c r="O10" s="2978"/>
      <c r="P10" s="2978"/>
      <c r="Q10" s="2979"/>
      <c r="R10" s="2978"/>
      <c r="S10" s="2978"/>
      <c r="T10" s="2980"/>
      <c r="U10" s="2981"/>
      <c r="V10" s="2297"/>
    </row>
    <row r="11" spans="1:22" s="2183" customFormat="1" ht="12" customHeight="1" x14ac:dyDescent="0.25">
      <c r="A11" s="2204" t="s">
        <v>2859</v>
      </c>
      <c r="B11" s="2206"/>
      <c r="C11" s="2208"/>
      <c r="D11" s="2206"/>
      <c r="E11" s="2206"/>
      <c r="F11" s="2206"/>
      <c r="G11" s="2206"/>
      <c r="H11" s="2206"/>
      <c r="I11" s="2206"/>
      <c r="J11" s="2206"/>
      <c r="K11" s="2206"/>
      <c r="L11" s="2206"/>
      <c r="M11" s="2206"/>
      <c r="N11" s="2206"/>
      <c r="O11" s="2206"/>
      <c r="P11" s="2206"/>
      <c r="Q11" s="2208"/>
      <c r="R11" s="2206"/>
      <c r="S11" s="2206"/>
      <c r="T11" s="2209"/>
      <c r="U11" s="2210"/>
      <c r="V11" s="2211"/>
    </row>
    <row r="12" spans="1:22" s="2194" customFormat="1" ht="12.75" x14ac:dyDescent="0.25">
      <c r="A12" s="2186" t="s">
        <v>2861</v>
      </c>
      <c r="B12" s="2188">
        <v>531073</v>
      </c>
      <c r="C12" s="2191">
        <v>1172702</v>
      </c>
      <c r="D12" s="2188">
        <v>531882</v>
      </c>
      <c r="E12" s="2188">
        <f>+'přepočet úroků'!Q14</f>
        <v>18255</v>
      </c>
      <c r="F12" s="2188"/>
      <c r="G12" s="2188"/>
      <c r="H12" s="2188"/>
      <c r="I12" s="2188"/>
      <c r="J12" s="2188"/>
      <c r="K12" s="2188"/>
      <c r="L12" s="2188"/>
      <c r="M12" s="2188"/>
      <c r="N12" s="2188"/>
      <c r="O12" s="2188"/>
      <c r="P12" s="2188"/>
      <c r="Q12" s="2191"/>
      <c r="R12" s="2188"/>
      <c r="S12" s="2188"/>
      <c r="T12" s="2192"/>
      <c r="U12" s="2193"/>
      <c r="V12" s="2147"/>
    </row>
    <row r="13" spans="1:22" s="2183" customFormat="1" ht="12" customHeight="1" x14ac:dyDescent="0.25">
      <c r="A13" s="2204" t="s">
        <v>2862</v>
      </c>
      <c r="B13" s="2206"/>
      <c r="C13" s="2208"/>
      <c r="D13" s="2206"/>
      <c r="E13" s="2206"/>
      <c r="F13" s="2206"/>
      <c r="G13" s="2206"/>
      <c r="H13" s="2206"/>
      <c r="I13" s="2206"/>
      <c r="J13" s="2206"/>
      <c r="K13" s="2206"/>
      <c r="L13" s="2206"/>
      <c r="M13" s="2206"/>
      <c r="N13" s="2206"/>
      <c r="O13" s="2206"/>
      <c r="P13" s="2206"/>
      <c r="Q13" s="2208"/>
      <c r="R13" s="2206"/>
      <c r="S13" s="2206"/>
      <c r="T13" s="2209"/>
      <c r="U13" s="2210"/>
      <c r="V13" s="2211"/>
    </row>
    <row r="14" spans="1:22" s="2203" customFormat="1" ht="12" customHeight="1" x14ac:dyDescent="0.25">
      <c r="A14" s="2186" t="s">
        <v>2861</v>
      </c>
      <c r="B14" s="2197">
        <v>737549</v>
      </c>
      <c r="C14" s="2199">
        <v>690754</v>
      </c>
      <c r="D14" s="2197">
        <v>644049</v>
      </c>
      <c r="E14" s="2197">
        <f>+'přepočet úroků'!Q15</f>
        <v>566758</v>
      </c>
      <c r="F14" s="2197">
        <f>+'přepočet úroků'!Q24</f>
        <v>564926.54868000001</v>
      </c>
      <c r="G14" s="2197">
        <f>+'přepočet úroků'!Q33</f>
        <v>517017.46356</v>
      </c>
      <c r="H14" s="2197">
        <f>+G45*0.0078</f>
        <v>409222.25759999995</v>
      </c>
      <c r="I14" s="2197"/>
      <c r="J14" s="2197"/>
      <c r="K14" s="2197"/>
      <c r="L14" s="2197"/>
      <c r="M14" s="2197"/>
      <c r="N14" s="2197"/>
      <c r="O14" s="2197"/>
      <c r="P14" s="2197"/>
      <c r="Q14" s="2199"/>
      <c r="R14" s="2197"/>
      <c r="S14" s="2197"/>
      <c r="T14" s="2200"/>
      <c r="U14" s="2201"/>
      <c r="V14" s="2202"/>
    </row>
    <row r="15" spans="1:22" s="2183" customFormat="1" ht="12" customHeight="1" x14ac:dyDescent="0.25">
      <c r="A15" s="2204" t="s">
        <v>2863</v>
      </c>
      <c r="B15" s="2206"/>
      <c r="C15" s="2208"/>
      <c r="D15" s="2206"/>
      <c r="E15" s="2206"/>
      <c r="F15" s="2206"/>
      <c r="G15" s="2206"/>
      <c r="H15" s="2206"/>
      <c r="I15" s="2206"/>
      <c r="J15" s="2206"/>
      <c r="K15" s="2206"/>
      <c r="L15" s="2206"/>
      <c r="M15" s="2206"/>
      <c r="N15" s="2206"/>
      <c r="O15" s="2206"/>
      <c r="P15" s="2206"/>
      <c r="Q15" s="2208"/>
      <c r="R15" s="2206"/>
      <c r="S15" s="2206"/>
      <c r="T15" s="2209"/>
      <c r="U15" s="2210"/>
      <c r="V15" s="2211"/>
    </row>
    <row r="16" spans="1:22" s="2220" customFormat="1" ht="12" customHeight="1" x14ac:dyDescent="0.25">
      <c r="A16" s="2186" t="s">
        <v>2861</v>
      </c>
      <c r="B16" s="2970">
        <v>583036</v>
      </c>
      <c r="C16" s="2971">
        <v>542625</v>
      </c>
      <c r="D16" s="2970">
        <v>497861</v>
      </c>
      <c r="E16" s="2970">
        <f>+'přepočet úroků'!Q16</f>
        <v>509999.86479999998</v>
      </c>
      <c r="F16" s="2970">
        <f>+'přepočet úroků'!Q25</f>
        <v>409280.70239999995</v>
      </c>
      <c r="G16" s="2970">
        <f>+'přepočet úroků'!Q34</f>
        <v>363164.29151999991</v>
      </c>
      <c r="H16" s="2970">
        <f t="shared" ref="H16:O16" si="0">+G46*0.0509</f>
        <v>864336.97200000007</v>
      </c>
      <c r="I16" s="2970">
        <f t="shared" si="0"/>
        <v>749091.228</v>
      </c>
      <c r="J16" s="2970">
        <f t="shared" si="0"/>
        <v>633845.48400000005</v>
      </c>
      <c r="K16" s="2970">
        <f t="shared" si="0"/>
        <v>518599.74</v>
      </c>
      <c r="L16" s="2970">
        <f t="shared" si="0"/>
        <v>403353.99599999998</v>
      </c>
      <c r="M16" s="2970">
        <f t="shared" si="0"/>
        <v>288108.25199999998</v>
      </c>
      <c r="N16" s="2970">
        <f t="shared" si="0"/>
        <v>172862.508</v>
      </c>
      <c r="O16" s="2970">
        <f t="shared" si="0"/>
        <v>57616.764000000003</v>
      </c>
      <c r="P16" s="2970"/>
      <c r="Q16" s="2971"/>
      <c r="R16" s="2970"/>
      <c r="S16" s="2970"/>
      <c r="T16" s="2972"/>
      <c r="U16" s="2973"/>
      <c r="V16" s="2219"/>
    </row>
    <row r="17" spans="1:22" s="3011" customFormat="1" ht="25.5" x14ac:dyDescent="0.2">
      <c r="A17" s="3004" t="s">
        <v>2864</v>
      </c>
      <c r="B17" s="3005"/>
      <c r="C17" s="3006"/>
      <c r="D17" s="3012" t="s">
        <v>2870</v>
      </c>
      <c r="E17" s="3005"/>
      <c r="F17" s="3005"/>
      <c r="G17" s="3005"/>
      <c r="H17" s="3005"/>
      <c r="I17" s="3005"/>
      <c r="J17" s="3005"/>
      <c r="K17" s="3005"/>
      <c r="L17" s="3005"/>
      <c r="M17" s="3005"/>
      <c r="N17" s="3005"/>
      <c r="O17" s="3005"/>
      <c r="P17" s="3005"/>
      <c r="Q17" s="3006"/>
      <c r="R17" s="3005"/>
      <c r="S17" s="3005"/>
      <c r="T17" s="3008"/>
      <c r="U17" s="3009"/>
      <c r="V17" s="3010"/>
    </row>
    <row r="18" spans="1:22" s="2220" customFormat="1" ht="12" customHeight="1" x14ac:dyDescent="0.25">
      <c r="A18" s="2186" t="s">
        <v>2861</v>
      </c>
      <c r="B18" s="2223">
        <v>185362</v>
      </c>
      <c r="C18" s="2225">
        <v>844603</v>
      </c>
      <c r="D18" s="2986">
        <v>1015065</v>
      </c>
      <c r="E18" s="2986">
        <f>+'přepočet úroků'!Q17</f>
        <v>698469.89464999991</v>
      </c>
      <c r="F18" s="2986">
        <f>+'přepočet úroků'!Q26</f>
        <v>794994.14610000001</v>
      </c>
      <c r="G18" s="2986">
        <f>+'přepočet úroků'!Q35</f>
        <v>754994.33729999978</v>
      </c>
      <c r="H18" s="2986">
        <f>+G47*0.0489</f>
        <v>611106.47849999997</v>
      </c>
      <c r="I18" s="2986">
        <f t="shared" ref="I18:U18" si="1">+H47*0.0489</f>
        <v>577773.30449999997</v>
      </c>
      <c r="J18" s="2986">
        <f t="shared" si="1"/>
        <v>544440.13049999997</v>
      </c>
      <c r="K18" s="2986">
        <f t="shared" si="1"/>
        <v>511106.95649999997</v>
      </c>
      <c r="L18" s="2986">
        <f t="shared" si="1"/>
        <v>477773.78249999997</v>
      </c>
      <c r="M18" s="2986">
        <f t="shared" si="1"/>
        <v>444440.60849999997</v>
      </c>
      <c r="N18" s="2986">
        <f t="shared" si="1"/>
        <v>411107.43449999997</v>
      </c>
      <c r="O18" s="2986">
        <f t="shared" si="1"/>
        <v>377774.26049999997</v>
      </c>
      <c r="P18" s="2986">
        <f t="shared" si="1"/>
        <v>344441.08649999998</v>
      </c>
      <c r="Q18" s="2986">
        <f t="shared" si="1"/>
        <v>311107.91249999998</v>
      </c>
      <c r="R18" s="2986">
        <f t="shared" si="1"/>
        <v>277774.73849999998</v>
      </c>
      <c r="S18" s="2986">
        <f t="shared" si="1"/>
        <v>244441.56450000001</v>
      </c>
      <c r="T18" s="2986">
        <f t="shared" si="1"/>
        <v>211108.39050000001</v>
      </c>
      <c r="U18" s="2986">
        <f t="shared" si="1"/>
        <v>177775.21650000001</v>
      </c>
      <c r="V18" s="2219"/>
    </row>
    <row r="19" spans="1:22" s="2220" customFormat="1" ht="12" customHeight="1" x14ac:dyDescent="0.25">
      <c r="A19" s="2212" t="s">
        <v>2865</v>
      </c>
      <c r="B19" s="2214"/>
      <c r="C19" s="2216"/>
      <c r="D19" s="2214"/>
      <c r="E19" s="2214"/>
      <c r="F19" s="2214"/>
      <c r="G19" s="2214"/>
      <c r="H19" s="2214"/>
      <c r="I19" s="2214"/>
      <c r="J19" s="2214"/>
      <c r="K19" s="2214"/>
      <c r="L19" s="2214"/>
      <c r="M19" s="2214"/>
      <c r="N19" s="2214"/>
      <c r="O19" s="2214"/>
      <c r="P19" s="2214"/>
      <c r="Q19" s="2216"/>
      <c r="R19" s="2214"/>
      <c r="S19" s="2214"/>
      <c r="T19" s="2217"/>
      <c r="U19" s="2218"/>
      <c r="V19" s="2219"/>
    </row>
    <row r="20" spans="1:22" s="2220" customFormat="1" ht="12" customHeight="1" x14ac:dyDescent="0.25">
      <c r="A20" s="2186" t="s">
        <v>2861</v>
      </c>
      <c r="B20" s="2223">
        <v>31893</v>
      </c>
      <c r="C20" s="2225">
        <v>187683</v>
      </c>
      <c r="D20" s="2223"/>
      <c r="E20" s="2222"/>
      <c r="F20" s="2222"/>
      <c r="G20" s="2222"/>
      <c r="H20" s="2222"/>
      <c r="I20" s="2222"/>
      <c r="J20" s="2222"/>
      <c r="K20" s="2222"/>
      <c r="L20" s="2222"/>
      <c r="M20" s="2222"/>
      <c r="N20" s="2222"/>
      <c r="O20" s="2222"/>
      <c r="P20" s="2222"/>
      <c r="Q20" s="2266"/>
      <c r="R20" s="2223"/>
      <c r="S20" s="2223"/>
      <c r="T20" s="2266"/>
      <c r="U20" s="2227"/>
      <c r="V20" s="2219"/>
    </row>
    <row r="21" spans="1:22" s="2220" customFormat="1" ht="12" customHeight="1" x14ac:dyDescent="0.25">
      <c r="A21" s="2212" t="s">
        <v>2869</v>
      </c>
      <c r="B21" s="2214"/>
      <c r="C21" s="2216"/>
      <c r="D21" s="2214"/>
      <c r="E21" s="2214"/>
      <c r="F21" s="2214"/>
      <c r="G21" s="2214"/>
      <c r="H21" s="2214"/>
      <c r="I21" s="2214"/>
      <c r="J21" s="2214"/>
      <c r="K21" s="2214"/>
      <c r="L21" s="2214"/>
      <c r="M21" s="2214"/>
      <c r="N21" s="2214"/>
      <c r="O21" s="2214"/>
      <c r="P21" s="2214"/>
      <c r="Q21" s="2216"/>
      <c r="R21" s="2214"/>
      <c r="S21" s="2214"/>
      <c r="T21" s="2217"/>
      <c r="U21" s="2218"/>
      <c r="V21" s="2219"/>
    </row>
    <row r="22" spans="1:22" s="2220" customFormat="1" ht="12" customHeight="1" x14ac:dyDescent="0.25">
      <c r="A22" s="2186" t="s">
        <v>2861</v>
      </c>
      <c r="B22" s="2223"/>
      <c r="C22" s="2225"/>
      <c r="D22" s="2223">
        <v>389641</v>
      </c>
      <c r="E22" s="2222">
        <f>+'přepočet úroků'!Q18</f>
        <v>525424.68316000002</v>
      </c>
      <c r="F22" s="2222">
        <f>+'přepočet úroků'!Q27</f>
        <v>657594.39960999996</v>
      </c>
      <c r="G22" s="2222">
        <f>+F49*0.0489</f>
        <v>402614.77590000001</v>
      </c>
      <c r="H22" s="2222">
        <f t="shared" ref="H22:U22" si="2">+G49*0.0489</f>
        <v>364193.37527142855</v>
      </c>
      <c r="I22" s="2222">
        <f t="shared" si="2"/>
        <v>325771.97464285709</v>
      </c>
      <c r="J22" s="2222">
        <f t="shared" si="2"/>
        <v>287350.5740142857</v>
      </c>
      <c r="K22" s="2222">
        <f t="shared" si="2"/>
        <v>248929.17338571424</v>
      </c>
      <c r="L22" s="2222">
        <f t="shared" si="2"/>
        <v>210507.77275714278</v>
      </c>
      <c r="M22" s="2222">
        <f t="shared" si="2"/>
        <v>172086.37212857135</v>
      </c>
      <c r="N22" s="2222">
        <f t="shared" si="2"/>
        <v>133664.9714999999</v>
      </c>
      <c r="O22" s="2222">
        <f t="shared" si="2"/>
        <v>95243.57087142847</v>
      </c>
      <c r="P22" s="2222">
        <f t="shared" si="2"/>
        <v>56822.17024285705</v>
      </c>
      <c r="Q22" s="2222">
        <f t="shared" si="2"/>
        <v>18400.769614285618</v>
      </c>
      <c r="R22" s="2222">
        <f t="shared" si="2"/>
        <v>0</v>
      </c>
      <c r="S22" s="2222">
        <f t="shared" si="2"/>
        <v>0</v>
      </c>
      <c r="T22" s="2222">
        <f t="shared" si="2"/>
        <v>0</v>
      </c>
      <c r="U22" s="2222">
        <f t="shared" si="2"/>
        <v>0</v>
      </c>
      <c r="V22" s="2219"/>
    </row>
    <row r="23" spans="1:22" s="2220" customFormat="1" ht="12" customHeight="1" x14ac:dyDescent="0.25">
      <c r="A23" s="2212" t="s">
        <v>2920</v>
      </c>
      <c r="B23" s="2214"/>
      <c r="C23" s="2216"/>
      <c r="D23" s="2214"/>
      <c r="E23" s="2214"/>
      <c r="F23" s="2214"/>
      <c r="G23" s="2214"/>
      <c r="H23" s="2214"/>
      <c r="I23" s="2214"/>
      <c r="J23" s="2214"/>
      <c r="K23" s="2214"/>
      <c r="L23" s="2214"/>
      <c r="M23" s="2214"/>
      <c r="N23" s="2214"/>
      <c r="O23" s="2214"/>
      <c r="P23" s="2214"/>
      <c r="Q23" s="2216"/>
      <c r="R23" s="2214"/>
      <c r="S23" s="2214"/>
      <c r="T23" s="2217"/>
      <c r="U23" s="2218"/>
      <c r="V23" s="2219"/>
    </row>
    <row r="24" spans="1:22" s="2220" customFormat="1" ht="12" customHeight="1" x14ac:dyDescent="0.25">
      <c r="A24" s="2186" t="s">
        <v>2861</v>
      </c>
      <c r="B24" s="2223"/>
      <c r="C24" s="2225"/>
      <c r="D24" s="2223"/>
      <c r="E24" s="2222"/>
      <c r="F24" s="2222">
        <f>0.0319*90000000/20</f>
        <v>143550</v>
      </c>
      <c r="G24" s="2222">
        <f>+F24</f>
        <v>143550</v>
      </c>
      <c r="H24" s="2222">
        <f>+G24</f>
        <v>143550</v>
      </c>
      <c r="I24" s="2222">
        <f>+(90000000-I40)*0.0319/20</f>
        <v>142951.875</v>
      </c>
      <c r="J24" s="2222"/>
      <c r="K24" s="2222"/>
      <c r="L24" s="2222"/>
      <c r="M24" s="2222"/>
      <c r="N24" s="2222"/>
      <c r="O24" s="2222"/>
      <c r="P24" s="2222"/>
      <c r="Q24" s="2266"/>
      <c r="R24" s="2223"/>
      <c r="S24" s="2223"/>
      <c r="T24" s="2266"/>
      <c r="U24" s="2227"/>
      <c r="V24" s="2219"/>
    </row>
    <row r="25" spans="1:22" s="2234" customFormat="1" ht="13.5" thickBot="1" x14ac:dyDescent="0.3">
      <c r="A25" s="2228" t="s">
        <v>2919</v>
      </c>
      <c r="B25" s="2230">
        <f>+B12+B14+B16+B18+B20+B22+B24</f>
        <v>2068913</v>
      </c>
      <c r="C25" s="2984">
        <f t="shared" ref="C25:U25" si="3">+C12+C14+C16+C18+C20+C22+C24</f>
        <v>3438367</v>
      </c>
      <c r="D25" s="2230">
        <f t="shared" si="3"/>
        <v>3078498</v>
      </c>
      <c r="E25" s="2229">
        <f>+E12+E14+E16+E18+E20+E22+E24</f>
        <v>2318907.4426100003</v>
      </c>
      <c r="F25" s="2229">
        <f t="shared" si="3"/>
        <v>2570345.7967900001</v>
      </c>
      <c r="G25" s="2229">
        <f t="shared" si="3"/>
        <v>2181340.8682800001</v>
      </c>
      <c r="H25" s="2229">
        <f t="shared" si="3"/>
        <v>2392409.0833714283</v>
      </c>
      <c r="I25" s="2229">
        <f t="shared" si="3"/>
        <v>1795588.3821428572</v>
      </c>
      <c r="J25" s="2229">
        <f t="shared" si="3"/>
        <v>1465636.1885142857</v>
      </c>
      <c r="K25" s="2229">
        <f t="shared" si="3"/>
        <v>1278635.8698857143</v>
      </c>
      <c r="L25" s="2229">
        <f t="shared" si="3"/>
        <v>1091635.5512571428</v>
      </c>
      <c r="M25" s="2229">
        <f t="shared" si="3"/>
        <v>904635.23262857134</v>
      </c>
      <c r="N25" s="2229">
        <f t="shared" si="3"/>
        <v>717634.91399999987</v>
      </c>
      <c r="O25" s="2229">
        <f t="shared" si="3"/>
        <v>530634.59537142841</v>
      </c>
      <c r="P25" s="2229">
        <f t="shared" si="3"/>
        <v>401263.25674285705</v>
      </c>
      <c r="Q25" s="2232">
        <f t="shared" si="3"/>
        <v>329508.68211428559</v>
      </c>
      <c r="R25" s="2230">
        <f t="shared" si="3"/>
        <v>277774.73849999998</v>
      </c>
      <c r="S25" s="2230">
        <f t="shared" si="3"/>
        <v>244441.56450000001</v>
      </c>
      <c r="T25" s="2229">
        <f t="shared" si="3"/>
        <v>211108.39050000001</v>
      </c>
      <c r="U25" s="2233">
        <f t="shared" si="3"/>
        <v>177775.21650000001</v>
      </c>
      <c r="V25" s="2147"/>
    </row>
    <row r="26" spans="1:22" s="2296" customFormat="1" ht="12.75" x14ac:dyDescent="0.25">
      <c r="A26" s="2998"/>
      <c r="B26" s="2999"/>
      <c r="C26" s="3000"/>
      <c r="D26" s="2999"/>
      <c r="E26" s="3001"/>
      <c r="F26" s="3001"/>
      <c r="G26" s="3001"/>
      <c r="H26" s="3001"/>
      <c r="I26" s="3001"/>
      <c r="J26" s="3001"/>
      <c r="K26" s="3001"/>
      <c r="L26" s="3001"/>
      <c r="M26" s="3001"/>
      <c r="N26" s="3001"/>
      <c r="O26" s="3001"/>
      <c r="P26" s="3001"/>
      <c r="Q26" s="3002"/>
      <c r="R26" s="2999"/>
      <c r="S26" s="2999"/>
      <c r="T26" s="3002"/>
      <c r="U26" s="3003"/>
      <c r="V26" s="2147"/>
    </row>
    <row r="27" spans="1:22" s="2183" customFormat="1" ht="12" customHeight="1" x14ac:dyDescent="0.25">
      <c r="A27" s="2204" t="s">
        <v>2859</v>
      </c>
      <c r="B27" s="2206"/>
      <c r="C27" s="2208"/>
      <c r="D27" s="2206"/>
      <c r="E27" s="2206"/>
      <c r="F27" s="2206"/>
      <c r="G27" s="2206"/>
      <c r="H27" s="2206"/>
      <c r="I27" s="2206"/>
      <c r="J27" s="2206"/>
      <c r="K27" s="2206"/>
      <c r="L27" s="2206"/>
      <c r="M27" s="2206"/>
      <c r="N27" s="2206"/>
      <c r="O27" s="2206"/>
      <c r="P27" s="2206"/>
      <c r="Q27" s="2208"/>
      <c r="R27" s="2206"/>
      <c r="S27" s="2206"/>
      <c r="T27" s="2209"/>
      <c r="U27" s="2210"/>
      <c r="V27" s="2211"/>
    </row>
    <row r="28" spans="1:22" s="2183" customFormat="1" ht="12.75" x14ac:dyDescent="0.25">
      <c r="A28" s="2178" t="s">
        <v>2860</v>
      </c>
      <c r="B28" s="939">
        <v>10909092</v>
      </c>
      <c r="C28" s="2182">
        <v>10909092</v>
      </c>
      <c r="D28" s="939">
        <v>10000001</v>
      </c>
      <c r="E28" s="939">
        <f>+'přepočet úroků'!C14</f>
        <v>909091</v>
      </c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2182"/>
      <c r="R28" s="939"/>
      <c r="S28" s="939"/>
      <c r="T28" s="2185"/>
      <c r="U28" s="2184"/>
      <c r="V28" s="2147"/>
    </row>
    <row r="29" spans="1:22" s="2183" customFormat="1" ht="12" customHeight="1" x14ac:dyDescent="0.25">
      <c r="A29" s="2204" t="s">
        <v>2862</v>
      </c>
      <c r="B29" s="2206"/>
      <c r="C29" s="2208"/>
      <c r="D29" s="2206"/>
      <c r="E29" s="2206"/>
      <c r="F29" s="2206"/>
      <c r="G29" s="2206"/>
      <c r="H29" s="2206"/>
      <c r="I29" s="2206"/>
      <c r="J29" s="2206"/>
      <c r="K29" s="2206"/>
      <c r="L29" s="2206"/>
      <c r="M29" s="2206"/>
      <c r="N29" s="2206"/>
      <c r="O29" s="2206"/>
      <c r="P29" s="2206"/>
      <c r="Q29" s="2208"/>
      <c r="R29" s="2206"/>
      <c r="S29" s="2206"/>
      <c r="T29" s="2209"/>
      <c r="U29" s="2210"/>
      <c r="V29" s="2211"/>
    </row>
    <row r="30" spans="1:22" s="2203" customFormat="1" ht="12.75" x14ac:dyDescent="0.25">
      <c r="A30" s="2178" t="s">
        <v>2860</v>
      </c>
      <c r="B30" s="2197">
        <v>5118492</v>
      </c>
      <c r="C30" s="2199">
        <v>5118492</v>
      </c>
      <c r="D30" s="2197">
        <v>5118492</v>
      </c>
      <c r="E30" s="2197">
        <v>5118492</v>
      </c>
      <c r="F30" s="2197">
        <v>5118492</v>
      </c>
      <c r="G30" s="2197">
        <v>5118492</v>
      </c>
      <c r="H30" s="2197">
        <v>5118492</v>
      </c>
      <c r="I30" s="2197">
        <v>5118492</v>
      </c>
      <c r="J30" s="2197">
        <v>5118492</v>
      </c>
      <c r="K30" s="2197">
        <v>5118492</v>
      </c>
      <c r="L30" s="2197">
        <v>5118492</v>
      </c>
      <c r="M30" s="2197">
        <v>5118492</v>
      </c>
      <c r="N30" s="2197">
        <v>5118492</v>
      </c>
      <c r="O30" s="2197">
        <v>5118492</v>
      </c>
      <c r="P30" s="2197">
        <v>5118492</v>
      </c>
      <c r="Q30" s="2197">
        <v>5118492</v>
      </c>
      <c r="R30" s="2197"/>
      <c r="S30" s="2197"/>
      <c r="T30" s="2200"/>
      <c r="U30" s="2201"/>
      <c r="V30" s="2202"/>
    </row>
    <row r="31" spans="1:22" s="2183" customFormat="1" ht="12" customHeight="1" x14ac:dyDescent="0.25">
      <c r="A31" s="2204" t="s">
        <v>2863</v>
      </c>
      <c r="B31" s="2206"/>
      <c r="C31" s="2208"/>
      <c r="D31" s="2206"/>
      <c r="E31" s="2206"/>
      <c r="F31" s="2206"/>
      <c r="G31" s="2206"/>
      <c r="H31" s="2206"/>
      <c r="I31" s="2206"/>
      <c r="J31" s="2206"/>
      <c r="K31" s="2206"/>
      <c r="L31" s="2206"/>
      <c r="M31" s="2206"/>
      <c r="N31" s="2206"/>
      <c r="O31" s="2206"/>
      <c r="P31" s="2206"/>
      <c r="Q31" s="2208"/>
      <c r="R31" s="2206"/>
      <c r="S31" s="2206"/>
      <c r="T31" s="2209"/>
      <c r="U31" s="2210"/>
      <c r="V31" s="2211"/>
    </row>
    <row r="32" spans="1:22" s="2183" customFormat="1" ht="12" customHeight="1" x14ac:dyDescent="0.25">
      <c r="A32" s="2178" t="s">
        <v>2860</v>
      </c>
      <c r="B32" s="2967">
        <v>1698120</v>
      </c>
      <c r="C32" s="2968">
        <v>2264160</v>
      </c>
      <c r="D32" s="2967">
        <v>2264160</v>
      </c>
      <c r="E32" s="2967">
        <v>2264160</v>
      </c>
      <c r="F32" s="2967">
        <v>2264160</v>
      </c>
      <c r="G32" s="2967">
        <v>2264160</v>
      </c>
      <c r="H32" s="2967">
        <v>2264160</v>
      </c>
      <c r="I32" s="2967">
        <v>2264160</v>
      </c>
      <c r="J32" s="2967">
        <v>2264160</v>
      </c>
      <c r="K32" s="2967">
        <v>2264160</v>
      </c>
      <c r="L32" s="2967">
        <v>2264160</v>
      </c>
      <c r="M32" s="2967">
        <v>2264160</v>
      </c>
      <c r="N32" s="2967">
        <v>2264160</v>
      </c>
      <c r="O32" s="2967">
        <v>2264160</v>
      </c>
      <c r="P32" s="2967">
        <v>2264160</v>
      </c>
      <c r="Q32" s="2967">
        <v>2264160</v>
      </c>
      <c r="R32" s="2967">
        <v>2264160</v>
      </c>
      <c r="S32" s="2967">
        <v>2264160</v>
      </c>
      <c r="T32" s="2967">
        <v>2264160</v>
      </c>
      <c r="U32" s="2969"/>
      <c r="V32" s="2211"/>
    </row>
    <row r="33" spans="1:22" s="3011" customFormat="1" ht="25.5" x14ac:dyDescent="0.2">
      <c r="A33" s="3004" t="s">
        <v>2864</v>
      </c>
      <c r="B33" s="3005"/>
      <c r="C33" s="3006"/>
      <c r="D33" s="3007" t="s">
        <v>2870</v>
      </c>
      <c r="E33" s="3005"/>
      <c r="F33" s="3005"/>
      <c r="G33" s="3005"/>
      <c r="H33" s="3005"/>
      <c r="I33" s="3005"/>
      <c r="J33" s="3005"/>
      <c r="K33" s="3005"/>
      <c r="L33" s="3005"/>
      <c r="M33" s="3005"/>
      <c r="N33" s="3005"/>
      <c r="O33" s="3005"/>
      <c r="P33" s="3005"/>
      <c r="Q33" s="3006"/>
      <c r="R33" s="3005"/>
      <c r="S33" s="3005"/>
      <c r="T33" s="3008"/>
      <c r="U33" s="3009"/>
      <c r="V33" s="3010"/>
    </row>
    <row r="34" spans="1:22" s="2220" customFormat="1" ht="12" customHeight="1" x14ac:dyDescent="0.25">
      <c r="A34" s="2178" t="s">
        <v>2860</v>
      </c>
      <c r="B34" s="2223">
        <v>600000</v>
      </c>
      <c r="C34" s="2225">
        <v>720000</v>
      </c>
      <c r="D34" s="2986">
        <v>801255</v>
      </c>
      <c r="E34" s="2986">
        <v>681660</v>
      </c>
      <c r="F34" s="2986">
        <v>681660</v>
      </c>
      <c r="G34" s="2986">
        <v>681660</v>
      </c>
      <c r="H34" s="2986">
        <v>681660</v>
      </c>
      <c r="I34" s="2986">
        <v>681660</v>
      </c>
      <c r="J34" s="2986">
        <v>681660</v>
      </c>
      <c r="K34" s="2986">
        <v>681660</v>
      </c>
      <c r="L34" s="2986">
        <v>681660</v>
      </c>
      <c r="M34" s="2986">
        <v>681660</v>
      </c>
      <c r="N34" s="2986">
        <v>681660</v>
      </c>
      <c r="O34" s="2986">
        <v>681660</v>
      </c>
      <c r="P34" s="2986">
        <v>681660</v>
      </c>
      <c r="Q34" s="2986">
        <v>681660</v>
      </c>
      <c r="R34" s="2986">
        <v>681660</v>
      </c>
      <c r="S34" s="2986">
        <v>681660</v>
      </c>
      <c r="T34" s="2986">
        <v>681660</v>
      </c>
      <c r="U34" s="2989"/>
      <c r="V34" s="2219"/>
    </row>
    <row r="35" spans="1:22" s="2220" customFormat="1" ht="12" customHeight="1" x14ac:dyDescent="0.25">
      <c r="A35" s="2212" t="s">
        <v>2865</v>
      </c>
      <c r="B35" s="2214"/>
      <c r="C35" s="2216"/>
      <c r="D35" s="2214"/>
      <c r="E35" s="2214"/>
      <c r="F35" s="2214"/>
      <c r="G35" s="2214"/>
      <c r="H35" s="2214"/>
      <c r="I35" s="2214"/>
      <c r="J35" s="2214"/>
      <c r="K35" s="2214"/>
      <c r="L35" s="2214"/>
      <c r="M35" s="2214"/>
      <c r="N35" s="2214"/>
      <c r="O35" s="2214"/>
      <c r="P35" s="2214"/>
      <c r="Q35" s="2216"/>
      <c r="R35" s="2214"/>
      <c r="S35" s="2214"/>
      <c r="T35" s="2217"/>
      <c r="U35" s="2218"/>
      <c r="V35" s="2219"/>
    </row>
    <row r="36" spans="1:22" s="2220" customFormat="1" ht="12" customHeight="1" x14ac:dyDescent="0.25">
      <c r="A36" s="2178" t="s">
        <v>2860</v>
      </c>
      <c r="B36" s="2223">
        <v>166680</v>
      </c>
      <c r="C36" s="2225">
        <v>166680</v>
      </c>
      <c r="D36" s="2223"/>
      <c r="E36" s="2223"/>
      <c r="F36" s="2223"/>
      <c r="G36" s="2223"/>
      <c r="H36" s="2223"/>
      <c r="I36" s="2223"/>
      <c r="J36" s="2223"/>
      <c r="K36" s="2223"/>
      <c r="L36" s="2223"/>
      <c r="M36" s="2223"/>
      <c r="N36" s="2223"/>
      <c r="O36" s="2223"/>
      <c r="P36" s="2223"/>
      <c r="Q36" s="2225"/>
      <c r="R36" s="2223"/>
      <c r="S36" s="2223"/>
      <c r="T36" s="2226"/>
      <c r="U36" s="2227"/>
      <c r="V36" s="2219"/>
    </row>
    <row r="37" spans="1:22" s="2220" customFormat="1" ht="12" customHeight="1" x14ac:dyDescent="0.25">
      <c r="A37" s="2212" t="s">
        <v>2869</v>
      </c>
      <c r="B37" s="2214"/>
      <c r="C37" s="2216"/>
      <c r="D37" s="2214"/>
      <c r="E37" s="2214"/>
      <c r="F37" s="2214"/>
      <c r="G37" s="2214"/>
      <c r="H37" s="2214"/>
      <c r="I37" s="2214"/>
      <c r="J37" s="2214"/>
      <c r="K37" s="2214"/>
      <c r="L37" s="2214"/>
      <c r="M37" s="2214"/>
      <c r="N37" s="2214"/>
      <c r="O37" s="2214"/>
      <c r="P37" s="2214"/>
      <c r="Q37" s="2216"/>
      <c r="R37" s="2214"/>
      <c r="S37" s="2214"/>
      <c r="T37" s="2217"/>
      <c r="U37" s="2218"/>
      <c r="V37" s="2219"/>
    </row>
    <row r="38" spans="1:22" s="2220" customFormat="1" ht="10.9" customHeight="1" x14ac:dyDescent="0.25">
      <c r="A38" s="2178" t="s">
        <v>2860</v>
      </c>
      <c r="B38" s="2223"/>
      <c r="C38" s="2225"/>
      <c r="D38" s="2223">
        <v>52614429</v>
      </c>
      <c r="E38" s="2222">
        <v>38693807</v>
      </c>
      <c r="F38" s="2222">
        <f>+'přepočet úroků'!C27</f>
        <v>458333</v>
      </c>
      <c r="G38" s="2222">
        <f>+F38/7*12</f>
        <v>785713.71428571432</v>
      </c>
      <c r="H38" s="2222">
        <f t="shared" ref="H38:P38" si="4">+G38</f>
        <v>785713.71428571432</v>
      </c>
      <c r="I38" s="2222">
        <f t="shared" si="4"/>
        <v>785713.71428571432</v>
      </c>
      <c r="J38" s="2222">
        <f t="shared" si="4"/>
        <v>785713.71428571432</v>
      </c>
      <c r="K38" s="2222">
        <f t="shared" si="4"/>
        <v>785713.71428571432</v>
      </c>
      <c r="L38" s="2222">
        <f t="shared" si="4"/>
        <v>785713.71428571432</v>
      </c>
      <c r="M38" s="2222">
        <f t="shared" si="4"/>
        <v>785713.71428571432</v>
      </c>
      <c r="N38" s="2222">
        <f t="shared" si="4"/>
        <v>785713.71428571432</v>
      </c>
      <c r="O38" s="2222">
        <f t="shared" si="4"/>
        <v>785713.71428571432</v>
      </c>
      <c r="P38" s="2222">
        <f t="shared" si="4"/>
        <v>785713.71428571432</v>
      </c>
      <c r="Q38" s="2222"/>
      <c r="R38" s="2222"/>
      <c r="S38" s="2222"/>
      <c r="T38" s="2222"/>
      <c r="U38" s="2227"/>
      <c r="V38" s="2219"/>
    </row>
    <row r="39" spans="1:22" s="2220" customFormat="1" ht="12" customHeight="1" x14ac:dyDescent="0.25">
      <c r="A39" s="2212" t="s">
        <v>2920</v>
      </c>
      <c r="B39" s="2214"/>
      <c r="C39" s="2216"/>
      <c r="D39" s="2214"/>
      <c r="E39" s="2214"/>
      <c r="F39" s="2214"/>
      <c r="G39" s="2214"/>
      <c r="H39" s="2214"/>
      <c r="I39" s="2214"/>
      <c r="J39" s="2214"/>
      <c r="K39" s="2214"/>
      <c r="L39" s="2214"/>
      <c r="M39" s="2214"/>
      <c r="N39" s="2214"/>
      <c r="O39" s="2214"/>
      <c r="P39" s="2214"/>
      <c r="Q39" s="2216"/>
      <c r="R39" s="2214"/>
      <c r="S39" s="2214"/>
      <c r="T39" s="2217"/>
      <c r="U39" s="2218"/>
      <c r="V39" s="2219"/>
    </row>
    <row r="40" spans="1:22" s="2220" customFormat="1" ht="12" customHeight="1" x14ac:dyDescent="0.25">
      <c r="A40" s="2178" t="s">
        <v>2860</v>
      </c>
      <c r="B40" s="2223"/>
      <c r="C40" s="2225"/>
      <c r="D40" s="2223"/>
      <c r="E40" s="2222">
        <v>0</v>
      </c>
      <c r="F40" s="2222">
        <v>24999000</v>
      </c>
      <c r="G40" s="2222">
        <v>0</v>
      </c>
      <c r="H40" s="2222">
        <v>375000</v>
      </c>
      <c r="I40" s="2222">
        <f>+H40</f>
        <v>375000</v>
      </c>
      <c r="J40" s="2222">
        <f t="shared" ref="J40:T40" si="5">+I40</f>
        <v>375000</v>
      </c>
      <c r="K40" s="2222">
        <f t="shared" si="5"/>
        <v>375000</v>
      </c>
      <c r="L40" s="2222">
        <f t="shared" si="5"/>
        <v>375000</v>
      </c>
      <c r="M40" s="2222">
        <f t="shared" si="5"/>
        <v>375000</v>
      </c>
      <c r="N40" s="2222">
        <f t="shared" si="5"/>
        <v>375000</v>
      </c>
      <c r="O40" s="2222">
        <f t="shared" si="5"/>
        <v>375000</v>
      </c>
      <c r="P40" s="2222">
        <f t="shared" si="5"/>
        <v>375000</v>
      </c>
      <c r="Q40" s="2222">
        <f t="shared" si="5"/>
        <v>375000</v>
      </c>
      <c r="R40" s="2222">
        <f t="shared" si="5"/>
        <v>375000</v>
      </c>
      <c r="S40" s="2222">
        <f t="shared" si="5"/>
        <v>375000</v>
      </c>
      <c r="T40" s="2222">
        <f t="shared" si="5"/>
        <v>375000</v>
      </c>
      <c r="U40" s="2227"/>
      <c r="V40" s="2219"/>
    </row>
    <row r="41" spans="1:22" s="2234" customFormat="1" ht="13.5" thickBot="1" x14ac:dyDescent="0.3">
      <c r="A41" s="2228" t="s">
        <v>2921</v>
      </c>
      <c r="B41" s="2230">
        <f>+B28+B30+B32+B34+B36+B38+B40</f>
        <v>18492384</v>
      </c>
      <c r="C41" s="2984">
        <f t="shared" ref="C41:U41" si="6">+C28+C30+C32+C34+C36+C38+C40</f>
        <v>19178424</v>
      </c>
      <c r="D41" s="2230">
        <f t="shared" si="6"/>
        <v>70798337</v>
      </c>
      <c r="E41" s="2229">
        <f t="shared" si="6"/>
        <v>47667210</v>
      </c>
      <c r="F41" s="2229">
        <f t="shared" si="6"/>
        <v>33521645</v>
      </c>
      <c r="G41" s="2229">
        <f t="shared" si="6"/>
        <v>8850025.7142857146</v>
      </c>
      <c r="H41" s="2229">
        <f t="shared" si="6"/>
        <v>9225025.7142857146</v>
      </c>
      <c r="I41" s="2229">
        <f t="shared" si="6"/>
        <v>9225025.7142857146</v>
      </c>
      <c r="J41" s="2229">
        <f t="shared" si="6"/>
        <v>9225025.7142857146</v>
      </c>
      <c r="K41" s="2229">
        <f t="shared" si="6"/>
        <v>9225025.7142857146</v>
      </c>
      <c r="L41" s="2229">
        <f t="shared" si="6"/>
        <v>9225025.7142857146</v>
      </c>
      <c r="M41" s="2229">
        <f t="shared" si="6"/>
        <v>9225025.7142857146</v>
      </c>
      <c r="N41" s="2229">
        <f t="shared" si="6"/>
        <v>9225025.7142857146</v>
      </c>
      <c r="O41" s="2229">
        <f t="shared" si="6"/>
        <v>9225025.7142857146</v>
      </c>
      <c r="P41" s="2229">
        <f t="shared" si="6"/>
        <v>9225025.7142857146</v>
      </c>
      <c r="Q41" s="2232">
        <f t="shared" si="6"/>
        <v>8439312</v>
      </c>
      <c r="R41" s="2230">
        <f t="shared" si="6"/>
        <v>3320820</v>
      </c>
      <c r="S41" s="2230">
        <f t="shared" si="6"/>
        <v>3320820</v>
      </c>
      <c r="T41" s="2229">
        <f t="shared" si="6"/>
        <v>3320820</v>
      </c>
      <c r="U41" s="2233">
        <f t="shared" si="6"/>
        <v>0</v>
      </c>
      <c r="V41" s="2147"/>
    </row>
    <row r="42" spans="1:22" s="2234" customFormat="1" ht="13.5" thickBot="1" x14ac:dyDescent="0.3">
      <c r="A42" s="2228" t="s">
        <v>650</v>
      </c>
      <c r="B42" s="2230">
        <f>+B41+B25</f>
        <v>20561297</v>
      </c>
      <c r="C42" s="2984">
        <f t="shared" ref="C42:U42" si="7">+C41+C25</f>
        <v>22616791</v>
      </c>
      <c r="D42" s="2230">
        <f t="shared" si="7"/>
        <v>73876835</v>
      </c>
      <c r="E42" s="2229">
        <f t="shared" si="7"/>
        <v>49986117.442610003</v>
      </c>
      <c r="F42" s="2229">
        <f t="shared" si="7"/>
        <v>36091990.796790004</v>
      </c>
      <c r="G42" s="2229">
        <f t="shared" si="7"/>
        <v>11031366.582565714</v>
      </c>
      <c r="H42" s="2229">
        <f t="shared" si="7"/>
        <v>11617434.797657143</v>
      </c>
      <c r="I42" s="2229">
        <f t="shared" si="7"/>
        <v>11020614.096428571</v>
      </c>
      <c r="J42" s="2229">
        <f t="shared" si="7"/>
        <v>10690661.902800001</v>
      </c>
      <c r="K42" s="2229">
        <f t="shared" si="7"/>
        <v>10503661.584171429</v>
      </c>
      <c r="L42" s="2229">
        <f t="shared" si="7"/>
        <v>10316661.265542857</v>
      </c>
      <c r="M42" s="2229">
        <f t="shared" si="7"/>
        <v>10129660.946914285</v>
      </c>
      <c r="N42" s="2229">
        <f t="shared" si="7"/>
        <v>9942660.6282857135</v>
      </c>
      <c r="O42" s="2229">
        <f t="shared" si="7"/>
        <v>9755660.3096571434</v>
      </c>
      <c r="P42" s="2229">
        <f t="shared" si="7"/>
        <v>9626288.9710285719</v>
      </c>
      <c r="Q42" s="2232">
        <f t="shared" si="7"/>
        <v>8768820.6821142863</v>
      </c>
      <c r="R42" s="2230">
        <f t="shared" si="7"/>
        <v>3598594.7385</v>
      </c>
      <c r="S42" s="2230">
        <f t="shared" si="7"/>
        <v>3565261.5644999999</v>
      </c>
      <c r="T42" s="2229">
        <f t="shared" si="7"/>
        <v>3531928.3905000002</v>
      </c>
      <c r="U42" s="2233">
        <f t="shared" si="7"/>
        <v>177775.21650000001</v>
      </c>
      <c r="V42" s="2147"/>
    </row>
    <row r="43" spans="1:22" s="2139" customFormat="1" ht="14.25" customHeight="1" thickBot="1" x14ac:dyDescent="0.3">
      <c r="A43" s="2235"/>
      <c r="B43" s="2148"/>
      <c r="C43" s="2148"/>
      <c r="D43" s="2148"/>
      <c r="E43" s="2148"/>
      <c r="F43" s="2148"/>
      <c r="G43" s="2148"/>
      <c r="H43" s="2148"/>
      <c r="I43" s="2148"/>
      <c r="J43" s="2148"/>
      <c r="K43" s="2148"/>
      <c r="L43" s="2148"/>
      <c r="M43" s="2148"/>
      <c r="N43" s="2148"/>
      <c r="O43" s="2148"/>
      <c r="P43" s="2148"/>
      <c r="Q43" s="2148"/>
      <c r="R43" s="2148"/>
      <c r="S43" s="2148"/>
      <c r="T43" s="2148"/>
      <c r="U43" s="2148"/>
      <c r="V43" s="2147"/>
    </row>
    <row r="44" spans="1:22" s="2139" customFormat="1" ht="12.75" x14ac:dyDescent="0.25">
      <c r="A44" s="2236" t="s">
        <v>2859</v>
      </c>
      <c r="B44" s="2238">
        <v>22727264</v>
      </c>
      <c r="C44" s="2238">
        <v>11818172</v>
      </c>
      <c r="D44" s="2238">
        <v>1816171</v>
      </c>
      <c r="E44" s="2238">
        <f>+D44-E12</f>
        <v>1797916</v>
      </c>
      <c r="F44" s="2238"/>
      <c r="G44" s="2238"/>
      <c r="H44" s="2238"/>
      <c r="I44" s="2238"/>
      <c r="J44" s="2238"/>
      <c r="K44" s="2238"/>
      <c r="L44" s="2238"/>
      <c r="M44" s="2238"/>
      <c r="N44" s="2238"/>
      <c r="O44" s="2238"/>
      <c r="P44" s="2238"/>
      <c r="Q44" s="2241"/>
      <c r="R44" s="2241"/>
      <c r="S44" s="2238"/>
      <c r="T44" s="2242"/>
      <c r="U44" s="2243"/>
      <c r="V44" s="2147"/>
    </row>
    <row r="45" spans="1:22" s="2139" customFormat="1" ht="12.75" x14ac:dyDescent="0.25">
      <c r="A45" s="2162" t="s">
        <v>2862</v>
      </c>
      <c r="B45" s="2172">
        <v>78056852</v>
      </c>
      <c r="C45" s="2172">
        <v>72938360</v>
      </c>
      <c r="D45" s="2172">
        <v>67819868</v>
      </c>
      <c r="E45" s="2172">
        <f>+D45-E30</f>
        <v>62701376</v>
      </c>
      <c r="F45" s="2172">
        <f t="shared" ref="F45:U45" si="8">+E45-F30</f>
        <v>57582884</v>
      </c>
      <c r="G45" s="2172">
        <f t="shared" si="8"/>
        <v>52464392</v>
      </c>
      <c r="H45" s="2172">
        <f t="shared" si="8"/>
        <v>47345900</v>
      </c>
      <c r="I45" s="2172">
        <f t="shared" si="8"/>
        <v>42227408</v>
      </c>
      <c r="J45" s="2172">
        <f t="shared" si="8"/>
        <v>37108916</v>
      </c>
      <c r="K45" s="2172">
        <f t="shared" si="8"/>
        <v>31990424</v>
      </c>
      <c r="L45" s="2172">
        <f t="shared" si="8"/>
        <v>26871932</v>
      </c>
      <c r="M45" s="2172">
        <f t="shared" si="8"/>
        <v>21753440</v>
      </c>
      <c r="N45" s="2172">
        <f t="shared" si="8"/>
        <v>16634948</v>
      </c>
      <c r="O45" s="2172">
        <f t="shared" si="8"/>
        <v>11516456</v>
      </c>
      <c r="P45" s="2172">
        <f t="shared" si="8"/>
        <v>6397964</v>
      </c>
      <c r="Q45" s="2172">
        <f t="shared" si="8"/>
        <v>1279472</v>
      </c>
      <c r="R45" s="2172">
        <f t="shared" si="8"/>
        <v>1279472</v>
      </c>
      <c r="S45" s="2172">
        <f t="shared" si="8"/>
        <v>1279472</v>
      </c>
      <c r="T45" s="2172">
        <f t="shared" si="8"/>
        <v>1279472</v>
      </c>
      <c r="U45" s="2172">
        <f t="shared" si="8"/>
        <v>1279472</v>
      </c>
      <c r="V45" s="2147"/>
    </row>
    <row r="46" spans="1:22" s="2139" customFormat="1" ht="12.75" x14ac:dyDescent="0.25">
      <c r="A46" s="2162" t="s">
        <v>2863</v>
      </c>
      <c r="B46" s="2172">
        <v>28301880</v>
      </c>
      <c r="C46" s="2172">
        <v>26037720</v>
      </c>
      <c r="D46" s="2245">
        <v>23773560</v>
      </c>
      <c r="E46" s="2245">
        <f t="shared" ref="E46:N46" si="9">+D46-E32</f>
        <v>21509400</v>
      </c>
      <c r="F46" s="2245">
        <f t="shared" si="9"/>
        <v>19245240</v>
      </c>
      <c r="G46" s="2245">
        <f t="shared" si="9"/>
        <v>16981080</v>
      </c>
      <c r="H46" s="2245">
        <f t="shared" si="9"/>
        <v>14716920</v>
      </c>
      <c r="I46" s="2245">
        <f t="shared" si="9"/>
        <v>12452760</v>
      </c>
      <c r="J46" s="2245">
        <f t="shared" si="9"/>
        <v>10188600</v>
      </c>
      <c r="K46" s="2245">
        <f t="shared" si="9"/>
        <v>7924440</v>
      </c>
      <c r="L46" s="2245">
        <f t="shared" si="9"/>
        <v>5660280</v>
      </c>
      <c r="M46" s="2245">
        <f t="shared" si="9"/>
        <v>3396120</v>
      </c>
      <c r="N46" s="2245">
        <f t="shared" si="9"/>
        <v>1131960</v>
      </c>
      <c r="O46" s="2245"/>
      <c r="P46" s="2245"/>
      <c r="Q46" s="2245"/>
      <c r="R46" s="2245"/>
      <c r="S46" s="2245"/>
      <c r="T46" s="2245"/>
      <c r="U46" s="2245"/>
      <c r="V46" s="2147"/>
    </row>
    <row r="47" spans="1:22" s="2183" customFormat="1" ht="12.75" x14ac:dyDescent="0.25">
      <c r="A47" s="2162" t="s">
        <v>2864</v>
      </c>
      <c r="B47" s="2172">
        <v>13980000</v>
      </c>
      <c r="C47" s="2172">
        <v>13260000</v>
      </c>
      <c r="D47" s="3188">
        <v>14542045</v>
      </c>
      <c r="E47" s="3188">
        <f t="shared" ref="E47:U47" si="10">+D47-E34</f>
        <v>13860385</v>
      </c>
      <c r="F47" s="3188">
        <f t="shared" si="10"/>
        <v>13178725</v>
      </c>
      <c r="G47" s="3188">
        <f t="shared" si="10"/>
        <v>12497065</v>
      </c>
      <c r="H47" s="3188">
        <f t="shared" si="10"/>
        <v>11815405</v>
      </c>
      <c r="I47" s="3188">
        <f t="shared" si="10"/>
        <v>11133745</v>
      </c>
      <c r="J47" s="3188">
        <f t="shared" si="10"/>
        <v>10452085</v>
      </c>
      <c r="K47" s="3188">
        <f t="shared" si="10"/>
        <v>9770425</v>
      </c>
      <c r="L47" s="3188">
        <f t="shared" si="10"/>
        <v>9088765</v>
      </c>
      <c r="M47" s="3188">
        <f t="shared" si="10"/>
        <v>8407105</v>
      </c>
      <c r="N47" s="3188">
        <f t="shared" si="10"/>
        <v>7725445</v>
      </c>
      <c r="O47" s="3188">
        <f t="shared" si="10"/>
        <v>7043785</v>
      </c>
      <c r="P47" s="3188">
        <f t="shared" si="10"/>
        <v>6362125</v>
      </c>
      <c r="Q47" s="3188">
        <f t="shared" si="10"/>
        <v>5680465</v>
      </c>
      <c r="R47" s="3188">
        <f t="shared" si="10"/>
        <v>4998805</v>
      </c>
      <c r="S47" s="3188">
        <f t="shared" si="10"/>
        <v>4317145</v>
      </c>
      <c r="T47" s="3188">
        <f t="shared" si="10"/>
        <v>3635485</v>
      </c>
      <c r="U47" s="3188">
        <f t="shared" si="10"/>
        <v>3635485</v>
      </c>
      <c r="V47" s="2211"/>
    </row>
    <row r="48" spans="1:22" s="2183" customFormat="1" ht="12" customHeight="1" x14ac:dyDescent="0.25">
      <c r="A48" s="2162" t="s">
        <v>2865</v>
      </c>
      <c r="B48" s="2172">
        <v>2249980</v>
      </c>
      <c r="C48" s="2172">
        <v>2083300</v>
      </c>
      <c r="D48" s="3189"/>
      <c r="E48" s="3189"/>
      <c r="F48" s="3189"/>
      <c r="G48" s="3189"/>
      <c r="H48" s="3189"/>
      <c r="I48" s="3189"/>
      <c r="J48" s="3189"/>
      <c r="K48" s="3189"/>
      <c r="L48" s="3189"/>
      <c r="M48" s="3189"/>
      <c r="N48" s="3189"/>
      <c r="O48" s="3189"/>
      <c r="P48" s="3189"/>
      <c r="Q48" s="3189"/>
      <c r="R48" s="3189"/>
      <c r="S48" s="3189"/>
      <c r="T48" s="3189"/>
      <c r="U48" s="3189"/>
      <c r="V48" s="2211"/>
    </row>
    <row r="49" spans="1:22" s="2183" customFormat="1" ht="12.75" x14ac:dyDescent="0.25">
      <c r="A49" s="2162" t="s">
        <v>2867</v>
      </c>
      <c r="B49" s="2245"/>
      <c r="C49" s="2245"/>
      <c r="D49" s="2245">
        <v>47385571</v>
      </c>
      <c r="E49" s="2256">
        <f t="shared" ref="E49:P49" si="11">+D49-E38</f>
        <v>8691764</v>
      </c>
      <c r="F49" s="2256">
        <f t="shared" si="11"/>
        <v>8233431</v>
      </c>
      <c r="G49" s="2256">
        <f t="shared" si="11"/>
        <v>7447717.2857142854</v>
      </c>
      <c r="H49" s="2256">
        <f t="shared" si="11"/>
        <v>6662003.5714285709</v>
      </c>
      <c r="I49" s="2256">
        <f t="shared" si="11"/>
        <v>5876289.8571428563</v>
      </c>
      <c r="J49" s="2256">
        <f t="shared" si="11"/>
        <v>5090576.1428571418</v>
      </c>
      <c r="K49" s="2256">
        <f t="shared" si="11"/>
        <v>4304862.4285714272</v>
      </c>
      <c r="L49" s="2256">
        <f t="shared" si="11"/>
        <v>3519148.7142857127</v>
      </c>
      <c r="M49" s="2256">
        <f t="shared" si="11"/>
        <v>2733434.9999999981</v>
      </c>
      <c r="N49" s="2256">
        <f t="shared" si="11"/>
        <v>1947721.2857142838</v>
      </c>
      <c r="O49" s="2256">
        <f t="shared" si="11"/>
        <v>1162007.5714285695</v>
      </c>
      <c r="P49" s="2256">
        <f t="shared" si="11"/>
        <v>376293.85714285518</v>
      </c>
      <c r="Q49" s="2256"/>
      <c r="R49" s="2256"/>
      <c r="S49" s="2256"/>
      <c r="T49" s="2258"/>
      <c r="U49" s="2259"/>
      <c r="V49" s="2211"/>
    </row>
    <row r="50" spans="1:22" s="2183" customFormat="1" ht="12.75" x14ac:dyDescent="0.25">
      <c r="A50" s="2260" t="s">
        <v>2868</v>
      </c>
      <c r="B50" s="2256"/>
      <c r="C50" s="2256"/>
      <c r="D50" s="2256"/>
      <c r="E50" s="2256">
        <v>90000000</v>
      </c>
      <c r="F50" s="2256">
        <f>+E50-F40</f>
        <v>65001000</v>
      </c>
      <c r="G50" s="2256">
        <f>+F50-G40</f>
        <v>65001000</v>
      </c>
      <c r="H50" s="2256">
        <f t="shared" ref="H50:U50" si="12">+G50-H40</f>
        <v>64626000</v>
      </c>
      <c r="I50" s="2256">
        <f t="shared" si="12"/>
        <v>64251000</v>
      </c>
      <c r="J50" s="2256">
        <f t="shared" si="12"/>
        <v>63876000</v>
      </c>
      <c r="K50" s="2256">
        <f t="shared" si="12"/>
        <v>63501000</v>
      </c>
      <c r="L50" s="2256">
        <f t="shared" si="12"/>
        <v>63126000</v>
      </c>
      <c r="M50" s="2256">
        <f t="shared" si="12"/>
        <v>62751000</v>
      </c>
      <c r="N50" s="2256">
        <f t="shared" si="12"/>
        <v>62376000</v>
      </c>
      <c r="O50" s="2256">
        <f t="shared" si="12"/>
        <v>62001000</v>
      </c>
      <c r="P50" s="2256">
        <f t="shared" si="12"/>
        <v>61626000</v>
      </c>
      <c r="Q50" s="2256">
        <f t="shared" si="12"/>
        <v>61251000</v>
      </c>
      <c r="R50" s="2256">
        <f t="shared" si="12"/>
        <v>60876000</v>
      </c>
      <c r="S50" s="2256">
        <f t="shared" si="12"/>
        <v>60501000</v>
      </c>
      <c r="T50" s="2256">
        <f t="shared" si="12"/>
        <v>60126000</v>
      </c>
      <c r="U50" s="2256">
        <f t="shared" si="12"/>
        <v>60126000</v>
      </c>
      <c r="V50" s="2211"/>
    </row>
    <row r="51" spans="1:22" s="2234" customFormat="1" ht="13.5" thickBot="1" x14ac:dyDescent="0.3">
      <c r="A51" s="2269" t="s">
        <v>773</v>
      </c>
      <c r="B51" s="2271">
        <f>SUM(B44:B48)</f>
        <v>145315976</v>
      </c>
      <c r="C51" s="2274">
        <f>SUM(C44:C48)</f>
        <v>126137552</v>
      </c>
      <c r="D51" s="2271">
        <f t="shared" ref="D51:U51" si="13">SUM(D44:D50)</f>
        <v>155337215</v>
      </c>
      <c r="E51" s="2270">
        <f t="shared" si="13"/>
        <v>198560841</v>
      </c>
      <c r="F51" s="2270">
        <f t="shared" si="13"/>
        <v>163241280</v>
      </c>
      <c r="G51" s="2270">
        <f t="shared" si="13"/>
        <v>154391254.28571427</v>
      </c>
      <c r="H51" s="2270">
        <f t="shared" si="13"/>
        <v>145166228.57142857</v>
      </c>
      <c r="I51" s="2270">
        <f t="shared" si="13"/>
        <v>135941202.85714287</v>
      </c>
      <c r="J51" s="2270">
        <f t="shared" si="13"/>
        <v>126716177.14285713</v>
      </c>
      <c r="K51" s="2270">
        <f t="shared" si="13"/>
        <v>117491151.42857143</v>
      </c>
      <c r="L51" s="2270">
        <f t="shared" si="13"/>
        <v>108266125.71428572</v>
      </c>
      <c r="M51" s="2270">
        <f t="shared" si="13"/>
        <v>99041100</v>
      </c>
      <c r="N51" s="2270">
        <f t="shared" si="13"/>
        <v>89816074.285714284</v>
      </c>
      <c r="O51" s="2270">
        <f t="shared" si="13"/>
        <v>81723248.571428567</v>
      </c>
      <c r="P51" s="2270">
        <f t="shared" si="13"/>
        <v>74762382.857142851</v>
      </c>
      <c r="Q51" s="2273">
        <f t="shared" si="13"/>
        <v>68210937</v>
      </c>
      <c r="R51" s="2274">
        <f t="shared" si="13"/>
        <v>67154277</v>
      </c>
      <c r="S51" s="2271">
        <f t="shared" si="13"/>
        <v>66097617</v>
      </c>
      <c r="T51" s="2273">
        <f t="shared" si="13"/>
        <v>65040957</v>
      </c>
      <c r="U51" s="2275">
        <f t="shared" si="13"/>
        <v>65040957</v>
      </c>
      <c r="V51" s="2147"/>
    </row>
    <row r="52" spans="1:22" ht="16.5" customHeight="1" thickBot="1" x14ac:dyDescent="0.3">
      <c r="A52" s="2147"/>
      <c r="B52" s="2148"/>
      <c r="C52" s="2148"/>
      <c r="D52" s="2148"/>
      <c r="E52" s="2148"/>
      <c r="F52" s="2148"/>
      <c r="G52" s="2148"/>
      <c r="H52" s="2148"/>
      <c r="I52" s="2148"/>
      <c r="J52" s="2148"/>
      <c r="K52" s="2148"/>
      <c r="L52" s="2148"/>
      <c r="M52" s="2148"/>
      <c r="N52" s="2148"/>
      <c r="O52" s="2148"/>
      <c r="P52" s="2148"/>
      <c r="Q52" s="2148"/>
      <c r="R52" s="2148"/>
      <c r="S52" s="2148"/>
      <c r="T52" s="2148"/>
      <c r="U52" s="2148"/>
      <c r="V52" s="2147"/>
    </row>
    <row r="53" spans="1:22" s="2283" customFormat="1" ht="12.75" x14ac:dyDescent="0.25">
      <c r="A53" s="2276" t="s">
        <v>668</v>
      </c>
      <c r="B53" s="2278">
        <v>179926851</v>
      </c>
      <c r="C53" s="2281">
        <v>212770795.75999999</v>
      </c>
      <c r="D53" s="2278">
        <v>251112544</v>
      </c>
      <c r="E53" s="2278">
        <f>+'Souhrn příjmů a výdajů 2024'!H213</f>
        <v>271245741</v>
      </c>
      <c r="F53" s="2278">
        <f t="shared" ref="F53:U53" si="14">+E53*1.005</f>
        <v>272601969.70499998</v>
      </c>
      <c r="G53" s="2278">
        <f t="shared" si="14"/>
        <v>273964979.55352497</v>
      </c>
      <c r="H53" s="2278">
        <f t="shared" si="14"/>
        <v>275334804.45129257</v>
      </c>
      <c r="I53" s="2278">
        <f t="shared" si="14"/>
        <v>276711478.47354901</v>
      </c>
      <c r="J53" s="2278">
        <f t="shared" si="14"/>
        <v>278095035.86591673</v>
      </c>
      <c r="K53" s="2278">
        <f t="shared" si="14"/>
        <v>279485511.0452463</v>
      </c>
      <c r="L53" s="2278">
        <f t="shared" si="14"/>
        <v>280882938.60047251</v>
      </c>
      <c r="M53" s="2278">
        <f t="shared" si="14"/>
        <v>282287353.29347485</v>
      </c>
      <c r="N53" s="2278">
        <f t="shared" si="14"/>
        <v>283698790.05994219</v>
      </c>
      <c r="O53" s="2278">
        <f t="shared" si="14"/>
        <v>285117284.01024187</v>
      </c>
      <c r="P53" s="2278">
        <f t="shared" si="14"/>
        <v>286542870.43029302</v>
      </c>
      <c r="Q53" s="2281">
        <f t="shared" si="14"/>
        <v>287975584.78244448</v>
      </c>
      <c r="R53" s="2281">
        <f t="shared" si="14"/>
        <v>289415462.70635664</v>
      </c>
      <c r="S53" s="2278">
        <f t="shared" si="14"/>
        <v>290862540.0198884</v>
      </c>
      <c r="T53" s="2282">
        <f t="shared" si="14"/>
        <v>292316852.71998781</v>
      </c>
      <c r="U53" s="2279">
        <f t="shared" si="14"/>
        <v>293778436.98358774</v>
      </c>
      <c r="V53" s="2147"/>
    </row>
    <row r="54" spans="1:22" s="2307" customFormat="1" ht="13.5" thickBot="1" x14ac:dyDescent="0.3">
      <c r="A54" s="2301" t="s">
        <v>669</v>
      </c>
      <c r="B54" s="2302">
        <f t="shared" ref="B54:U54" si="15">+B42/B53</f>
        <v>0.11427586758576684</v>
      </c>
      <c r="C54" s="2985">
        <f t="shared" si="15"/>
        <v>0.10629650050992506</v>
      </c>
      <c r="D54" s="2302">
        <f t="shared" si="15"/>
        <v>0.29419810664655605</v>
      </c>
      <c r="E54" s="2302">
        <f t="shared" si="15"/>
        <v>0.18428351080583419</v>
      </c>
      <c r="F54" s="2302">
        <f t="shared" si="15"/>
        <v>0.13239812916923327</v>
      </c>
      <c r="G54" s="2302">
        <f t="shared" si="15"/>
        <v>4.0265608402005625E-2</v>
      </c>
      <c r="H54" s="2302">
        <f t="shared" si="15"/>
        <v>4.21938476714167E-2</v>
      </c>
      <c r="I54" s="2302">
        <f t="shared" si="15"/>
        <v>3.9827094117030053E-2</v>
      </c>
      <c r="J54" s="2302">
        <f t="shared" si="15"/>
        <v>3.8442476578238863E-2</v>
      </c>
      <c r="K54" s="2302">
        <f t="shared" si="15"/>
        <v>3.7582132772782544E-2</v>
      </c>
      <c r="L54" s="2302">
        <f t="shared" si="15"/>
        <v>3.6729398079308979E-2</v>
      </c>
      <c r="M54" s="2302">
        <f t="shared" si="15"/>
        <v>3.5884218080372766E-2</v>
      </c>
      <c r="N54" s="2302">
        <f t="shared" si="15"/>
        <v>3.5046538711655931E-2</v>
      </c>
      <c r="O54" s="2302">
        <f t="shared" si="15"/>
        <v>3.4216306259801162E-2</v>
      </c>
      <c r="P54" s="2302">
        <f t="shared" si="15"/>
        <v>3.3594585538188601E-2</v>
      </c>
      <c r="Q54" s="2303">
        <f t="shared" si="15"/>
        <v>3.0449875425164342E-2</v>
      </c>
      <c r="R54" s="2306">
        <f t="shared" si="15"/>
        <v>1.2434009934538862E-2</v>
      </c>
      <c r="S54" s="2306">
        <f t="shared" si="15"/>
        <v>1.2257548064650115E-2</v>
      </c>
      <c r="T54" s="2306">
        <f t="shared" si="15"/>
        <v>1.2082534269357563E-2</v>
      </c>
      <c r="U54" s="2306">
        <f t="shared" si="15"/>
        <v>6.0513364535985876E-4</v>
      </c>
      <c r="V54" s="2147"/>
    </row>
    <row r="55" spans="1:22" ht="13.5" hidden="1" thickBot="1" x14ac:dyDescent="0.3">
      <c r="A55" s="2291" t="s">
        <v>670</v>
      </c>
      <c r="B55" s="2293">
        <f t="shared" ref="B55:Q55" si="16">B51/B53</f>
        <v>0.80763918888348685</v>
      </c>
      <c r="C55" s="2294">
        <f t="shared" si="16"/>
        <v>0.59283301333459282</v>
      </c>
      <c r="D55" s="2292">
        <f t="shared" si="16"/>
        <v>0.61859599893185746</v>
      </c>
      <c r="E55" s="2293">
        <f t="shared" si="16"/>
        <v>0.7320330275711131</v>
      </c>
      <c r="F55" s="2293">
        <f t="shared" si="16"/>
        <v>0.59882648748522915</v>
      </c>
      <c r="G55" s="2293">
        <f t="shared" si="16"/>
        <v>0.5635437585392209</v>
      </c>
      <c r="H55" s="2293">
        <f t="shared" si="16"/>
        <v>0.52723530125705131</v>
      </c>
      <c r="I55" s="2293">
        <f t="shared" si="16"/>
        <v>0.4912741733991261</v>
      </c>
      <c r="J55" s="2293">
        <f t="shared" si="16"/>
        <v>0.45565781765321844</v>
      </c>
      <c r="K55" s="2293">
        <f t="shared" si="16"/>
        <v>0.42038369355594474</v>
      </c>
      <c r="L55" s="2293">
        <f t="shared" si="16"/>
        <v>0.38544927738841162</v>
      </c>
      <c r="M55" s="2293">
        <f t="shared" si="16"/>
        <v>0.35085206207248593</v>
      </c>
      <c r="N55" s="2293">
        <f t="shared" si="16"/>
        <v>0.3165895570676816</v>
      </c>
      <c r="O55" s="2293">
        <f t="shared" si="16"/>
        <v>0.28663028569145932</v>
      </c>
      <c r="P55" s="2293">
        <f t="shared" si="16"/>
        <v>0.26091168398248532</v>
      </c>
      <c r="Q55" s="2294">
        <f t="shared" si="16"/>
        <v>0.23686361137709291</v>
      </c>
      <c r="R55" s="2295"/>
      <c r="S55" s="2295"/>
      <c r="T55" s="2295"/>
      <c r="U55" s="2295"/>
      <c r="V55" s="2147"/>
    </row>
    <row r="56" spans="1:22" ht="13.5" thickBot="1" x14ac:dyDescent="0.3">
      <c r="A56" s="2147"/>
      <c r="B56" s="2147"/>
      <c r="C56" s="2147"/>
      <c r="D56" s="2147"/>
      <c r="E56" s="2147"/>
      <c r="F56" s="2147"/>
      <c r="G56" s="2147"/>
      <c r="H56" s="2147"/>
      <c r="I56" s="2147"/>
      <c r="J56" s="2147"/>
      <c r="K56" s="2147"/>
      <c r="L56" s="2147"/>
      <c r="M56" s="2147"/>
      <c r="N56" s="2147"/>
      <c r="O56" s="2147"/>
      <c r="P56" s="2147"/>
      <c r="Q56" s="2147"/>
      <c r="R56" s="2147"/>
      <c r="S56" s="2147"/>
      <c r="T56" s="2147"/>
      <c r="U56" s="2147"/>
      <c r="V56" s="2147"/>
    </row>
    <row r="57" spans="1:22" s="2283" customFormat="1" ht="13.5" thickBot="1" x14ac:dyDescent="0.3">
      <c r="A57" s="2160" t="s">
        <v>2922</v>
      </c>
      <c r="B57" s="2296"/>
      <c r="C57" s="2296"/>
      <c r="D57" s="2296"/>
      <c r="E57" s="2297"/>
      <c r="F57" s="2297"/>
      <c r="G57" s="2297"/>
      <c r="H57" s="2297"/>
      <c r="I57" s="2297"/>
      <c r="J57" s="2297"/>
      <c r="K57" s="2297"/>
      <c r="L57" s="2297"/>
      <c r="M57" s="2297"/>
      <c r="N57" s="2297"/>
      <c r="O57" s="2297"/>
      <c r="P57" s="2297"/>
      <c r="Q57" s="2297"/>
      <c r="R57" s="2297"/>
      <c r="S57" s="2297"/>
      <c r="T57" s="2297"/>
      <c r="U57" s="2297"/>
      <c r="V57" s="2147"/>
    </row>
    <row r="58" spans="1:22" ht="12.75" x14ac:dyDescent="0.25">
      <c r="A58" s="2298" t="s">
        <v>2558</v>
      </c>
      <c r="B58" s="2237">
        <v>169590252</v>
      </c>
      <c r="C58" s="2242">
        <v>174677959.56</v>
      </c>
      <c r="D58" s="2238">
        <v>182138129</v>
      </c>
      <c r="E58" s="2237">
        <f t="shared" ref="E58:Q58" si="17">+D58*1.02</f>
        <v>185780891.58000001</v>
      </c>
      <c r="F58" s="2237">
        <f t="shared" si="17"/>
        <v>189496509.41160002</v>
      </c>
      <c r="G58" s="2237">
        <f t="shared" si="17"/>
        <v>193286439.59983203</v>
      </c>
      <c r="H58" s="2237">
        <f t="shared" si="17"/>
        <v>197152168.39182869</v>
      </c>
      <c r="I58" s="2237">
        <f t="shared" si="17"/>
        <v>201095211.75966525</v>
      </c>
      <c r="J58" s="2237">
        <f t="shared" si="17"/>
        <v>205117115.99485856</v>
      </c>
      <c r="K58" s="2237">
        <f t="shared" si="17"/>
        <v>209219458.31475574</v>
      </c>
      <c r="L58" s="2237">
        <f t="shared" si="17"/>
        <v>213403847.48105085</v>
      </c>
      <c r="M58" s="2237">
        <f t="shared" si="17"/>
        <v>217671924.43067187</v>
      </c>
      <c r="N58" s="2237">
        <f t="shared" si="17"/>
        <v>222025362.9192853</v>
      </c>
      <c r="O58" s="2237">
        <f t="shared" si="17"/>
        <v>226465870.17767102</v>
      </c>
      <c r="P58" s="2237">
        <f t="shared" si="17"/>
        <v>230995187.58122444</v>
      </c>
      <c r="Q58" s="2300">
        <f t="shared" si="17"/>
        <v>235615091.33284894</v>
      </c>
      <c r="R58" s="1023"/>
      <c r="S58" s="1023"/>
      <c r="T58" s="1023"/>
      <c r="U58" s="1023"/>
      <c r="V58" s="2147"/>
    </row>
    <row r="59" spans="1:22" s="2307" customFormat="1" ht="13.5" thickBot="1" x14ac:dyDescent="0.3">
      <c r="A59" s="2301" t="s">
        <v>670</v>
      </c>
      <c r="B59" s="2302">
        <f t="shared" ref="B59:Q59" si="18">+B51/B58</f>
        <v>0.85686514576321282</v>
      </c>
      <c r="C59" s="2985">
        <f>+C51/C58</f>
        <v>0.72211486965917471</v>
      </c>
      <c r="D59" s="2302">
        <f t="shared" si="18"/>
        <v>0.85285390737707645</v>
      </c>
      <c r="E59" s="2302">
        <f t="shared" si="18"/>
        <v>1.0687904407784412</v>
      </c>
      <c r="F59" s="2302">
        <f t="shared" si="18"/>
        <v>0.86144742458251944</v>
      </c>
      <c r="G59" s="2302">
        <f t="shared" si="18"/>
        <v>0.798769197701381</v>
      </c>
      <c r="H59" s="2302">
        <f t="shared" si="18"/>
        <v>0.73631565787761954</v>
      </c>
      <c r="I59" s="2302">
        <f t="shared" si="18"/>
        <v>0.67600417567182136</v>
      </c>
      <c r="J59" s="2302">
        <f t="shared" si="18"/>
        <v>0.61777476018156074</v>
      </c>
      <c r="K59" s="2302">
        <f t="shared" si="18"/>
        <v>0.56156894953725756</v>
      </c>
      <c r="L59" s="2302">
        <f t="shared" si="18"/>
        <v>0.50732977400465651</v>
      </c>
      <c r="M59" s="2302">
        <f t="shared" si="18"/>
        <v>0.45500171994640687</v>
      </c>
      <c r="N59" s="2302">
        <f t="shared" si="18"/>
        <v>0.40453069462323482</v>
      </c>
      <c r="O59" s="2302">
        <f t="shared" si="18"/>
        <v>0.36086342064397431</v>
      </c>
      <c r="P59" s="2302">
        <f t="shared" si="18"/>
        <v>0.32365342170106587</v>
      </c>
      <c r="Q59" s="2303">
        <f t="shared" si="18"/>
        <v>0.28950156212039796</v>
      </c>
      <c r="R59" s="2306"/>
      <c r="S59" s="2306"/>
      <c r="T59" s="2306"/>
      <c r="U59" s="2306"/>
      <c r="V59" s="2147"/>
    </row>
    <row r="60" spans="1:22" ht="12.75" x14ac:dyDescent="0.25">
      <c r="A60" s="2147"/>
      <c r="B60" s="2147"/>
      <c r="C60" s="2147"/>
      <c r="D60" s="2147"/>
      <c r="E60" s="2147"/>
      <c r="F60" s="2147"/>
      <c r="G60" s="2147"/>
      <c r="H60" s="2147"/>
      <c r="I60" s="2147"/>
      <c r="J60" s="2147"/>
      <c r="K60" s="2147"/>
      <c r="L60" s="2147"/>
      <c r="M60" s="2147"/>
      <c r="N60" s="2147"/>
      <c r="O60" s="2147"/>
      <c r="P60" s="2147"/>
      <c r="Q60" s="2147"/>
      <c r="R60" s="2147"/>
      <c r="S60" s="2147"/>
      <c r="T60" s="2147"/>
      <c r="U60" s="2147"/>
      <c r="V60" s="2147"/>
    </row>
    <row r="61" spans="1:22" ht="12.75" hidden="1" x14ac:dyDescent="0.25">
      <c r="A61" s="2147"/>
      <c r="B61" s="2147"/>
      <c r="C61" s="2147"/>
      <c r="D61" s="2147"/>
      <c r="E61" s="2147"/>
      <c r="F61" s="2147"/>
      <c r="G61" s="2147"/>
      <c r="H61" s="2147"/>
      <c r="I61" s="2147"/>
      <c r="J61" s="2147"/>
      <c r="K61" s="2147"/>
      <c r="L61" s="2147"/>
      <c r="M61" s="2147"/>
      <c r="N61" s="2147"/>
      <c r="O61" s="2147"/>
      <c r="P61" s="2147"/>
      <c r="Q61" s="2147"/>
      <c r="R61" s="2147"/>
      <c r="S61" s="2147"/>
      <c r="T61" s="2147"/>
      <c r="U61" s="2147"/>
      <c r="V61" s="2147"/>
    </row>
    <row r="62" spans="1:22" s="2314" customFormat="1" ht="13.5" hidden="1" thickBot="1" x14ac:dyDescent="0.3">
      <c r="A62" s="2308" t="s">
        <v>683</v>
      </c>
      <c r="B62" s="2313"/>
      <c r="C62" s="2310">
        <v>2018</v>
      </c>
      <c r="D62" s="2311"/>
      <c r="E62" s="2312"/>
      <c r="F62" s="2312"/>
      <c r="G62" s="2313"/>
      <c r="H62" s="2310">
        <v>2019</v>
      </c>
      <c r="I62" s="2311"/>
      <c r="J62" s="2312"/>
      <c r="K62" s="2312"/>
      <c r="L62" s="2313"/>
      <c r="M62" s="2310">
        <v>2020</v>
      </c>
      <c r="N62" s="2311"/>
      <c r="O62" s="2311"/>
      <c r="P62" s="2312"/>
      <c r="Q62" s="2313"/>
      <c r="R62" s="2308"/>
      <c r="S62" s="2308"/>
      <c r="T62" s="2308"/>
      <c r="U62" s="2308"/>
      <c r="V62" s="2308"/>
    </row>
    <row r="63" spans="1:22" ht="13.5" hidden="1" thickBot="1" x14ac:dyDescent="0.3">
      <c r="A63" s="2147"/>
      <c r="B63" s="2320" t="s">
        <v>681</v>
      </c>
      <c r="C63" s="2316"/>
      <c r="D63" s="2317" t="s">
        <v>678</v>
      </c>
      <c r="E63" s="2318" t="s">
        <v>679</v>
      </c>
      <c r="F63" s="2319" t="s">
        <v>680</v>
      </c>
      <c r="G63" s="2320" t="s">
        <v>681</v>
      </c>
      <c r="H63" s="2316"/>
      <c r="I63" s="2317" t="s">
        <v>678</v>
      </c>
      <c r="J63" s="2318" t="s">
        <v>679</v>
      </c>
      <c r="K63" s="2319" t="s">
        <v>680</v>
      </c>
      <c r="L63" s="2320" t="s">
        <v>681</v>
      </c>
      <c r="M63" s="2316"/>
      <c r="N63" s="2321" t="s">
        <v>678</v>
      </c>
      <c r="O63" s="2317" t="s">
        <v>679</v>
      </c>
      <c r="P63" s="2319" t="s">
        <v>680</v>
      </c>
      <c r="Q63" s="2320" t="s">
        <v>681</v>
      </c>
      <c r="R63" s="2322"/>
      <c r="S63" s="2322"/>
      <c r="T63" s="2322"/>
      <c r="U63" s="2322"/>
      <c r="V63" s="2322"/>
    </row>
    <row r="64" spans="1:22" ht="13.5" hidden="1" thickBot="1" x14ac:dyDescent="0.3">
      <c r="A64" s="2323" t="s">
        <v>676</v>
      </c>
      <c r="B64" s="2324" t="e">
        <f t="shared" ref="B64:Q64" si="19">+B65/B66</f>
        <v>#DIV/0!</v>
      </c>
      <c r="C64" s="2324" t="e">
        <f t="shared" si="19"/>
        <v>#REF!</v>
      </c>
      <c r="D64" s="2324" t="e">
        <f t="shared" si="19"/>
        <v>#DIV/0!</v>
      </c>
      <c r="E64" s="2324" t="e">
        <f t="shared" si="19"/>
        <v>#DIV/0!</v>
      </c>
      <c r="F64" s="2324" t="e">
        <f t="shared" si="19"/>
        <v>#DIV/0!</v>
      </c>
      <c r="G64" s="2324" t="e">
        <f t="shared" si="19"/>
        <v>#DIV/0!</v>
      </c>
      <c r="H64" s="2324" t="e">
        <f t="shared" si="19"/>
        <v>#REF!</v>
      </c>
      <c r="I64" s="2324" t="e">
        <f t="shared" si="19"/>
        <v>#DIV/0!</v>
      </c>
      <c r="J64" s="2324" t="e">
        <f t="shared" si="19"/>
        <v>#DIV/0!</v>
      </c>
      <c r="K64" s="2324" t="e">
        <f t="shared" si="19"/>
        <v>#DIV/0!</v>
      </c>
      <c r="L64" s="2324" t="e">
        <f t="shared" si="19"/>
        <v>#DIV/0!</v>
      </c>
      <c r="M64" s="2324" t="e">
        <f t="shared" si="19"/>
        <v>#REF!</v>
      </c>
      <c r="N64" s="2324" t="e">
        <f t="shared" si="19"/>
        <v>#DIV/0!</v>
      </c>
      <c r="O64" s="2324" t="e">
        <f t="shared" si="19"/>
        <v>#DIV/0!</v>
      </c>
      <c r="P64" s="2324" t="e">
        <f t="shared" si="19"/>
        <v>#DIV/0!</v>
      </c>
      <c r="Q64" s="2324" t="e">
        <f t="shared" si="19"/>
        <v>#DIV/0!</v>
      </c>
      <c r="R64" s="2326"/>
      <c r="S64" s="2326"/>
      <c r="T64" s="2326"/>
      <c r="U64" s="2326"/>
      <c r="V64" s="2326"/>
    </row>
    <row r="65" spans="1:22" ht="12.75" hidden="1" x14ac:dyDescent="0.25">
      <c r="A65" s="2327" t="s">
        <v>682</v>
      </c>
      <c r="B65" s="2331"/>
      <c r="C65" s="2329">
        <v>37491467</v>
      </c>
      <c r="D65" s="2332"/>
      <c r="E65" s="2330"/>
      <c r="F65" s="2330"/>
      <c r="G65" s="2331"/>
      <c r="H65" s="2329"/>
      <c r="I65" s="2332"/>
      <c r="J65" s="2330"/>
      <c r="K65" s="2330"/>
      <c r="L65" s="2331"/>
      <c r="M65" s="2329"/>
      <c r="N65" s="2333"/>
      <c r="O65" s="2332"/>
      <c r="P65" s="2330"/>
      <c r="Q65" s="2331"/>
      <c r="R65" s="2148"/>
      <c r="S65" s="2148"/>
      <c r="T65" s="2148"/>
      <c r="U65" s="2148"/>
      <c r="V65" s="2148"/>
    </row>
    <row r="66" spans="1:22" ht="13.5" hidden="1" thickBot="1" x14ac:dyDescent="0.3">
      <c r="A66" s="2334" t="s">
        <v>677</v>
      </c>
      <c r="B66" s="2339"/>
      <c r="C66" s="2336" t="e">
        <f>+#REF!</f>
        <v>#REF!</v>
      </c>
      <c r="D66" s="2337"/>
      <c r="E66" s="2338"/>
      <c r="F66" s="2338"/>
      <c r="G66" s="2339"/>
      <c r="H66" s="2336" t="e">
        <f>+#REF!</f>
        <v>#REF!</v>
      </c>
      <c r="I66" s="2337"/>
      <c r="J66" s="2338"/>
      <c r="K66" s="2338"/>
      <c r="L66" s="2339"/>
      <c r="M66" s="2336" t="e">
        <f>#REF!</f>
        <v>#REF!</v>
      </c>
      <c r="N66" s="2340"/>
      <c r="O66" s="2337"/>
      <c r="P66" s="2338"/>
      <c r="Q66" s="2339"/>
      <c r="R66" s="2148"/>
      <c r="S66" s="2148"/>
      <c r="T66" s="2148"/>
      <c r="U66" s="2148"/>
      <c r="V66" s="2148"/>
    </row>
    <row r="67" spans="1:22" ht="12.75" hidden="1" x14ac:dyDescent="0.25">
      <c r="A67" s="2147"/>
      <c r="B67" s="2147"/>
      <c r="C67" s="2147"/>
      <c r="D67" s="2147"/>
      <c r="E67" s="2147"/>
      <c r="F67" s="2147"/>
      <c r="G67" s="2147"/>
      <c r="H67" s="2147"/>
      <c r="I67" s="2147"/>
      <c r="J67" s="2147"/>
      <c r="K67" s="2147"/>
      <c r="L67" s="2147"/>
      <c r="M67" s="2147"/>
      <c r="N67" s="2147"/>
      <c r="O67" s="2147"/>
      <c r="P67" s="2147"/>
      <c r="Q67" s="2147"/>
      <c r="R67" s="2147"/>
      <c r="S67" s="2147"/>
      <c r="T67" s="2147"/>
      <c r="U67" s="2147"/>
      <c r="V67" s="2147"/>
    </row>
    <row r="68" spans="1:22" ht="12.75" x14ac:dyDescent="0.25"/>
    <row r="69" spans="1:22" ht="12.75" x14ac:dyDescent="0.25"/>
    <row r="70" spans="1:22" ht="12.75" x14ac:dyDescent="0.25"/>
  </sheetData>
  <sheetProtection algorithmName="SHA-512" hashValue="OC1RRPaPH5wPGsPcnPlDxEj03V1xcPDkIVQbbeXqA1mHAsOSS6qZCX+7QJqE3MeprbxgYtHtcl1g0KuXiSqQmQ==" saltValue="b9pVAR7l0ljnOrFfZO2nXg==" spinCount="100000" sheet="1" objects="1" scenarios="1"/>
  <mergeCells count="18">
    <mergeCell ref="I47:I48"/>
    <mergeCell ref="D47:D48"/>
    <mergeCell ref="E47:E48"/>
    <mergeCell ref="F47:F48"/>
    <mergeCell ref="G47:G48"/>
    <mergeCell ref="H47:H48"/>
    <mergeCell ref="U47:U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</mergeCells>
  <pageMargins left="0.7" right="0.7" top="0.78740157499999996" bottom="0.78740157499999996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5"/>
  <sheetViews>
    <sheetView topLeftCell="A264" workbookViewId="0">
      <selection activeCell="E282" sqref="E282"/>
    </sheetView>
  </sheetViews>
  <sheetFormatPr defaultColWidth="9" defaultRowHeight="12" outlineLevelRow="1" x14ac:dyDescent="0.2"/>
  <cols>
    <col min="1" max="1" width="12" style="2341" customWidth="1"/>
    <col min="2" max="2" width="18.5703125" style="2341" customWidth="1"/>
    <col min="3" max="3" width="14.7109375" style="2341" customWidth="1"/>
    <col min="4" max="4" width="8.28515625" style="2341" bestFit="1" customWidth="1"/>
    <col min="5" max="5" width="30.140625" style="2341" customWidth="1"/>
    <col min="6" max="6" width="13.140625" style="2342" customWidth="1"/>
    <col min="7" max="7" width="11.7109375" style="2342" customWidth="1"/>
    <col min="8" max="8" width="12" style="2341" customWidth="1"/>
    <col min="9" max="9" width="8.7109375" style="2341" customWidth="1"/>
    <col min="10" max="10" width="13.28515625" style="2341" bestFit="1" customWidth="1"/>
    <col min="11" max="11" width="13" style="2341" bestFit="1" customWidth="1"/>
    <col min="12" max="12" width="12.28515625" style="2341" bestFit="1" customWidth="1"/>
    <col min="13" max="17" width="8.7109375" style="2341" customWidth="1"/>
    <col min="18" max="16384" width="9" style="2341"/>
  </cols>
  <sheetData>
    <row r="2" spans="1:8" x14ac:dyDescent="0.2">
      <c r="B2" s="720" t="s">
        <v>798</v>
      </c>
      <c r="C2" s="720"/>
    </row>
    <row r="4" spans="1:8" x14ac:dyDescent="0.2">
      <c r="A4" s="2344" t="s">
        <v>799</v>
      </c>
      <c r="B4" s="2344" t="s">
        <v>800</v>
      </c>
      <c r="C4" s="2345" t="s">
        <v>492</v>
      </c>
      <c r="D4" s="2344" t="s">
        <v>801</v>
      </c>
      <c r="F4" s="2345" t="s">
        <v>492</v>
      </c>
      <c r="G4" s="2344" t="s">
        <v>801</v>
      </c>
      <c r="H4" s="2344" t="s">
        <v>1485</v>
      </c>
    </row>
    <row r="5" spans="1:8" outlineLevel="1" x14ac:dyDescent="0.2">
      <c r="C5" s="2346"/>
      <c r="F5" s="2347">
        <v>163848360</v>
      </c>
      <c r="G5" s="2347"/>
      <c r="H5" s="2347"/>
    </row>
    <row r="6" spans="1:8" outlineLevel="1" x14ac:dyDescent="0.2">
      <c r="A6" s="2341" t="s">
        <v>1255</v>
      </c>
      <c r="B6" s="2341" t="s">
        <v>802</v>
      </c>
      <c r="C6" s="2348" t="s">
        <v>1322</v>
      </c>
      <c r="D6" s="2348" t="s">
        <v>1323</v>
      </c>
      <c r="F6" s="2342">
        <v>32727265</v>
      </c>
      <c r="G6" s="2342">
        <v>59882</v>
      </c>
      <c r="H6" s="2342">
        <v>909091</v>
      </c>
    </row>
    <row r="7" spans="1:8" outlineLevel="1" x14ac:dyDescent="0.2">
      <c r="A7" s="2341" t="s">
        <v>1258</v>
      </c>
      <c r="B7" s="2341" t="s">
        <v>1461</v>
      </c>
      <c r="C7" s="2348" t="s">
        <v>1324</v>
      </c>
      <c r="D7" s="2348" t="s">
        <v>1325</v>
      </c>
      <c r="F7" s="2342">
        <v>82748803</v>
      </c>
      <c r="G7" s="2342">
        <v>64460</v>
      </c>
      <c r="H7" s="2342">
        <v>426541</v>
      </c>
    </row>
    <row r="8" spans="1:8" outlineLevel="1" x14ac:dyDescent="0.2">
      <c r="A8" s="2341" t="s">
        <v>1326</v>
      </c>
      <c r="B8" s="2341" t="s">
        <v>1462</v>
      </c>
      <c r="C8" s="2348" t="s">
        <v>1000</v>
      </c>
      <c r="D8" s="2348" t="s">
        <v>809</v>
      </c>
      <c r="E8" s="2341" t="s">
        <v>1254</v>
      </c>
      <c r="F8" s="2342">
        <v>30000000</v>
      </c>
      <c r="G8" s="2342">
        <v>0</v>
      </c>
      <c r="H8" s="2342">
        <v>0</v>
      </c>
    </row>
    <row r="9" spans="1:8" outlineLevel="1" x14ac:dyDescent="0.2">
      <c r="A9" s="2341" t="s">
        <v>1261</v>
      </c>
      <c r="B9" s="2341" t="s">
        <v>1463</v>
      </c>
      <c r="C9" s="2348" t="s">
        <v>1327</v>
      </c>
      <c r="D9" s="2348" t="s">
        <v>1328</v>
      </c>
      <c r="E9" s="2341" t="s">
        <v>1264</v>
      </c>
      <c r="F9" s="2342">
        <v>14530000</v>
      </c>
      <c r="G9" s="2342">
        <v>10044</v>
      </c>
      <c r="H9" s="2342">
        <v>50000</v>
      </c>
    </row>
    <row r="10" spans="1:8" outlineLevel="1" x14ac:dyDescent="0.2">
      <c r="A10" s="2341" t="s">
        <v>1265</v>
      </c>
      <c r="B10" s="2341" t="s">
        <v>1464</v>
      </c>
      <c r="C10" s="2348" t="s">
        <v>1329</v>
      </c>
      <c r="D10" s="2348" t="s">
        <v>1318</v>
      </c>
      <c r="E10" s="2341" t="s">
        <v>1268</v>
      </c>
      <c r="F10" s="2342">
        <v>2402770</v>
      </c>
      <c r="G10" s="2342">
        <v>1674</v>
      </c>
      <c r="H10" s="2342">
        <v>13890</v>
      </c>
    </row>
    <row r="11" spans="1:8" outlineLevel="1" x14ac:dyDescent="0.2">
      <c r="A11" s="2349" t="s">
        <v>1330</v>
      </c>
      <c r="B11" s="2349"/>
      <c r="C11" s="2350" t="s">
        <v>1331</v>
      </c>
      <c r="D11" s="2350" t="s">
        <v>1332</v>
      </c>
      <c r="F11" s="2347">
        <f>SUM(F6:F10)</f>
        <v>162408838</v>
      </c>
      <c r="G11" s="2347">
        <f>SUM(G6:G10)</f>
        <v>136060</v>
      </c>
      <c r="H11" s="2347">
        <f>SUM(H6:H10)</f>
        <v>1399522</v>
      </c>
    </row>
    <row r="12" spans="1:8" outlineLevel="1" x14ac:dyDescent="0.2">
      <c r="A12" s="2341" t="s">
        <v>1255</v>
      </c>
      <c r="B12" s="2341" t="s">
        <v>802</v>
      </c>
      <c r="C12" s="2348" t="s">
        <v>1333</v>
      </c>
      <c r="D12" s="2348" t="s">
        <v>1334</v>
      </c>
      <c r="F12" s="2342">
        <v>31818174</v>
      </c>
      <c r="G12" s="2342">
        <v>56254</v>
      </c>
      <c r="H12" s="2342">
        <f t="shared" ref="H12:H75" si="0">+F6-F12</f>
        <v>909091</v>
      </c>
    </row>
    <row r="13" spans="1:8" outlineLevel="1" x14ac:dyDescent="0.2">
      <c r="A13" s="2341" t="s">
        <v>1258</v>
      </c>
      <c r="B13" s="2341" t="s">
        <v>1461</v>
      </c>
      <c r="C13" s="2348" t="s">
        <v>1335</v>
      </c>
      <c r="D13" s="2348" t="s">
        <v>1336</v>
      </c>
      <c r="F13" s="2342">
        <v>82322262</v>
      </c>
      <c r="G13" s="2342">
        <v>57924</v>
      </c>
      <c r="H13" s="2342">
        <f t="shared" si="0"/>
        <v>426541</v>
      </c>
    </row>
    <row r="14" spans="1:8" outlineLevel="1" x14ac:dyDescent="0.2">
      <c r="A14" s="2341" t="s">
        <v>1326</v>
      </c>
      <c r="B14" s="2341" t="s">
        <v>1462</v>
      </c>
      <c r="C14" s="2348" t="s">
        <v>1000</v>
      </c>
      <c r="D14" s="2348" t="s">
        <v>809</v>
      </c>
      <c r="E14" s="2341" t="s">
        <v>1254</v>
      </c>
      <c r="F14" s="2342">
        <v>30000000</v>
      </c>
      <c r="G14" s="2342">
        <v>0</v>
      </c>
      <c r="H14" s="2342">
        <f t="shared" si="0"/>
        <v>0</v>
      </c>
    </row>
    <row r="15" spans="1:8" outlineLevel="1" x14ac:dyDescent="0.2">
      <c r="A15" s="2341" t="s">
        <v>1261</v>
      </c>
      <c r="B15" s="2341" t="s">
        <v>1463</v>
      </c>
      <c r="C15" s="2348" t="s">
        <v>1337</v>
      </c>
      <c r="D15" s="2348" t="s">
        <v>1338</v>
      </c>
      <c r="E15" s="2341" t="s">
        <v>1264</v>
      </c>
      <c r="F15" s="2342">
        <v>14480000</v>
      </c>
      <c r="G15" s="2342">
        <v>9153</v>
      </c>
      <c r="H15" s="2342">
        <f t="shared" si="0"/>
        <v>50000</v>
      </c>
    </row>
    <row r="16" spans="1:8" outlineLevel="1" x14ac:dyDescent="0.2">
      <c r="A16" s="2341" t="s">
        <v>1265</v>
      </c>
      <c r="B16" s="2341" t="s">
        <v>1464</v>
      </c>
      <c r="C16" s="2348" t="s">
        <v>1339</v>
      </c>
      <c r="D16" s="2348" t="s">
        <v>1340</v>
      </c>
      <c r="E16" s="2341" t="s">
        <v>1268</v>
      </c>
      <c r="F16" s="2342">
        <v>2388880</v>
      </c>
      <c r="G16" s="2342">
        <v>1513</v>
      </c>
      <c r="H16" s="2342">
        <f t="shared" si="0"/>
        <v>13890</v>
      </c>
    </row>
    <row r="17" spans="1:8" outlineLevel="1" x14ac:dyDescent="0.2">
      <c r="A17" s="2349" t="s">
        <v>1341</v>
      </c>
      <c r="B17" s="2349"/>
      <c r="C17" s="2350" t="s">
        <v>1342</v>
      </c>
      <c r="D17" s="2350" t="s">
        <v>1343</v>
      </c>
      <c r="F17" s="2347">
        <f>SUM(F12:F16)</f>
        <v>161009316</v>
      </c>
      <c r="G17" s="2347">
        <f>SUM(G12:G16)</f>
        <v>124844</v>
      </c>
      <c r="H17" s="2347">
        <f>SUM(H12:H16)</f>
        <v>1399522</v>
      </c>
    </row>
    <row r="18" spans="1:8" outlineLevel="1" x14ac:dyDescent="0.2">
      <c r="A18" s="2341" t="s">
        <v>1255</v>
      </c>
      <c r="B18" s="2341" t="s">
        <v>802</v>
      </c>
      <c r="C18" s="2348" t="s">
        <v>1344</v>
      </c>
      <c r="D18" s="2348" t="s">
        <v>1345</v>
      </c>
      <c r="F18" s="2342">
        <v>30909083</v>
      </c>
      <c r="G18" s="2342">
        <v>64458</v>
      </c>
      <c r="H18" s="2342">
        <f t="shared" si="0"/>
        <v>909091</v>
      </c>
    </row>
    <row r="19" spans="1:8" outlineLevel="1" x14ac:dyDescent="0.2">
      <c r="A19" s="2341" t="s">
        <v>1258</v>
      </c>
      <c r="B19" s="2341" t="s">
        <v>1461</v>
      </c>
      <c r="C19" s="2348" t="s">
        <v>1346</v>
      </c>
      <c r="D19" s="2348" t="s">
        <v>1347</v>
      </c>
      <c r="F19" s="2342">
        <v>81895721</v>
      </c>
      <c r="G19" s="2342">
        <v>63799</v>
      </c>
      <c r="H19" s="2342">
        <f t="shared" si="0"/>
        <v>426541</v>
      </c>
    </row>
    <row r="20" spans="1:8" outlineLevel="1" x14ac:dyDescent="0.2">
      <c r="A20" s="2341" t="s">
        <v>1326</v>
      </c>
      <c r="B20" s="2341" t="s">
        <v>1462</v>
      </c>
      <c r="C20" s="2348" t="s">
        <v>1000</v>
      </c>
      <c r="D20" s="2348" t="s">
        <v>1348</v>
      </c>
      <c r="E20" s="2341" t="s">
        <v>1254</v>
      </c>
      <c r="F20" s="2342">
        <v>30000000</v>
      </c>
      <c r="G20" s="2342">
        <v>141375</v>
      </c>
      <c r="H20" s="2342">
        <f t="shared" si="0"/>
        <v>0</v>
      </c>
    </row>
    <row r="21" spans="1:8" outlineLevel="1" x14ac:dyDescent="0.2">
      <c r="A21" s="2341" t="s">
        <v>1261</v>
      </c>
      <c r="B21" s="2341" t="s">
        <v>1463</v>
      </c>
      <c r="C21" s="2348" t="s">
        <v>1349</v>
      </c>
      <c r="D21" s="2348" t="s">
        <v>1350</v>
      </c>
      <c r="E21" s="2341" t="s">
        <v>1264</v>
      </c>
      <c r="F21" s="2342">
        <v>14430000</v>
      </c>
      <c r="G21" s="2342">
        <v>10099</v>
      </c>
      <c r="H21" s="2342">
        <f t="shared" si="0"/>
        <v>50000</v>
      </c>
    </row>
    <row r="22" spans="1:8" outlineLevel="1" x14ac:dyDescent="0.2">
      <c r="A22" s="2341" t="s">
        <v>1265</v>
      </c>
      <c r="B22" s="2341" t="s">
        <v>1464</v>
      </c>
      <c r="C22" s="2348" t="s">
        <v>1351</v>
      </c>
      <c r="D22" s="2348" t="s">
        <v>1352</v>
      </c>
      <c r="E22" s="2341" t="s">
        <v>1268</v>
      </c>
      <c r="F22" s="2342">
        <v>2374990</v>
      </c>
      <c r="G22" s="2342">
        <v>1666</v>
      </c>
      <c r="H22" s="2342">
        <f t="shared" si="0"/>
        <v>13890</v>
      </c>
    </row>
    <row r="23" spans="1:8" outlineLevel="1" x14ac:dyDescent="0.2">
      <c r="A23" s="2349" t="s">
        <v>1353</v>
      </c>
      <c r="B23" s="2349"/>
      <c r="C23" s="2350" t="s">
        <v>1354</v>
      </c>
      <c r="D23" s="2350" t="s">
        <v>1355</v>
      </c>
      <c r="F23" s="2347">
        <f>SUM(F18:F22)</f>
        <v>159609794</v>
      </c>
      <c r="G23" s="2347">
        <f>SUM(G18:G22)</f>
        <v>281397</v>
      </c>
      <c r="H23" s="2347">
        <f>SUM(H18:H22)</f>
        <v>1399522</v>
      </c>
    </row>
    <row r="24" spans="1:8" outlineLevel="1" x14ac:dyDescent="0.2">
      <c r="A24" s="2341" t="s">
        <v>1255</v>
      </c>
      <c r="B24" s="2341" t="s">
        <v>802</v>
      </c>
      <c r="C24" s="2348" t="s">
        <v>1356</v>
      </c>
      <c r="D24" s="2348" t="s">
        <v>1357</v>
      </c>
      <c r="E24" s="2341" t="s">
        <v>1358</v>
      </c>
      <c r="F24" s="2342">
        <v>29999992</v>
      </c>
      <c r="G24" s="2342">
        <v>28590</v>
      </c>
      <c r="H24" s="2342">
        <f t="shared" si="0"/>
        <v>909091</v>
      </c>
    </row>
    <row r="25" spans="1:8" outlineLevel="1" x14ac:dyDescent="0.2">
      <c r="A25" s="2341" t="s">
        <v>1258</v>
      </c>
      <c r="B25" s="2341" t="s">
        <v>1461</v>
      </c>
      <c r="C25" s="2348" t="s">
        <v>1359</v>
      </c>
      <c r="D25" s="2348" t="s">
        <v>1360</v>
      </c>
      <c r="E25" s="2341" t="s">
        <v>1361</v>
      </c>
      <c r="F25" s="2342">
        <v>81469180</v>
      </c>
      <c r="G25" s="2342">
        <v>61421</v>
      </c>
      <c r="H25" s="2342">
        <f t="shared" si="0"/>
        <v>426541</v>
      </c>
    </row>
    <row r="26" spans="1:8" outlineLevel="1" x14ac:dyDescent="0.2">
      <c r="A26" s="2341" t="s">
        <v>1326</v>
      </c>
      <c r="B26" s="2341" t="s">
        <v>1462</v>
      </c>
      <c r="C26" s="2348" t="s">
        <v>1000</v>
      </c>
      <c r="D26" s="2348" t="s">
        <v>809</v>
      </c>
      <c r="E26" s="2341" t="s">
        <v>1254</v>
      </c>
      <c r="F26" s="2342">
        <v>30000000</v>
      </c>
      <c r="G26" s="2342">
        <v>0</v>
      </c>
      <c r="H26" s="2342">
        <f t="shared" si="0"/>
        <v>0</v>
      </c>
    </row>
    <row r="27" spans="1:8" outlineLevel="1" x14ac:dyDescent="0.2">
      <c r="A27" s="2341" t="s">
        <v>1261</v>
      </c>
      <c r="B27" s="2341" t="s">
        <v>1463</v>
      </c>
      <c r="C27" s="2348" t="s">
        <v>1362</v>
      </c>
      <c r="D27" s="2348" t="s">
        <v>1363</v>
      </c>
      <c r="E27" s="2341" t="s">
        <v>1264</v>
      </c>
      <c r="F27" s="2342">
        <v>14380000</v>
      </c>
      <c r="G27" s="2342">
        <v>9740</v>
      </c>
      <c r="H27" s="2342">
        <f t="shared" si="0"/>
        <v>50000</v>
      </c>
    </row>
    <row r="28" spans="1:8" outlineLevel="1" x14ac:dyDescent="0.2">
      <c r="A28" s="2341" t="s">
        <v>1265</v>
      </c>
      <c r="B28" s="2341" t="s">
        <v>1464</v>
      </c>
      <c r="C28" s="2348" t="s">
        <v>1364</v>
      </c>
      <c r="D28" s="2348" t="s">
        <v>1365</v>
      </c>
      <c r="E28" s="2341" t="s">
        <v>1268</v>
      </c>
      <c r="F28" s="2342">
        <v>2361100</v>
      </c>
      <c r="G28" s="2342">
        <v>1603</v>
      </c>
      <c r="H28" s="2342">
        <f t="shared" si="0"/>
        <v>13890</v>
      </c>
    </row>
    <row r="29" spans="1:8" outlineLevel="1" x14ac:dyDescent="0.2">
      <c r="A29" s="2349" t="s">
        <v>1366</v>
      </c>
      <c r="B29" s="2349"/>
      <c r="C29" s="2350" t="s">
        <v>1367</v>
      </c>
      <c r="D29" s="2350" t="s">
        <v>1368</v>
      </c>
      <c r="F29" s="2347">
        <f>SUM(F24:F28)</f>
        <v>158210272</v>
      </c>
      <c r="G29" s="2347">
        <f>SUM(G24:G28)</f>
        <v>101354</v>
      </c>
      <c r="H29" s="2347">
        <f>SUM(H24:H28)</f>
        <v>1399522</v>
      </c>
    </row>
    <row r="30" spans="1:8" outlineLevel="1" x14ac:dyDescent="0.2">
      <c r="A30" s="2341" t="s">
        <v>1255</v>
      </c>
      <c r="B30" s="2341" t="s">
        <v>802</v>
      </c>
      <c r="C30" s="2348" t="s">
        <v>1369</v>
      </c>
      <c r="D30" s="2348" t="s">
        <v>1370</v>
      </c>
      <c r="E30" s="2341" t="s">
        <v>1358</v>
      </c>
      <c r="F30" s="2342">
        <v>29090901</v>
      </c>
      <c r="G30" s="2342">
        <v>28674</v>
      </c>
      <c r="H30" s="2342">
        <f t="shared" si="0"/>
        <v>909091</v>
      </c>
    </row>
    <row r="31" spans="1:8" outlineLevel="1" x14ac:dyDescent="0.2">
      <c r="A31" s="2341" t="s">
        <v>1258</v>
      </c>
      <c r="B31" s="2341" t="s">
        <v>1461</v>
      </c>
      <c r="C31" s="2348" t="s">
        <v>1371</v>
      </c>
      <c r="D31" s="2348" t="s">
        <v>1372</v>
      </c>
      <c r="E31" s="2341" t="s">
        <v>1361</v>
      </c>
      <c r="F31" s="2342">
        <v>81042639</v>
      </c>
      <c r="G31" s="2342">
        <v>63138</v>
      </c>
      <c r="H31" s="2342">
        <f t="shared" si="0"/>
        <v>426541</v>
      </c>
    </row>
    <row r="32" spans="1:8" outlineLevel="1" x14ac:dyDescent="0.2">
      <c r="A32" s="2341" t="s">
        <v>1326</v>
      </c>
      <c r="B32" s="2341" t="s">
        <v>1462</v>
      </c>
      <c r="C32" s="2348" t="s">
        <v>1000</v>
      </c>
      <c r="D32" s="2348" t="s">
        <v>809</v>
      </c>
      <c r="E32" s="2341" t="s">
        <v>1254</v>
      </c>
      <c r="F32" s="2342">
        <v>30000000</v>
      </c>
      <c r="G32" s="2342">
        <v>0</v>
      </c>
      <c r="H32" s="2342">
        <f t="shared" si="0"/>
        <v>0</v>
      </c>
    </row>
    <row r="33" spans="1:8" outlineLevel="1" x14ac:dyDescent="0.2">
      <c r="A33" s="2341" t="s">
        <v>1261</v>
      </c>
      <c r="B33" s="2341" t="s">
        <v>1463</v>
      </c>
      <c r="C33" s="2348" t="s">
        <v>1373</v>
      </c>
      <c r="D33" s="2348" t="s">
        <v>1374</v>
      </c>
      <c r="E33" s="2341" t="s">
        <v>1264</v>
      </c>
      <c r="F33" s="2342">
        <v>14330000</v>
      </c>
      <c r="G33" s="2342">
        <v>10030</v>
      </c>
      <c r="H33" s="2342">
        <f t="shared" si="0"/>
        <v>50000</v>
      </c>
    </row>
    <row r="34" spans="1:8" outlineLevel="1" x14ac:dyDescent="0.2">
      <c r="A34" s="2341" t="s">
        <v>1265</v>
      </c>
      <c r="B34" s="2341" t="s">
        <v>1464</v>
      </c>
      <c r="C34" s="2348" t="s">
        <v>1375</v>
      </c>
      <c r="D34" s="2348" t="s">
        <v>1376</v>
      </c>
      <c r="E34" s="2341" t="s">
        <v>1268</v>
      </c>
      <c r="F34" s="2342">
        <v>2347210</v>
      </c>
      <c r="G34" s="2342">
        <v>1646</v>
      </c>
      <c r="H34" s="2342">
        <f t="shared" si="0"/>
        <v>13890</v>
      </c>
    </row>
    <row r="35" spans="1:8" outlineLevel="1" x14ac:dyDescent="0.2">
      <c r="A35" s="2349" t="s">
        <v>1377</v>
      </c>
      <c r="B35" s="2349"/>
      <c r="C35" s="2350" t="s">
        <v>1378</v>
      </c>
      <c r="D35" s="2350" t="s">
        <v>1379</v>
      </c>
      <c r="F35" s="2347">
        <f>SUM(F30:F34)</f>
        <v>156810750</v>
      </c>
      <c r="G35" s="2347">
        <f>SUM(G30:G34)</f>
        <v>103488</v>
      </c>
      <c r="H35" s="2347">
        <f>SUM(H30:H34)</f>
        <v>1399522</v>
      </c>
    </row>
    <row r="36" spans="1:8" outlineLevel="1" x14ac:dyDescent="0.2">
      <c r="A36" s="2341" t="s">
        <v>1255</v>
      </c>
      <c r="B36" s="2341" t="s">
        <v>802</v>
      </c>
      <c r="C36" s="2348" t="s">
        <v>1380</v>
      </c>
      <c r="D36" s="2348" t="s">
        <v>1381</v>
      </c>
      <c r="E36" s="2341" t="s">
        <v>1358</v>
      </c>
      <c r="F36" s="2342">
        <v>28181810</v>
      </c>
      <c r="G36" s="2342">
        <v>26909</v>
      </c>
      <c r="H36" s="2342">
        <f t="shared" si="0"/>
        <v>909091</v>
      </c>
    </row>
    <row r="37" spans="1:8" outlineLevel="1" x14ac:dyDescent="0.2">
      <c r="A37" s="2341" t="s">
        <v>1258</v>
      </c>
      <c r="B37" s="2341" t="s">
        <v>1461</v>
      </c>
      <c r="C37" s="2348" t="s">
        <v>1382</v>
      </c>
      <c r="D37" s="2348" t="s">
        <v>1383</v>
      </c>
      <c r="E37" s="2341" t="s">
        <v>1361</v>
      </c>
      <c r="F37" s="2342">
        <v>80616098</v>
      </c>
      <c r="G37" s="2342">
        <v>60871</v>
      </c>
      <c r="H37" s="2342">
        <f t="shared" si="0"/>
        <v>426541</v>
      </c>
    </row>
    <row r="38" spans="1:8" outlineLevel="1" x14ac:dyDescent="0.2">
      <c r="A38" s="2341" t="s">
        <v>1384</v>
      </c>
      <c r="B38" s="2341" t="s">
        <v>1462</v>
      </c>
      <c r="C38" s="2348" t="s">
        <v>1385</v>
      </c>
      <c r="D38" s="2348" t="s">
        <v>1142</v>
      </c>
      <c r="E38" s="2341" t="s">
        <v>1254</v>
      </c>
      <c r="F38" s="2342">
        <v>29433960</v>
      </c>
      <c r="G38" s="2342">
        <v>149500</v>
      </c>
      <c r="H38" s="2342">
        <f t="shared" si="0"/>
        <v>566040</v>
      </c>
    </row>
    <row r="39" spans="1:8" outlineLevel="1" x14ac:dyDescent="0.2">
      <c r="A39" s="2341" t="s">
        <v>1261</v>
      </c>
      <c r="B39" s="2341" t="s">
        <v>1463</v>
      </c>
      <c r="C39" s="2348" t="s">
        <v>1386</v>
      </c>
      <c r="D39" s="2348" t="s">
        <v>1387</v>
      </c>
      <c r="E39" s="2341" t="s">
        <v>1264</v>
      </c>
      <c r="F39" s="2342">
        <v>14280000</v>
      </c>
      <c r="G39" s="2342">
        <v>9672</v>
      </c>
      <c r="H39" s="2342">
        <f t="shared" si="0"/>
        <v>50000</v>
      </c>
    </row>
    <row r="40" spans="1:8" outlineLevel="1" x14ac:dyDescent="0.2">
      <c r="A40" s="2341" t="s">
        <v>1265</v>
      </c>
      <c r="B40" s="2341" t="s">
        <v>1464</v>
      </c>
      <c r="C40" s="2348" t="s">
        <v>1388</v>
      </c>
      <c r="D40" s="2348" t="s">
        <v>1389</v>
      </c>
      <c r="E40" s="2341" t="s">
        <v>1268</v>
      </c>
      <c r="F40" s="2342">
        <v>2333320</v>
      </c>
      <c r="G40" s="2342">
        <v>1593</v>
      </c>
      <c r="H40" s="2342">
        <f t="shared" si="0"/>
        <v>13890</v>
      </c>
    </row>
    <row r="41" spans="1:8" outlineLevel="1" x14ac:dyDescent="0.2">
      <c r="A41" s="2349" t="s">
        <v>1390</v>
      </c>
      <c r="B41" s="2349"/>
      <c r="C41" s="2350" t="s">
        <v>1391</v>
      </c>
      <c r="D41" s="2350" t="s">
        <v>1392</v>
      </c>
      <c r="F41" s="2347">
        <f>SUM(F36:F40)</f>
        <v>154845188</v>
      </c>
      <c r="G41" s="2347">
        <f>SUM(G36:G40)</f>
        <v>248545</v>
      </c>
      <c r="H41" s="2347">
        <f>SUM(H36:H40)</f>
        <v>1965562</v>
      </c>
    </row>
    <row r="42" spans="1:8" outlineLevel="1" x14ac:dyDescent="0.2">
      <c r="A42" s="2341" t="s">
        <v>1255</v>
      </c>
      <c r="B42" s="2341" t="s">
        <v>802</v>
      </c>
      <c r="C42" s="2348" t="s">
        <v>1393</v>
      </c>
      <c r="D42" s="2348" t="s">
        <v>1394</v>
      </c>
      <c r="E42" s="2341" t="s">
        <v>1358</v>
      </c>
      <c r="F42" s="2342">
        <v>27272719</v>
      </c>
      <c r="G42" s="2342">
        <v>33246</v>
      </c>
      <c r="H42" s="2342">
        <f t="shared" si="0"/>
        <v>909091</v>
      </c>
    </row>
    <row r="43" spans="1:8" outlineLevel="1" x14ac:dyDescent="0.2">
      <c r="A43" s="2341" t="s">
        <v>1258</v>
      </c>
      <c r="B43" s="2341" t="s">
        <v>1461</v>
      </c>
      <c r="C43" s="2348" t="s">
        <v>1395</v>
      </c>
      <c r="D43" s="2348" t="s">
        <v>1396</v>
      </c>
      <c r="E43" s="2341" t="s">
        <v>1361</v>
      </c>
      <c r="F43" s="2342">
        <v>80189557</v>
      </c>
      <c r="G43" s="2342">
        <v>62477</v>
      </c>
      <c r="H43" s="2342">
        <f t="shared" si="0"/>
        <v>426541</v>
      </c>
    </row>
    <row r="44" spans="1:8" outlineLevel="1" x14ac:dyDescent="0.2">
      <c r="A44" s="2341" t="s">
        <v>1384</v>
      </c>
      <c r="B44" s="2341" t="s">
        <v>1462</v>
      </c>
      <c r="C44" s="2348" t="s">
        <v>1385</v>
      </c>
      <c r="D44" s="2348" t="s">
        <v>809</v>
      </c>
      <c r="E44" s="2341" t="s">
        <v>1254</v>
      </c>
      <c r="F44" s="2342">
        <v>29433960</v>
      </c>
      <c r="G44" s="2342">
        <v>0</v>
      </c>
      <c r="H44" s="2342">
        <f t="shared" si="0"/>
        <v>0</v>
      </c>
    </row>
    <row r="45" spans="1:8" outlineLevel="1" x14ac:dyDescent="0.2">
      <c r="A45" s="2341" t="s">
        <v>1261</v>
      </c>
      <c r="B45" s="2341" t="s">
        <v>1463</v>
      </c>
      <c r="C45" s="2348" t="s">
        <v>1397</v>
      </c>
      <c r="D45" s="2348" t="s">
        <v>1398</v>
      </c>
      <c r="E45" s="2341" t="s">
        <v>1264</v>
      </c>
      <c r="F45" s="2342">
        <v>14230000</v>
      </c>
      <c r="G45" s="2342">
        <v>13157</v>
      </c>
      <c r="H45" s="2342">
        <f t="shared" si="0"/>
        <v>50000</v>
      </c>
    </row>
    <row r="46" spans="1:8" outlineLevel="1" x14ac:dyDescent="0.2">
      <c r="A46" s="2341" t="s">
        <v>1265</v>
      </c>
      <c r="B46" s="2341" t="s">
        <v>1464</v>
      </c>
      <c r="C46" s="2348" t="s">
        <v>1399</v>
      </c>
      <c r="D46" s="2348" t="s">
        <v>1400</v>
      </c>
      <c r="E46" s="2341" t="s">
        <v>1268</v>
      </c>
      <c r="F46" s="2342">
        <v>2319430</v>
      </c>
      <c r="G46" s="2342">
        <v>1890</v>
      </c>
      <c r="H46" s="2342">
        <f t="shared" si="0"/>
        <v>13890</v>
      </c>
    </row>
    <row r="47" spans="1:8" outlineLevel="1" x14ac:dyDescent="0.2">
      <c r="A47" s="2349" t="s">
        <v>1401</v>
      </c>
      <c r="B47" s="2349"/>
      <c r="C47" s="2350" t="s">
        <v>1402</v>
      </c>
      <c r="D47" s="2350" t="s">
        <v>1403</v>
      </c>
      <c r="F47" s="2347">
        <f>SUM(F42:F46)</f>
        <v>153445666</v>
      </c>
      <c r="G47" s="2347">
        <f>SUM(G42:G46)</f>
        <v>110770</v>
      </c>
      <c r="H47" s="2347">
        <f>SUM(H42:H46)</f>
        <v>1399522</v>
      </c>
    </row>
    <row r="48" spans="1:8" outlineLevel="1" x14ac:dyDescent="0.2">
      <c r="A48" s="2341" t="s">
        <v>1255</v>
      </c>
      <c r="B48" s="2341" t="s">
        <v>802</v>
      </c>
      <c r="C48" s="2348" t="s">
        <v>1404</v>
      </c>
      <c r="D48" s="2348" t="s">
        <v>1405</v>
      </c>
      <c r="E48" s="2341" t="s">
        <v>1358</v>
      </c>
      <c r="F48" s="2342">
        <v>26363628</v>
      </c>
      <c r="G48" s="2342">
        <v>32643.93</v>
      </c>
      <c r="H48" s="2342">
        <f t="shared" si="0"/>
        <v>909091</v>
      </c>
    </row>
    <row r="49" spans="1:8" outlineLevel="1" x14ac:dyDescent="0.2">
      <c r="A49" s="2341" t="s">
        <v>1258</v>
      </c>
      <c r="B49" s="2341" t="s">
        <v>1461</v>
      </c>
      <c r="C49" s="2348" t="s">
        <v>1406</v>
      </c>
      <c r="D49" s="2348" t="s">
        <v>1407</v>
      </c>
      <c r="E49" s="2341" t="s">
        <v>1361</v>
      </c>
      <c r="F49" s="2342">
        <v>79763016</v>
      </c>
      <c r="G49" s="2342">
        <v>62146</v>
      </c>
      <c r="H49" s="2342">
        <f t="shared" si="0"/>
        <v>426541</v>
      </c>
    </row>
    <row r="50" spans="1:8" outlineLevel="1" x14ac:dyDescent="0.2">
      <c r="A50" s="2341" t="s">
        <v>1384</v>
      </c>
      <c r="B50" s="2341" t="s">
        <v>1462</v>
      </c>
      <c r="C50" s="2348" t="s">
        <v>1385</v>
      </c>
      <c r="D50" s="2348" t="s">
        <v>809</v>
      </c>
      <c r="E50" s="2341" t="s">
        <v>1254</v>
      </c>
      <c r="F50" s="2342">
        <v>29433960</v>
      </c>
      <c r="G50" s="2342">
        <v>0</v>
      </c>
      <c r="H50" s="2342">
        <f t="shared" si="0"/>
        <v>0</v>
      </c>
    </row>
    <row r="51" spans="1:8" outlineLevel="1" x14ac:dyDescent="0.2">
      <c r="A51" s="2341" t="s">
        <v>1261</v>
      </c>
      <c r="B51" s="2341" t="s">
        <v>1463</v>
      </c>
      <c r="C51" s="2348" t="s">
        <v>1408</v>
      </c>
      <c r="D51" s="2348" t="s">
        <v>1409</v>
      </c>
      <c r="E51" s="2341" t="s">
        <v>1264</v>
      </c>
      <c r="F51" s="2342">
        <v>14180000</v>
      </c>
      <c r="G51" s="2342">
        <v>13356</v>
      </c>
      <c r="H51" s="2342">
        <f t="shared" si="0"/>
        <v>50000</v>
      </c>
    </row>
    <row r="52" spans="1:8" outlineLevel="1" x14ac:dyDescent="0.2">
      <c r="A52" s="2341" t="s">
        <v>1265</v>
      </c>
      <c r="B52" s="2341" t="s">
        <v>1464</v>
      </c>
      <c r="C52" s="2348" t="s">
        <v>1410</v>
      </c>
      <c r="D52" s="2348" t="s">
        <v>1411</v>
      </c>
      <c r="E52" s="2341" t="s">
        <v>1268</v>
      </c>
      <c r="F52" s="2342">
        <v>2305540</v>
      </c>
      <c r="G52" s="2342">
        <v>2388</v>
      </c>
      <c r="H52" s="2342">
        <f t="shared" si="0"/>
        <v>13890</v>
      </c>
    </row>
    <row r="53" spans="1:8" outlineLevel="1" x14ac:dyDescent="0.2">
      <c r="A53" s="2349" t="s">
        <v>1412</v>
      </c>
      <c r="B53" s="2349"/>
      <c r="C53" s="2350" t="s">
        <v>1413</v>
      </c>
      <c r="D53" s="2350" t="s">
        <v>1414</v>
      </c>
      <c r="F53" s="2347">
        <f>SUM(F48:F52)</f>
        <v>152046144</v>
      </c>
      <c r="G53" s="2347">
        <f>SUM(G48:G52)</f>
        <v>110533.93</v>
      </c>
      <c r="H53" s="2347">
        <f>SUM(H48:H52)</f>
        <v>1399522</v>
      </c>
    </row>
    <row r="54" spans="1:8" outlineLevel="1" x14ac:dyDescent="0.2">
      <c r="A54" s="2341" t="s">
        <v>1255</v>
      </c>
      <c r="B54" s="2341" t="s">
        <v>802</v>
      </c>
      <c r="C54" s="2348" t="s">
        <v>1415</v>
      </c>
      <c r="D54" s="2348" t="s">
        <v>1416</v>
      </c>
      <c r="E54" s="2341" t="s">
        <v>1358</v>
      </c>
      <c r="F54" s="2342">
        <v>25454537</v>
      </c>
      <c r="G54" s="2342">
        <v>35590</v>
      </c>
      <c r="H54" s="2342">
        <f t="shared" si="0"/>
        <v>909091</v>
      </c>
    </row>
    <row r="55" spans="1:8" outlineLevel="1" x14ac:dyDescent="0.2">
      <c r="A55" s="2341" t="s">
        <v>1258</v>
      </c>
      <c r="B55" s="2341" t="s">
        <v>1461</v>
      </c>
      <c r="C55" s="2348" t="s">
        <v>1417</v>
      </c>
      <c r="D55" s="2348" t="s">
        <v>1418</v>
      </c>
      <c r="E55" s="2341" t="s">
        <v>1361</v>
      </c>
      <c r="F55" s="2342">
        <v>79336475</v>
      </c>
      <c r="G55" s="2342">
        <v>59822</v>
      </c>
      <c r="H55" s="2342">
        <f t="shared" si="0"/>
        <v>426541</v>
      </c>
    </row>
    <row r="56" spans="1:8" outlineLevel="1" x14ac:dyDescent="0.2">
      <c r="A56" s="2341" t="s">
        <v>1384</v>
      </c>
      <c r="B56" s="2341" t="s">
        <v>1462</v>
      </c>
      <c r="C56" s="2348" t="s">
        <v>1419</v>
      </c>
      <c r="D56" s="2348" t="s">
        <v>1420</v>
      </c>
      <c r="E56" s="2341" t="s">
        <v>1254</v>
      </c>
      <c r="F56" s="2342">
        <v>28867920</v>
      </c>
      <c r="G56" s="2342">
        <v>149867</v>
      </c>
      <c r="H56" s="2342">
        <f t="shared" si="0"/>
        <v>566040</v>
      </c>
    </row>
    <row r="57" spans="1:8" outlineLevel="1" x14ac:dyDescent="0.2">
      <c r="A57" s="2341" t="s">
        <v>1261</v>
      </c>
      <c r="B57" s="2341" t="s">
        <v>1463</v>
      </c>
      <c r="C57" s="2348" t="s">
        <v>1421</v>
      </c>
      <c r="D57" s="2348" t="s">
        <v>1422</v>
      </c>
      <c r="E57" s="2341" t="s">
        <v>1264</v>
      </c>
      <c r="F57" s="2342">
        <v>14130000</v>
      </c>
      <c r="G57" s="2342">
        <v>15598</v>
      </c>
      <c r="H57" s="2342">
        <f t="shared" si="0"/>
        <v>50000</v>
      </c>
    </row>
    <row r="58" spans="1:8" outlineLevel="1" x14ac:dyDescent="0.2">
      <c r="A58" s="2341" t="s">
        <v>1265</v>
      </c>
      <c r="B58" s="2341" t="s">
        <v>1464</v>
      </c>
      <c r="C58" s="2348" t="s">
        <v>1423</v>
      </c>
      <c r="D58" s="2348" t="s">
        <v>1424</v>
      </c>
      <c r="E58" s="2341" t="s">
        <v>1268</v>
      </c>
      <c r="F58" s="2342">
        <v>2291650</v>
      </c>
      <c r="G58" s="2342">
        <v>2573</v>
      </c>
      <c r="H58" s="2342">
        <f t="shared" si="0"/>
        <v>13890</v>
      </c>
    </row>
    <row r="59" spans="1:8" outlineLevel="1" x14ac:dyDescent="0.2">
      <c r="A59" s="2349" t="s">
        <v>1425</v>
      </c>
      <c r="B59" s="2349"/>
      <c r="C59" s="2350" t="s">
        <v>1426</v>
      </c>
      <c r="D59" s="2350" t="s">
        <v>1427</v>
      </c>
      <c r="F59" s="2347">
        <f>SUM(F54:F58)</f>
        <v>150080582</v>
      </c>
      <c r="G59" s="2347">
        <f>SUM(G54:G58)</f>
        <v>263450</v>
      </c>
      <c r="H59" s="2347">
        <f>SUM(H54:H58)</f>
        <v>1965562</v>
      </c>
    </row>
    <row r="60" spans="1:8" outlineLevel="1" x14ac:dyDescent="0.2">
      <c r="A60" s="2341" t="s">
        <v>1255</v>
      </c>
      <c r="B60" s="2341" t="s">
        <v>802</v>
      </c>
      <c r="C60" s="2348" t="s">
        <v>1428</v>
      </c>
      <c r="D60" s="2348" t="s">
        <v>1429</v>
      </c>
      <c r="E60" s="2341" t="s">
        <v>1358</v>
      </c>
      <c r="F60" s="2342">
        <v>24545446</v>
      </c>
      <c r="G60" s="2342">
        <v>37920</v>
      </c>
      <c r="H60" s="2342">
        <f t="shared" si="0"/>
        <v>909091</v>
      </c>
    </row>
    <row r="61" spans="1:8" outlineLevel="1" x14ac:dyDescent="0.2">
      <c r="A61" s="2341" t="s">
        <v>1258</v>
      </c>
      <c r="B61" s="2341" t="s">
        <v>1461</v>
      </c>
      <c r="C61" s="2348" t="s">
        <v>1430</v>
      </c>
      <c r="D61" s="2348" t="s">
        <v>1431</v>
      </c>
      <c r="E61" s="2341" t="s">
        <v>1361</v>
      </c>
      <c r="F61" s="2342">
        <v>78909934</v>
      </c>
      <c r="G61" s="2342">
        <v>61485</v>
      </c>
      <c r="H61" s="2342">
        <f t="shared" si="0"/>
        <v>426541</v>
      </c>
    </row>
    <row r="62" spans="1:8" outlineLevel="1" x14ac:dyDescent="0.2">
      <c r="A62" s="2341" t="s">
        <v>1384</v>
      </c>
      <c r="B62" s="2341" t="s">
        <v>1462</v>
      </c>
      <c r="C62" s="2348" t="s">
        <v>1419</v>
      </c>
      <c r="D62" s="2348" t="s">
        <v>809</v>
      </c>
      <c r="E62" s="2341" t="s">
        <v>1254</v>
      </c>
      <c r="F62" s="2342">
        <v>28867920</v>
      </c>
      <c r="G62" s="2342">
        <v>0</v>
      </c>
      <c r="H62" s="2342">
        <f t="shared" si="0"/>
        <v>0</v>
      </c>
    </row>
    <row r="63" spans="1:8" outlineLevel="1" x14ac:dyDescent="0.2">
      <c r="A63" s="2341" t="s">
        <v>1261</v>
      </c>
      <c r="B63" s="2341" t="s">
        <v>1463</v>
      </c>
      <c r="C63" s="2348" t="s">
        <v>1432</v>
      </c>
      <c r="D63" s="2348" t="s">
        <v>1433</v>
      </c>
      <c r="E63" s="2341" t="s">
        <v>1264</v>
      </c>
      <c r="F63" s="2342">
        <v>14080000</v>
      </c>
      <c r="G63" s="2342">
        <v>17399</v>
      </c>
      <c r="H63" s="2342">
        <f t="shared" si="0"/>
        <v>50000</v>
      </c>
    </row>
    <row r="64" spans="1:8" outlineLevel="1" x14ac:dyDescent="0.2">
      <c r="A64" s="2341" t="s">
        <v>1265</v>
      </c>
      <c r="B64" s="2341" t="s">
        <v>1464</v>
      </c>
      <c r="C64" s="2348" t="s">
        <v>1434</v>
      </c>
      <c r="D64" s="2348" t="s">
        <v>1435</v>
      </c>
      <c r="E64" s="2341" t="s">
        <v>1268</v>
      </c>
      <c r="F64" s="2342">
        <v>2277760</v>
      </c>
      <c r="G64" s="2342">
        <v>3437</v>
      </c>
      <c r="H64" s="2342">
        <f t="shared" si="0"/>
        <v>13890</v>
      </c>
    </row>
    <row r="65" spans="1:12" outlineLevel="1" x14ac:dyDescent="0.2">
      <c r="A65" s="2349" t="s">
        <v>1436</v>
      </c>
      <c r="B65" s="2349"/>
      <c r="C65" s="2350" t="s">
        <v>1437</v>
      </c>
      <c r="D65" s="2350" t="s">
        <v>1438</v>
      </c>
      <c r="F65" s="2347">
        <f>SUM(F60:F64)</f>
        <v>148681060</v>
      </c>
      <c r="G65" s="2347">
        <f>SUM(G60:G64)</f>
        <v>120241</v>
      </c>
      <c r="H65" s="2347">
        <f>SUM(H60:H64)</f>
        <v>1399522</v>
      </c>
    </row>
    <row r="66" spans="1:12" outlineLevel="1" x14ac:dyDescent="0.2">
      <c r="A66" s="2341" t="s">
        <v>1255</v>
      </c>
      <c r="B66" s="2341" t="s">
        <v>802</v>
      </c>
      <c r="C66" s="2348" t="s">
        <v>1447</v>
      </c>
      <c r="D66" s="2348" t="s">
        <v>1448</v>
      </c>
      <c r="E66" s="2341" t="s">
        <v>1358</v>
      </c>
      <c r="F66" s="2342">
        <v>23636355</v>
      </c>
      <c r="G66" s="2342">
        <v>52210</v>
      </c>
      <c r="H66" s="2342">
        <f t="shared" si="0"/>
        <v>909091</v>
      </c>
    </row>
    <row r="67" spans="1:12" outlineLevel="1" x14ac:dyDescent="0.2">
      <c r="A67" s="2341" t="s">
        <v>1258</v>
      </c>
      <c r="B67" s="2341" t="s">
        <v>1461</v>
      </c>
      <c r="C67" s="2348" t="s">
        <v>1449</v>
      </c>
      <c r="D67" s="2348" t="s">
        <v>1450</v>
      </c>
      <c r="E67" s="2341" t="s">
        <v>1361</v>
      </c>
      <c r="F67" s="2342">
        <v>78483393</v>
      </c>
      <c r="G67" s="2342">
        <v>59182</v>
      </c>
      <c r="H67" s="2342">
        <f t="shared" si="0"/>
        <v>426541</v>
      </c>
    </row>
    <row r="68" spans="1:12" outlineLevel="1" x14ac:dyDescent="0.2">
      <c r="A68" s="2341" t="s">
        <v>1384</v>
      </c>
      <c r="B68" s="2341" t="s">
        <v>1462</v>
      </c>
      <c r="C68" s="2348" t="s">
        <v>1419</v>
      </c>
      <c r="D68" s="2348" t="s">
        <v>809</v>
      </c>
      <c r="E68" s="2341" t="s">
        <v>1254</v>
      </c>
      <c r="F68" s="2342">
        <v>28867920</v>
      </c>
      <c r="G68" s="2342">
        <v>0</v>
      </c>
      <c r="H68" s="2342">
        <f t="shared" si="0"/>
        <v>0</v>
      </c>
    </row>
    <row r="69" spans="1:12" outlineLevel="1" x14ac:dyDescent="0.2">
      <c r="A69" s="2341" t="s">
        <v>1261</v>
      </c>
      <c r="B69" s="2341" t="s">
        <v>1463</v>
      </c>
      <c r="C69" s="2348" t="s">
        <v>1262</v>
      </c>
      <c r="D69" s="2348" t="s">
        <v>1451</v>
      </c>
      <c r="E69" s="2341" t="s">
        <v>1264</v>
      </c>
      <c r="F69" s="2342">
        <v>14030000</v>
      </c>
      <c r="G69" s="2342">
        <v>26400</v>
      </c>
      <c r="H69" s="2342">
        <f t="shared" si="0"/>
        <v>50000</v>
      </c>
    </row>
    <row r="70" spans="1:12" outlineLevel="1" x14ac:dyDescent="0.2">
      <c r="A70" s="2341" t="s">
        <v>1265</v>
      </c>
      <c r="B70" s="2341" t="s">
        <v>1464</v>
      </c>
      <c r="C70" s="2348" t="s">
        <v>1452</v>
      </c>
      <c r="D70" s="2348" t="s">
        <v>1453</v>
      </c>
      <c r="E70" s="2341" t="s">
        <v>1268</v>
      </c>
      <c r="F70" s="2342">
        <v>2263870</v>
      </c>
      <c r="G70" s="2342">
        <v>5162</v>
      </c>
      <c r="H70" s="2342">
        <f t="shared" si="0"/>
        <v>13890</v>
      </c>
    </row>
    <row r="71" spans="1:12" outlineLevel="1" x14ac:dyDescent="0.2">
      <c r="A71" s="2349" t="s">
        <v>1465</v>
      </c>
      <c r="B71" s="2349"/>
      <c r="C71" s="2350" t="s">
        <v>1454</v>
      </c>
      <c r="D71" s="2350" t="s">
        <v>1455</v>
      </c>
      <c r="F71" s="2347">
        <f>SUM(F66:F70)</f>
        <v>147281538</v>
      </c>
      <c r="G71" s="2347">
        <f>SUM(G66:G70)</f>
        <v>142954</v>
      </c>
      <c r="H71" s="2347">
        <f>SUM(H66:H70)</f>
        <v>1399522</v>
      </c>
    </row>
    <row r="72" spans="1:12" x14ac:dyDescent="0.2">
      <c r="A72" s="2341" t="s">
        <v>1255</v>
      </c>
      <c r="B72" s="2341" t="s">
        <v>802</v>
      </c>
      <c r="C72" s="2348" t="s">
        <v>1466</v>
      </c>
      <c r="D72" s="2348" t="s">
        <v>1467</v>
      </c>
      <c r="E72" s="2341" t="s">
        <v>1358</v>
      </c>
      <c r="F72" s="2342">
        <v>22727264</v>
      </c>
      <c r="G72" s="2342">
        <v>74697</v>
      </c>
      <c r="H72" s="2342">
        <f t="shared" si="0"/>
        <v>909091</v>
      </c>
      <c r="J72" s="2342">
        <f>+F72</f>
        <v>22727264</v>
      </c>
      <c r="K72" s="2342">
        <f t="shared" ref="K72:L76" si="1">+G72+G66+G60+G54+G48+G42+G36+G30+G24+G18+G12+G6</f>
        <v>531073.92999999993</v>
      </c>
      <c r="L72" s="2342">
        <f t="shared" si="1"/>
        <v>10909092</v>
      </c>
    </row>
    <row r="73" spans="1:12" x14ac:dyDescent="0.2">
      <c r="A73" s="2341" t="s">
        <v>1258</v>
      </c>
      <c r="B73" s="2341" t="s">
        <v>1461</v>
      </c>
      <c r="C73" s="2348" t="s">
        <v>1468</v>
      </c>
      <c r="D73" s="2348" t="s">
        <v>1469</v>
      </c>
      <c r="E73" s="2341" t="s">
        <v>1361</v>
      </c>
      <c r="F73" s="2342">
        <v>78056852</v>
      </c>
      <c r="G73" s="2342">
        <v>60824</v>
      </c>
      <c r="H73" s="2342">
        <f t="shared" si="0"/>
        <v>426541</v>
      </c>
      <c r="J73" s="2342">
        <f t="shared" ref="J73:J76" si="2">+F73</f>
        <v>78056852</v>
      </c>
      <c r="K73" s="2342">
        <f t="shared" si="1"/>
        <v>737549</v>
      </c>
      <c r="L73" s="2342">
        <f t="shared" si="1"/>
        <v>5118492</v>
      </c>
    </row>
    <row r="74" spans="1:12" x14ac:dyDescent="0.2">
      <c r="A74" s="2341" t="s">
        <v>1384</v>
      </c>
      <c r="B74" s="2341" t="s">
        <v>1462</v>
      </c>
      <c r="C74" s="2348" t="s">
        <v>1470</v>
      </c>
      <c r="D74" s="2348" t="s">
        <v>1471</v>
      </c>
      <c r="E74" s="2341" t="s">
        <v>1254</v>
      </c>
      <c r="F74" s="2342">
        <v>28301880</v>
      </c>
      <c r="G74" s="2342">
        <v>142294</v>
      </c>
      <c r="H74" s="2342">
        <f t="shared" si="0"/>
        <v>566040</v>
      </c>
      <c r="J74" s="2342">
        <f t="shared" si="2"/>
        <v>28301880</v>
      </c>
      <c r="K74" s="2342">
        <f t="shared" si="1"/>
        <v>583036</v>
      </c>
      <c r="L74" s="2342">
        <f t="shared" si="1"/>
        <v>1698120</v>
      </c>
    </row>
    <row r="75" spans="1:12" x14ac:dyDescent="0.2">
      <c r="A75" s="2341" t="s">
        <v>1261</v>
      </c>
      <c r="B75" s="2341" t="s">
        <v>1463</v>
      </c>
      <c r="C75" s="2348" t="s">
        <v>1472</v>
      </c>
      <c r="D75" s="2348" t="s">
        <v>1473</v>
      </c>
      <c r="E75" s="2341" t="s">
        <v>1264</v>
      </c>
      <c r="F75" s="2342">
        <v>13980000</v>
      </c>
      <c r="G75" s="2342">
        <v>40714</v>
      </c>
      <c r="H75" s="2342">
        <f t="shared" si="0"/>
        <v>50000</v>
      </c>
      <c r="J75" s="2342">
        <f t="shared" si="2"/>
        <v>13980000</v>
      </c>
      <c r="K75" s="2342">
        <f t="shared" si="1"/>
        <v>185362</v>
      </c>
      <c r="L75" s="2342">
        <f t="shared" si="1"/>
        <v>600000</v>
      </c>
    </row>
    <row r="76" spans="1:12" x14ac:dyDescent="0.2">
      <c r="A76" s="2341" t="s">
        <v>1265</v>
      </c>
      <c r="B76" s="2341" t="s">
        <v>1464</v>
      </c>
      <c r="C76" s="2348" t="s">
        <v>1474</v>
      </c>
      <c r="D76" s="2348" t="s">
        <v>1475</v>
      </c>
      <c r="E76" s="2341" t="s">
        <v>1268</v>
      </c>
      <c r="F76" s="2342">
        <v>2249980</v>
      </c>
      <c r="G76" s="2342">
        <v>6748</v>
      </c>
      <c r="H76" s="2342">
        <f t="shared" ref="H76" si="3">+F70-F76</f>
        <v>13890</v>
      </c>
      <c r="J76" s="2342">
        <f t="shared" si="2"/>
        <v>2249980</v>
      </c>
      <c r="K76" s="2342">
        <f t="shared" si="1"/>
        <v>31893</v>
      </c>
      <c r="L76" s="2342">
        <f t="shared" si="1"/>
        <v>166680</v>
      </c>
    </row>
    <row r="77" spans="1:12" x14ac:dyDescent="0.2">
      <c r="A77" s="2351" t="s">
        <v>1476</v>
      </c>
      <c r="B77" s="2351"/>
      <c r="C77" s="2352" t="s">
        <v>1477</v>
      </c>
      <c r="D77" s="2352" t="s">
        <v>1478</v>
      </c>
      <c r="F77" s="2347">
        <f>SUM(F72:F76)</f>
        <v>145315976</v>
      </c>
      <c r="G77" s="2347">
        <f>SUM(G72:G76)</f>
        <v>325277</v>
      </c>
      <c r="H77" s="2347">
        <f>SUM(H72:H76)</f>
        <v>1965562</v>
      </c>
      <c r="J77" s="2347">
        <f>SUM(J72:J76)</f>
        <v>145315976</v>
      </c>
      <c r="K77" s="2347">
        <f t="shared" ref="K77:L77" si="4">SUM(K72:K76)</f>
        <v>2068913.93</v>
      </c>
      <c r="L77" s="2347">
        <f t="shared" si="4"/>
        <v>18492384</v>
      </c>
    </row>
    <row r="78" spans="1:12" outlineLevel="1" x14ac:dyDescent="0.2">
      <c r="A78" s="2341" t="s">
        <v>1255</v>
      </c>
      <c r="B78" s="2341" t="s">
        <v>802</v>
      </c>
      <c r="C78" s="2348" t="s">
        <v>1486</v>
      </c>
      <c r="D78" s="2348" t="s">
        <v>1487</v>
      </c>
      <c r="E78" s="2341" t="s">
        <v>1358</v>
      </c>
      <c r="F78" s="2342">
        <v>21818173</v>
      </c>
      <c r="G78" s="2342">
        <v>91199</v>
      </c>
      <c r="H78" s="2342">
        <f>+F72-F78</f>
        <v>909091</v>
      </c>
    </row>
    <row r="79" spans="1:12" outlineLevel="1" x14ac:dyDescent="0.2">
      <c r="A79" s="2341" t="s">
        <v>1258</v>
      </c>
      <c r="B79" s="2341" t="s">
        <v>1461</v>
      </c>
      <c r="C79" s="2348" t="s">
        <v>1488</v>
      </c>
      <c r="D79" s="2348" t="s">
        <v>1489</v>
      </c>
      <c r="E79" s="2341" t="s">
        <v>1361</v>
      </c>
      <c r="F79" s="2342">
        <v>77630311</v>
      </c>
      <c r="G79" s="2342">
        <v>60494</v>
      </c>
      <c r="H79" s="2342">
        <f>+F73-F79</f>
        <v>426541</v>
      </c>
    </row>
    <row r="80" spans="1:12" outlineLevel="1" x14ac:dyDescent="0.2">
      <c r="A80" s="2341" t="s">
        <v>1384</v>
      </c>
      <c r="B80" s="2341" t="s">
        <v>1462</v>
      </c>
      <c r="C80" s="2348" t="s">
        <v>1470</v>
      </c>
      <c r="D80" s="2348" t="s">
        <v>809</v>
      </c>
      <c r="E80" s="2341" t="s">
        <v>1254</v>
      </c>
      <c r="F80" s="2342">
        <v>28301880</v>
      </c>
      <c r="G80" s="2342">
        <v>0</v>
      </c>
      <c r="H80" s="2342">
        <f>+F74-F80</f>
        <v>0</v>
      </c>
    </row>
    <row r="81" spans="1:8" outlineLevel="1" x14ac:dyDescent="0.2">
      <c r="A81" s="2341" t="s">
        <v>1261</v>
      </c>
      <c r="B81" s="2341" t="s">
        <v>1463</v>
      </c>
      <c r="C81" s="2348" t="s">
        <v>1490</v>
      </c>
      <c r="D81" s="2348" t="s">
        <v>1491</v>
      </c>
      <c r="E81" s="2341" t="s">
        <v>1264</v>
      </c>
      <c r="F81" s="2342">
        <v>13920000</v>
      </c>
      <c r="G81" s="2342">
        <v>7676</v>
      </c>
      <c r="H81" s="2342">
        <f>+F75-F81</f>
        <v>60000</v>
      </c>
    </row>
    <row r="82" spans="1:8" outlineLevel="1" x14ac:dyDescent="0.2">
      <c r="A82" s="2341" t="s">
        <v>1265</v>
      </c>
      <c r="B82" s="2341" t="s">
        <v>1464</v>
      </c>
      <c r="C82" s="2348" t="s">
        <v>1492</v>
      </c>
      <c r="D82" s="2348" t="s">
        <v>1493</v>
      </c>
      <c r="E82" s="2341" t="s">
        <v>1268</v>
      </c>
      <c r="F82" s="2342">
        <v>2236090</v>
      </c>
      <c r="G82" s="2342">
        <v>52487</v>
      </c>
      <c r="H82" s="2342">
        <f>+F76-F82</f>
        <v>13890</v>
      </c>
    </row>
    <row r="83" spans="1:8" outlineLevel="1" x14ac:dyDescent="0.2">
      <c r="A83" s="2349" t="s">
        <v>1494</v>
      </c>
      <c r="B83" s="2349"/>
      <c r="C83" s="2350" t="s">
        <v>1495</v>
      </c>
      <c r="D83" s="2350" t="s">
        <v>1496</v>
      </c>
      <c r="F83" s="2347">
        <f>SUM(F78:F82)</f>
        <v>143906454</v>
      </c>
      <c r="G83" s="2347">
        <f t="shared" ref="G83:H83" si="5">SUM(G78:G82)</f>
        <v>211856</v>
      </c>
      <c r="H83" s="2347">
        <f t="shared" si="5"/>
        <v>1409522</v>
      </c>
    </row>
    <row r="84" spans="1:8" outlineLevel="1" x14ac:dyDescent="0.2">
      <c r="A84" s="2341" t="s">
        <v>1255</v>
      </c>
      <c r="B84" s="2341" t="s">
        <v>802</v>
      </c>
      <c r="C84" s="2348" t="s">
        <v>1497</v>
      </c>
      <c r="D84" s="2348" t="s">
        <v>1498</v>
      </c>
      <c r="E84" s="2341" t="s">
        <v>1358</v>
      </c>
      <c r="F84" s="2342">
        <v>20909082</v>
      </c>
      <c r="G84" s="2342">
        <v>82133</v>
      </c>
      <c r="H84" s="2342">
        <f>+F78-F84</f>
        <v>909091</v>
      </c>
    </row>
    <row r="85" spans="1:8" outlineLevel="1" x14ac:dyDescent="0.2">
      <c r="A85" s="2341" t="s">
        <v>1258</v>
      </c>
      <c r="B85" s="2341" t="s">
        <v>1461</v>
      </c>
      <c r="C85" s="2348" t="s">
        <v>1499</v>
      </c>
      <c r="D85" s="2348" t="s">
        <v>1500</v>
      </c>
      <c r="E85" s="2341" t="s">
        <v>1361</v>
      </c>
      <c r="F85" s="2342">
        <v>77203770</v>
      </c>
      <c r="G85" s="2342">
        <v>54341</v>
      </c>
      <c r="H85" s="2342">
        <f>+F79-F85</f>
        <v>426541</v>
      </c>
    </row>
    <row r="86" spans="1:8" outlineLevel="1" x14ac:dyDescent="0.2">
      <c r="A86" s="2341" t="s">
        <v>1384</v>
      </c>
      <c r="B86" s="2341" t="s">
        <v>1462</v>
      </c>
      <c r="C86" s="2348" t="s">
        <v>1470</v>
      </c>
      <c r="D86" s="2348" t="s">
        <v>809</v>
      </c>
      <c r="E86" s="2341" t="s">
        <v>1254</v>
      </c>
      <c r="F86" s="2342">
        <v>28301880</v>
      </c>
      <c r="G86" s="2342">
        <v>0</v>
      </c>
      <c r="H86" s="2342">
        <f>+F80-F86</f>
        <v>0</v>
      </c>
    </row>
    <row r="87" spans="1:8" outlineLevel="1" x14ac:dyDescent="0.2">
      <c r="A87" s="2341" t="s">
        <v>1261</v>
      </c>
      <c r="B87" s="2341" t="s">
        <v>1463</v>
      </c>
      <c r="C87" s="2348" t="s">
        <v>1501</v>
      </c>
      <c r="D87" s="2348" t="s">
        <v>1502</v>
      </c>
      <c r="E87" s="2341" t="s">
        <v>1264</v>
      </c>
      <c r="F87" s="2342">
        <v>13860000</v>
      </c>
      <c r="G87" s="2342">
        <v>49153</v>
      </c>
      <c r="H87" s="2342">
        <f>+F81-F87</f>
        <v>60000</v>
      </c>
    </row>
    <row r="88" spans="1:8" outlineLevel="1" x14ac:dyDescent="0.2">
      <c r="A88" s="2341" t="s">
        <v>1265</v>
      </c>
      <c r="B88" s="2341" t="s">
        <v>1464</v>
      </c>
      <c r="C88" s="2348" t="s">
        <v>1503</v>
      </c>
      <c r="D88" s="2348" t="s">
        <v>1504</v>
      </c>
      <c r="E88" s="2341" t="s">
        <v>1268</v>
      </c>
      <c r="F88" s="2342">
        <v>2222200</v>
      </c>
      <c r="G88" s="2342">
        <v>8146</v>
      </c>
      <c r="H88" s="2342">
        <f>+F82-F88</f>
        <v>13890</v>
      </c>
    </row>
    <row r="89" spans="1:8" outlineLevel="1" x14ac:dyDescent="0.2">
      <c r="A89" s="2349" t="s">
        <v>1505</v>
      </c>
      <c r="B89" s="2349"/>
      <c r="C89" s="2350" t="s">
        <v>1506</v>
      </c>
      <c r="D89" s="2350" t="s">
        <v>1507</v>
      </c>
      <c r="F89" s="2347">
        <f>SUM(F84:F88)</f>
        <v>142496932</v>
      </c>
      <c r="G89" s="2347">
        <f t="shared" ref="G89:H89" si="6">SUM(G84:G88)</f>
        <v>193773</v>
      </c>
      <c r="H89" s="2347">
        <f t="shared" si="6"/>
        <v>1409522</v>
      </c>
    </row>
    <row r="90" spans="1:8" outlineLevel="1" x14ac:dyDescent="0.2">
      <c r="A90" s="2341" t="s">
        <v>1255</v>
      </c>
      <c r="B90" s="2341" t="s">
        <v>802</v>
      </c>
      <c r="C90" s="2348" t="s">
        <v>1521</v>
      </c>
      <c r="D90" s="2348" t="s">
        <v>1522</v>
      </c>
      <c r="E90" s="2341" t="s">
        <v>1358</v>
      </c>
      <c r="F90" s="2342">
        <v>19999991</v>
      </c>
      <c r="G90" s="2342">
        <v>97227</v>
      </c>
      <c r="H90" s="2342">
        <f>+F84-F90</f>
        <v>909091</v>
      </c>
    </row>
    <row r="91" spans="1:8" outlineLevel="1" x14ac:dyDescent="0.2">
      <c r="A91" s="2341" t="s">
        <v>1258</v>
      </c>
      <c r="B91" s="2341" t="s">
        <v>1461</v>
      </c>
      <c r="C91" s="2348" t="s">
        <v>1523</v>
      </c>
      <c r="D91" s="2348" t="s">
        <v>1524</v>
      </c>
      <c r="E91" s="2341" t="s">
        <v>1361</v>
      </c>
      <c r="F91" s="2342">
        <v>76777229</v>
      </c>
      <c r="G91" s="2342">
        <v>59832</v>
      </c>
      <c r="H91" s="2342">
        <f t="shared" ref="H91:H94" si="7">+F85-F91</f>
        <v>426541</v>
      </c>
    </row>
    <row r="92" spans="1:8" outlineLevel="1" x14ac:dyDescent="0.2">
      <c r="A92" s="2341" t="s">
        <v>1384</v>
      </c>
      <c r="B92" s="2341" t="s">
        <v>1462</v>
      </c>
      <c r="C92" s="2348" t="s">
        <v>1525</v>
      </c>
      <c r="D92" s="2348" t="s">
        <v>1526</v>
      </c>
      <c r="E92" s="2341" t="s">
        <v>1254</v>
      </c>
      <c r="F92" s="2342">
        <v>27735840</v>
      </c>
      <c r="G92" s="2342">
        <v>134905</v>
      </c>
      <c r="H92" s="2342">
        <f t="shared" si="7"/>
        <v>566040</v>
      </c>
    </row>
    <row r="93" spans="1:8" outlineLevel="1" x14ac:dyDescent="0.2">
      <c r="A93" s="2341" t="s">
        <v>1261</v>
      </c>
      <c r="B93" s="2341" t="s">
        <v>1463</v>
      </c>
      <c r="C93" s="2348" t="s">
        <v>1527</v>
      </c>
      <c r="D93" s="2348" t="s">
        <v>1528</v>
      </c>
      <c r="E93" s="2341" t="s">
        <v>1264</v>
      </c>
      <c r="F93" s="2342">
        <v>13800000</v>
      </c>
      <c r="G93" s="2342">
        <v>60868</v>
      </c>
      <c r="H93" s="2342">
        <f t="shared" si="7"/>
        <v>60000</v>
      </c>
    </row>
    <row r="94" spans="1:8" outlineLevel="1" x14ac:dyDescent="0.2">
      <c r="A94" s="2341" t="s">
        <v>1265</v>
      </c>
      <c r="B94" s="2341" t="s">
        <v>1464</v>
      </c>
      <c r="C94" s="2348" t="s">
        <v>1529</v>
      </c>
      <c r="D94" s="2348" t="s">
        <v>1530</v>
      </c>
      <c r="E94" s="2341" t="s">
        <v>1268</v>
      </c>
      <c r="F94" s="2342">
        <v>2208310</v>
      </c>
      <c r="G94" s="2342">
        <v>9795</v>
      </c>
      <c r="H94" s="2342">
        <f t="shared" si="7"/>
        <v>13890</v>
      </c>
    </row>
    <row r="95" spans="1:8" outlineLevel="1" x14ac:dyDescent="0.2">
      <c r="A95" s="2349" t="s">
        <v>1511</v>
      </c>
      <c r="B95" s="2349"/>
      <c r="C95" s="2350" t="s">
        <v>1531</v>
      </c>
      <c r="D95" s="2350" t="s">
        <v>1532</v>
      </c>
      <c r="F95" s="2347">
        <f t="shared" ref="F95:H107" si="8">SUM(F90:F94)</f>
        <v>140521370</v>
      </c>
      <c r="G95" s="2347">
        <f t="shared" si="8"/>
        <v>362627</v>
      </c>
      <c r="H95" s="2347">
        <f t="shared" si="8"/>
        <v>1975562</v>
      </c>
    </row>
    <row r="96" spans="1:8" outlineLevel="1" x14ac:dyDescent="0.2">
      <c r="A96" s="2341" t="s">
        <v>1255</v>
      </c>
      <c r="B96" s="2341" t="s">
        <v>802</v>
      </c>
      <c r="C96" s="2348" t="s">
        <v>1543</v>
      </c>
      <c r="D96" s="2348" t="s">
        <v>1544</v>
      </c>
      <c r="E96" s="2341" t="s">
        <v>1358</v>
      </c>
      <c r="F96" s="2342">
        <v>19090900</v>
      </c>
      <c r="G96" s="2342">
        <v>93666</v>
      </c>
      <c r="H96" s="2342">
        <f t="shared" ref="H96:H100" si="9">+F90-F96</f>
        <v>909091</v>
      </c>
    </row>
    <row r="97" spans="1:8" outlineLevel="1" x14ac:dyDescent="0.2">
      <c r="A97" s="2341" t="s">
        <v>1258</v>
      </c>
      <c r="B97" s="2341" t="s">
        <v>1461</v>
      </c>
      <c r="C97" s="2348" t="s">
        <v>1545</v>
      </c>
      <c r="D97" s="2348" t="s">
        <v>1546</v>
      </c>
      <c r="E97" s="2341" t="s">
        <v>1361</v>
      </c>
      <c r="F97" s="2342">
        <v>76350688</v>
      </c>
      <c r="G97" s="2342">
        <v>57582</v>
      </c>
      <c r="H97" s="2342">
        <f t="shared" si="9"/>
        <v>426541</v>
      </c>
    </row>
    <row r="98" spans="1:8" outlineLevel="1" x14ac:dyDescent="0.2">
      <c r="A98" s="2341" t="s">
        <v>1384</v>
      </c>
      <c r="B98" s="2341" t="s">
        <v>1462</v>
      </c>
      <c r="C98" s="2348" t="s">
        <v>1525</v>
      </c>
      <c r="D98" s="2348" t="s">
        <v>809</v>
      </c>
      <c r="E98" s="2341" t="s">
        <v>1254</v>
      </c>
      <c r="F98" s="2342">
        <v>27735840</v>
      </c>
      <c r="G98" s="2342">
        <v>0</v>
      </c>
      <c r="H98" s="2342">
        <f t="shared" si="9"/>
        <v>0</v>
      </c>
    </row>
    <row r="99" spans="1:8" outlineLevel="1" x14ac:dyDescent="0.2">
      <c r="A99" s="2341" t="s">
        <v>1261</v>
      </c>
      <c r="B99" s="2341" t="s">
        <v>1463</v>
      </c>
      <c r="C99" s="2348" t="s">
        <v>1547</v>
      </c>
      <c r="D99" s="2348" t="s">
        <v>1548</v>
      </c>
      <c r="E99" s="2341" t="s">
        <v>1264</v>
      </c>
      <c r="F99" s="2342">
        <v>13740000</v>
      </c>
      <c r="G99" s="2342">
        <v>61180</v>
      </c>
      <c r="H99" s="2342">
        <f t="shared" si="9"/>
        <v>60000</v>
      </c>
    </row>
    <row r="100" spans="1:8" outlineLevel="1" x14ac:dyDescent="0.2">
      <c r="A100" s="2341" t="s">
        <v>1265</v>
      </c>
      <c r="B100" s="2341" t="s">
        <v>1464</v>
      </c>
      <c r="C100" s="2348" t="s">
        <v>1549</v>
      </c>
      <c r="D100" s="2348" t="s">
        <v>1550</v>
      </c>
      <c r="E100" s="2341" t="s">
        <v>1268</v>
      </c>
      <c r="F100" s="2342">
        <v>2194420</v>
      </c>
      <c r="G100" s="2342">
        <v>9889</v>
      </c>
      <c r="H100" s="2342">
        <f t="shared" si="9"/>
        <v>13890</v>
      </c>
    </row>
    <row r="101" spans="1:8" outlineLevel="1" x14ac:dyDescent="0.2">
      <c r="A101" s="2349" t="s">
        <v>1512</v>
      </c>
      <c r="B101" s="2349"/>
      <c r="C101" s="2350" t="s">
        <v>1551</v>
      </c>
      <c r="D101" s="2350" t="s">
        <v>1552</v>
      </c>
      <c r="F101" s="2347">
        <f t="shared" ref="F101" si="10">SUM(F96:F100)</f>
        <v>139111848</v>
      </c>
      <c r="G101" s="2347">
        <f t="shared" si="8"/>
        <v>222317</v>
      </c>
      <c r="H101" s="2347">
        <f t="shared" si="8"/>
        <v>1409522</v>
      </c>
    </row>
    <row r="102" spans="1:8" outlineLevel="1" x14ac:dyDescent="0.2">
      <c r="A102" s="2341" t="s">
        <v>1255</v>
      </c>
      <c r="B102" s="2341" t="s">
        <v>802</v>
      </c>
      <c r="C102" s="2348" t="s">
        <v>1553</v>
      </c>
      <c r="D102" s="2348" t="s">
        <v>1554</v>
      </c>
      <c r="E102" s="2341" t="s">
        <v>1358</v>
      </c>
      <c r="F102" s="2342">
        <v>18181809</v>
      </c>
      <c r="G102" s="2342">
        <v>99458</v>
      </c>
      <c r="H102" s="2342">
        <f>+F96-F102</f>
        <v>909091</v>
      </c>
    </row>
    <row r="103" spans="1:8" outlineLevel="1" x14ac:dyDescent="0.2">
      <c r="A103" s="2341" t="s">
        <v>1258</v>
      </c>
      <c r="B103" s="2341" t="s">
        <v>1461</v>
      </c>
      <c r="C103" s="2348" t="s">
        <v>1555</v>
      </c>
      <c r="D103" s="2348" t="s">
        <v>1556</v>
      </c>
      <c r="E103" s="2341" t="s">
        <v>1361</v>
      </c>
      <c r="F103" s="2342">
        <v>75924147</v>
      </c>
      <c r="G103" s="2342">
        <v>59171</v>
      </c>
      <c r="H103" s="2342">
        <f t="shared" ref="H103:H106" si="11">+F97-F103</f>
        <v>426541</v>
      </c>
    </row>
    <row r="104" spans="1:8" outlineLevel="1" x14ac:dyDescent="0.2">
      <c r="A104" s="2341" t="s">
        <v>1384</v>
      </c>
      <c r="B104" s="2341" t="s">
        <v>1462</v>
      </c>
      <c r="C104" s="2348" t="s">
        <v>1525</v>
      </c>
      <c r="D104" s="2348" t="s">
        <v>809</v>
      </c>
      <c r="E104" s="2341" t="s">
        <v>1254</v>
      </c>
      <c r="F104" s="2342">
        <v>27735840</v>
      </c>
      <c r="G104" s="2342">
        <v>0</v>
      </c>
      <c r="H104" s="2342">
        <f t="shared" si="11"/>
        <v>0</v>
      </c>
    </row>
    <row r="105" spans="1:8" outlineLevel="1" x14ac:dyDescent="0.2">
      <c r="A105" s="2341" t="s">
        <v>1261</v>
      </c>
      <c r="B105" s="2341" t="s">
        <v>1463</v>
      </c>
      <c r="C105" s="2348" t="s">
        <v>1557</v>
      </c>
      <c r="D105" s="2348" t="s">
        <v>1558</v>
      </c>
      <c r="E105" s="2341" t="s">
        <v>1264</v>
      </c>
      <c r="F105" s="2342">
        <v>13680000</v>
      </c>
      <c r="G105" s="2342">
        <v>68032</v>
      </c>
      <c r="H105" s="2342">
        <f t="shared" si="11"/>
        <v>60000</v>
      </c>
    </row>
    <row r="106" spans="1:8" outlineLevel="1" x14ac:dyDescent="0.2">
      <c r="A106" s="2341" t="s">
        <v>1265</v>
      </c>
      <c r="B106" s="2341" t="s">
        <v>1464</v>
      </c>
      <c r="C106" s="2348" t="s">
        <v>1559</v>
      </c>
      <c r="D106" s="2348" t="s">
        <v>1560</v>
      </c>
      <c r="E106" s="2341" t="s">
        <v>1268</v>
      </c>
      <c r="F106" s="2342">
        <v>2180530</v>
      </c>
      <c r="G106" s="2342">
        <v>11296</v>
      </c>
      <c r="H106" s="2342">
        <f t="shared" si="11"/>
        <v>13890</v>
      </c>
    </row>
    <row r="107" spans="1:8" outlineLevel="1" x14ac:dyDescent="0.2">
      <c r="A107" s="2349" t="s">
        <v>1513</v>
      </c>
      <c r="B107" s="2349"/>
      <c r="C107" s="2350" t="s">
        <v>1561</v>
      </c>
      <c r="D107" s="2350" t="s">
        <v>1562</v>
      </c>
      <c r="F107" s="2347">
        <f t="shared" ref="F107" si="12">SUM(F102:F106)</f>
        <v>137702326</v>
      </c>
      <c r="G107" s="2347">
        <f t="shared" si="8"/>
        <v>237957</v>
      </c>
      <c r="H107" s="2347">
        <f t="shared" si="8"/>
        <v>1409522</v>
      </c>
    </row>
    <row r="108" spans="1:8" outlineLevel="1" x14ac:dyDescent="0.2">
      <c r="A108" s="2341" t="s">
        <v>1255</v>
      </c>
      <c r="B108" s="2341" t="s">
        <v>802</v>
      </c>
      <c r="C108" s="2348" t="s">
        <v>1575</v>
      </c>
      <c r="D108" s="2348" t="s">
        <v>1576</v>
      </c>
      <c r="E108" s="2341" t="s">
        <v>1358</v>
      </c>
      <c r="F108" s="2342">
        <v>17272718</v>
      </c>
      <c r="G108" s="2342">
        <v>101212</v>
      </c>
      <c r="H108" s="2342">
        <f>+F102-F108</f>
        <v>909091</v>
      </c>
    </row>
    <row r="109" spans="1:8" outlineLevel="1" x14ac:dyDescent="0.2">
      <c r="A109" s="2341" t="s">
        <v>1258</v>
      </c>
      <c r="B109" s="2341" t="s">
        <v>1461</v>
      </c>
      <c r="C109" s="2348" t="s">
        <v>1577</v>
      </c>
      <c r="D109" s="2348" t="s">
        <v>1578</v>
      </c>
      <c r="E109" s="2341" t="s">
        <v>1361</v>
      </c>
      <c r="F109" s="2342">
        <v>75497606</v>
      </c>
      <c r="G109" s="2342">
        <v>56943</v>
      </c>
      <c r="H109" s="2342">
        <f t="shared" ref="H109:H112" si="13">+F103-F109</f>
        <v>426541</v>
      </c>
    </row>
    <row r="110" spans="1:8" outlineLevel="1" x14ac:dyDescent="0.2">
      <c r="A110" s="2341" t="s">
        <v>1384</v>
      </c>
      <c r="B110" s="2341" t="s">
        <v>1462</v>
      </c>
      <c r="C110" s="2348" t="s">
        <v>1579</v>
      </c>
      <c r="D110" s="2348" t="s">
        <v>1580</v>
      </c>
      <c r="E110" s="2341" t="s">
        <v>1254</v>
      </c>
      <c r="F110" s="2342">
        <v>27169800</v>
      </c>
      <c r="G110" s="2342">
        <v>141221</v>
      </c>
      <c r="H110" s="2342">
        <f t="shared" si="13"/>
        <v>566040</v>
      </c>
    </row>
    <row r="111" spans="1:8" outlineLevel="1" x14ac:dyDescent="0.2">
      <c r="A111" s="2341" t="s">
        <v>1261</v>
      </c>
      <c r="B111" s="2341" t="s">
        <v>1463</v>
      </c>
      <c r="C111" s="2348" t="s">
        <v>1581</v>
      </c>
      <c r="D111" s="2348" t="s">
        <v>1582</v>
      </c>
      <c r="E111" s="2341" t="s">
        <v>1264</v>
      </c>
      <c r="F111" s="2342">
        <v>13620000</v>
      </c>
      <c r="G111" s="2342">
        <v>72732</v>
      </c>
      <c r="H111" s="2342">
        <f t="shared" si="13"/>
        <v>60000</v>
      </c>
    </row>
    <row r="112" spans="1:8" outlineLevel="1" x14ac:dyDescent="0.2">
      <c r="A112" s="2341" t="s">
        <v>1265</v>
      </c>
      <c r="B112" s="2341" t="s">
        <v>1464</v>
      </c>
      <c r="C112" s="2348" t="s">
        <v>1583</v>
      </c>
      <c r="D112" s="2348" t="s">
        <v>1584</v>
      </c>
      <c r="E112" s="2341" t="s">
        <v>1268</v>
      </c>
      <c r="F112" s="2342">
        <v>2166640</v>
      </c>
      <c r="G112" s="2342">
        <v>11776</v>
      </c>
      <c r="H112" s="2342">
        <f t="shared" si="13"/>
        <v>13890</v>
      </c>
    </row>
    <row r="113" spans="1:8" outlineLevel="1" x14ac:dyDescent="0.2">
      <c r="A113" s="2349" t="s">
        <v>1514</v>
      </c>
      <c r="B113" s="2349"/>
      <c r="C113" s="2350" t="s">
        <v>1585</v>
      </c>
      <c r="D113" s="2350" t="s">
        <v>1586</v>
      </c>
      <c r="F113" s="2347">
        <f t="shared" ref="F113:H125" si="14">SUM(F108:F112)</f>
        <v>135726764</v>
      </c>
      <c r="G113" s="2347">
        <f t="shared" si="14"/>
        <v>383884</v>
      </c>
      <c r="H113" s="2347">
        <f t="shared" si="14"/>
        <v>1975562</v>
      </c>
    </row>
    <row r="114" spans="1:8" outlineLevel="1" x14ac:dyDescent="0.2">
      <c r="A114" s="2341" t="s">
        <v>1255</v>
      </c>
      <c r="B114" s="2341" t="s">
        <v>802</v>
      </c>
      <c r="C114" s="2348" t="s">
        <v>2034</v>
      </c>
      <c r="D114" s="2348" t="s">
        <v>2035</v>
      </c>
      <c r="E114" s="2341" t="s">
        <v>1358</v>
      </c>
      <c r="F114" s="2342">
        <v>16363627</v>
      </c>
      <c r="G114" s="2342">
        <v>117651</v>
      </c>
      <c r="H114" s="2342">
        <f>+F108-F114</f>
        <v>909091</v>
      </c>
    </row>
    <row r="115" spans="1:8" outlineLevel="1" x14ac:dyDescent="0.2">
      <c r="A115" s="2341" t="s">
        <v>1258</v>
      </c>
      <c r="B115" s="2341" t="s">
        <v>1461</v>
      </c>
      <c r="C115" s="2348" t="s">
        <v>2036</v>
      </c>
      <c r="D115" s="2348" t="s">
        <v>2037</v>
      </c>
      <c r="E115" s="2341" t="s">
        <v>1361</v>
      </c>
      <c r="F115" s="2342">
        <v>75071065</v>
      </c>
      <c r="G115" s="2342">
        <v>58510</v>
      </c>
      <c r="H115" s="2342">
        <f t="shared" ref="H115:H118" si="15">+F109-F115</f>
        <v>426541</v>
      </c>
    </row>
    <row r="116" spans="1:8" outlineLevel="1" x14ac:dyDescent="0.2">
      <c r="A116" s="2341" t="s">
        <v>1384</v>
      </c>
      <c r="B116" s="2341" t="s">
        <v>1462</v>
      </c>
      <c r="C116" s="2348" t="s">
        <v>1579</v>
      </c>
      <c r="D116" s="2348" t="s">
        <v>809</v>
      </c>
      <c r="E116" s="2341" t="s">
        <v>1254</v>
      </c>
      <c r="F116" s="2342">
        <v>27169800</v>
      </c>
      <c r="G116" s="2342">
        <v>0</v>
      </c>
      <c r="H116" s="2342">
        <f t="shared" si="15"/>
        <v>0</v>
      </c>
    </row>
    <row r="117" spans="1:8" outlineLevel="1" x14ac:dyDescent="0.2">
      <c r="A117" s="2341" t="s">
        <v>1261</v>
      </c>
      <c r="B117" s="2341" t="s">
        <v>1463</v>
      </c>
      <c r="C117" s="2348" t="s">
        <v>2038</v>
      </c>
      <c r="D117" s="2348" t="s">
        <v>2039</v>
      </c>
      <c r="E117" s="2341" t="s">
        <v>1264</v>
      </c>
      <c r="F117" s="2342">
        <v>13560000</v>
      </c>
      <c r="G117" s="2342">
        <v>89252</v>
      </c>
      <c r="H117" s="2342">
        <f t="shared" si="15"/>
        <v>60000</v>
      </c>
    </row>
    <row r="118" spans="1:8" outlineLevel="1" x14ac:dyDescent="0.2">
      <c r="A118" s="2341" t="s">
        <v>1265</v>
      </c>
      <c r="B118" s="2341" t="s">
        <v>1464</v>
      </c>
      <c r="C118" s="2348" t="s">
        <v>2040</v>
      </c>
      <c r="D118" s="2348" t="s">
        <v>2041</v>
      </c>
      <c r="E118" s="2341" t="s">
        <v>1268</v>
      </c>
      <c r="F118" s="2342">
        <v>2152750</v>
      </c>
      <c r="G118" s="2342">
        <v>13281</v>
      </c>
      <c r="H118" s="2342">
        <f t="shared" si="15"/>
        <v>13890</v>
      </c>
    </row>
    <row r="119" spans="1:8" outlineLevel="1" x14ac:dyDescent="0.2">
      <c r="A119" s="2349" t="s">
        <v>1515</v>
      </c>
      <c r="B119" s="2349"/>
      <c r="C119" s="2350" t="s">
        <v>2042</v>
      </c>
      <c r="D119" s="2350" t="s">
        <v>2043</v>
      </c>
      <c r="F119" s="2347">
        <f t="shared" ref="F119" si="16">SUM(F114:F118)</f>
        <v>134317242</v>
      </c>
      <c r="G119" s="2347">
        <f t="shared" si="14"/>
        <v>278694</v>
      </c>
      <c r="H119" s="2347">
        <f t="shared" si="14"/>
        <v>1409522</v>
      </c>
    </row>
    <row r="120" spans="1:8" outlineLevel="1" x14ac:dyDescent="0.2">
      <c r="A120" s="2341" t="s">
        <v>1255</v>
      </c>
      <c r="B120" s="2341" t="s">
        <v>802</v>
      </c>
      <c r="C120" s="2348" t="s">
        <v>2044</v>
      </c>
      <c r="D120" s="2348" t="s">
        <v>2045</v>
      </c>
      <c r="E120" s="2341" t="s">
        <v>1358</v>
      </c>
      <c r="F120" s="2342">
        <v>15454536</v>
      </c>
      <c r="G120" s="2342">
        <v>112163</v>
      </c>
      <c r="H120" s="2342">
        <f>+F114-F120</f>
        <v>909091</v>
      </c>
    </row>
    <row r="121" spans="1:8" outlineLevel="1" x14ac:dyDescent="0.2">
      <c r="A121" s="2341" t="s">
        <v>1258</v>
      </c>
      <c r="B121" s="2341" t="s">
        <v>1461</v>
      </c>
      <c r="C121" s="2348" t="s">
        <v>2046</v>
      </c>
      <c r="D121" s="2348" t="s">
        <v>2047</v>
      </c>
      <c r="E121" s="2341" t="s">
        <v>1361</v>
      </c>
      <c r="F121" s="2342">
        <v>74644524</v>
      </c>
      <c r="G121" s="2342">
        <v>58180</v>
      </c>
      <c r="H121" s="2342">
        <f t="shared" ref="H121:H124" si="17">+F115-F121</f>
        <v>426541</v>
      </c>
    </row>
    <row r="122" spans="1:8" outlineLevel="1" x14ac:dyDescent="0.2">
      <c r="A122" s="2341" t="s">
        <v>1384</v>
      </c>
      <c r="B122" s="2341" t="s">
        <v>1462</v>
      </c>
      <c r="C122" s="2348" t="s">
        <v>1579</v>
      </c>
      <c r="D122" s="2348" t="s">
        <v>809</v>
      </c>
      <c r="E122" s="2341" t="s">
        <v>1254</v>
      </c>
      <c r="F122" s="2342">
        <v>27169800</v>
      </c>
      <c r="G122" s="2342">
        <v>0</v>
      </c>
      <c r="H122" s="2342">
        <f t="shared" si="17"/>
        <v>0</v>
      </c>
    </row>
    <row r="123" spans="1:8" outlineLevel="1" x14ac:dyDescent="0.2">
      <c r="A123" s="2341" t="s">
        <v>1261</v>
      </c>
      <c r="B123" s="2341" t="s">
        <v>1463</v>
      </c>
      <c r="C123" s="2348" t="s">
        <v>2048</v>
      </c>
      <c r="D123" s="2348" t="s">
        <v>2049</v>
      </c>
      <c r="E123" s="2341" t="s">
        <v>1264</v>
      </c>
      <c r="F123" s="2342">
        <v>13500000</v>
      </c>
      <c r="G123" s="2342">
        <v>89443</v>
      </c>
      <c r="H123" s="2342">
        <f t="shared" si="17"/>
        <v>60000</v>
      </c>
    </row>
    <row r="124" spans="1:8" outlineLevel="1" x14ac:dyDescent="0.2">
      <c r="A124" s="2341" t="s">
        <v>1265</v>
      </c>
      <c r="B124" s="2341" t="s">
        <v>1464</v>
      </c>
      <c r="C124" s="2348" t="s">
        <v>2050</v>
      </c>
      <c r="D124" s="2348" t="s">
        <v>2051</v>
      </c>
      <c r="E124" s="2341" t="s">
        <v>1268</v>
      </c>
      <c r="F124" s="2342">
        <v>2138860</v>
      </c>
      <c r="G124" s="2342">
        <v>14144</v>
      </c>
      <c r="H124" s="2342">
        <f t="shared" si="17"/>
        <v>13890</v>
      </c>
    </row>
    <row r="125" spans="1:8" outlineLevel="1" x14ac:dyDescent="0.2">
      <c r="A125" s="2349" t="s">
        <v>1516</v>
      </c>
      <c r="B125" s="2349"/>
      <c r="C125" s="2350" t="s">
        <v>2052</v>
      </c>
      <c r="D125" s="2350" t="s">
        <v>2053</v>
      </c>
      <c r="F125" s="2347">
        <f t="shared" ref="F125" si="18">SUM(F120:F124)</f>
        <v>132907720</v>
      </c>
      <c r="G125" s="2347">
        <f t="shared" si="14"/>
        <v>273930</v>
      </c>
      <c r="H125" s="2347">
        <f t="shared" si="14"/>
        <v>1409522</v>
      </c>
    </row>
    <row r="126" spans="1:8" outlineLevel="1" x14ac:dyDescent="0.2">
      <c r="A126" s="2341" t="s">
        <v>1255</v>
      </c>
      <c r="B126" s="2341" t="s">
        <v>802</v>
      </c>
      <c r="C126" s="2348" t="s">
        <v>2054</v>
      </c>
      <c r="D126" s="2348" t="s">
        <v>2055</v>
      </c>
      <c r="E126" s="2341" t="s">
        <v>1358</v>
      </c>
      <c r="F126" s="2342">
        <v>14545445</v>
      </c>
      <c r="G126" s="2342">
        <v>101999</v>
      </c>
      <c r="H126" s="2342">
        <f>+F120-F126</f>
        <v>909091</v>
      </c>
    </row>
    <row r="127" spans="1:8" outlineLevel="1" x14ac:dyDescent="0.2">
      <c r="A127" s="2341" t="s">
        <v>1258</v>
      </c>
      <c r="B127" s="2341" t="s">
        <v>1461</v>
      </c>
      <c r="C127" s="2348" t="s">
        <v>2056</v>
      </c>
      <c r="D127" s="2348" t="s">
        <v>2057</v>
      </c>
      <c r="E127" s="2341" t="s">
        <v>1361</v>
      </c>
      <c r="F127" s="2342">
        <v>74217983</v>
      </c>
      <c r="G127" s="2342">
        <v>55983</v>
      </c>
      <c r="H127" s="2342">
        <f t="shared" ref="H127:H130" si="19">+F121-F127</f>
        <v>426541</v>
      </c>
    </row>
    <row r="128" spans="1:8" outlineLevel="1" x14ac:dyDescent="0.2">
      <c r="A128" s="2341" t="s">
        <v>1384</v>
      </c>
      <c r="B128" s="2341" t="s">
        <v>1462</v>
      </c>
      <c r="C128" s="2348" t="s">
        <v>2058</v>
      </c>
      <c r="D128" s="2348" t="s">
        <v>2059</v>
      </c>
      <c r="E128" s="2341" t="s">
        <v>1254</v>
      </c>
      <c r="F128" s="2342">
        <v>26603760</v>
      </c>
      <c r="G128" s="2342">
        <v>133924</v>
      </c>
      <c r="H128" s="2342">
        <f t="shared" si="19"/>
        <v>566040</v>
      </c>
    </row>
    <row r="129" spans="1:12" outlineLevel="1" x14ac:dyDescent="0.2">
      <c r="A129" s="2341" t="s">
        <v>1261</v>
      </c>
      <c r="B129" s="2341" t="s">
        <v>1463</v>
      </c>
      <c r="C129" s="2348" t="s">
        <v>2060</v>
      </c>
      <c r="D129" s="2348" t="s">
        <v>2061</v>
      </c>
      <c r="E129" s="2341" t="s">
        <v>1264</v>
      </c>
      <c r="F129" s="2342">
        <v>13440000</v>
      </c>
      <c r="G129" s="2342">
        <v>85725</v>
      </c>
      <c r="H129" s="2342">
        <f t="shared" si="19"/>
        <v>60000</v>
      </c>
    </row>
    <row r="130" spans="1:12" outlineLevel="1" x14ac:dyDescent="0.2">
      <c r="A130" s="2341" t="s">
        <v>1265</v>
      </c>
      <c r="B130" s="2341" t="s">
        <v>1464</v>
      </c>
      <c r="C130" s="2348" t="s">
        <v>2062</v>
      </c>
      <c r="D130" s="2348" t="s">
        <v>2063</v>
      </c>
      <c r="E130" s="2341" t="s">
        <v>1268</v>
      </c>
      <c r="F130" s="2342">
        <v>2124970</v>
      </c>
      <c r="G130" s="2342">
        <v>13581</v>
      </c>
      <c r="H130" s="2342">
        <f t="shared" si="19"/>
        <v>13890</v>
      </c>
    </row>
    <row r="131" spans="1:12" outlineLevel="1" x14ac:dyDescent="0.2">
      <c r="A131" s="2349" t="s">
        <v>1517</v>
      </c>
      <c r="B131" s="2349"/>
      <c r="C131" s="2350" t="s">
        <v>2064</v>
      </c>
      <c r="D131" s="2350" t="s">
        <v>2065</v>
      </c>
      <c r="F131" s="2347">
        <f t="shared" ref="F131:H143" si="20">SUM(F126:F130)</f>
        <v>130932158</v>
      </c>
      <c r="G131" s="2347">
        <f t="shared" si="20"/>
        <v>391212</v>
      </c>
      <c r="H131" s="2347">
        <f t="shared" si="20"/>
        <v>1975562</v>
      </c>
    </row>
    <row r="132" spans="1:12" outlineLevel="1" x14ac:dyDescent="0.2">
      <c r="A132" s="2341" t="s">
        <v>1255</v>
      </c>
      <c r="B132" s="2341" t="s">
        <v>802</v>
      </c>
      <c r="C132" s="2348" t="s">
        <v>2066</v>
      </c>
      <c r="D132" s="2348" t="s">
        <v>2067</v>
      </c>
      <c r="E132" s="2341" t="s">
        <v>1358</v>
      </c>
      <c r="F132" s="2342">
        <v>13636354</v>
      </c>
      <c r="G132" s="2342">
        <v>99074</v>
      </c>
      <c r="H132" s="2342">
        <f>+F126-F132</f>
        <v>909091</v>
      </c>
    </row>
    <row r="133" spans="1:12" outlineLevel="1" x14ac:dyDescent="0.2">
      <c r="A133" s="2341" t="s">
        <v>1258</v>
      </c>
      <c r="B133" s="2341" t="s">
        <v>1461</v>
      </c>
      <c r="C133" s="2348" t="s">
        <v>2068</v>
      </c>
      <c r="D133" s="2348" t="s">
        <v>2069</v>
      </c>
      <c r="E133" s="2341" t="s">
        <v>1361</v>
      </c>
      <c r="F133" s="2342">
        <v>73791442</v>
      </c>
      <c r="G133" s="2342">
        <v>57518</v>
      </c>
      <c r="H133" s="2342">
        <f t="shared" ref="H133:H136" si="21">+F127-F133</f>
        <v>426541</v>
      </c>
    </row>
    <row r="134" spans="1:12" outlineLevel="1" x14ac:dyDescent="0.2">
      <c r="A134" s="2341" t="s">
        <v>1384</v>
      </c>
      <c r="B134" s="2341" t="s">
        <v>1462</v>
      </c>
      <c r="C134" s="2348" t="s">
        <v>2058</v>
      </c>
      <c r="D134" s="2348" t="s">
        <v>809</v>
      </c>
      <c r="E134" s="2341" t="s">
        <v>1254</v>
      </c>
      <c r="F134" s="2342">
        <v>26603760</v>
      </c>
      <c r="G134" s="2342">
        <v>0</v>
      </c>
      <c r="H134" s="2342">
        <f t="shared" si="21"/>
        <v>0</v>
      </c>
    </row>
    <row r="135" spans="1:12" outlineLevel="1" x14ac:dyDescent="0.2">
      <c r="A135" s="2341" t="s">
        <v>1261</v>
      </c>
      <c r="B135" s="2341" t="s">
        <v>1463</v>
      </c>
      <c r="C135" s="2348" t="s">
        <v>2070</v>
      </c>
      <c r="D135" s="2348" t="s">
        <v>2071</v>
      </c>
      <c r="E135" s="2341" t="s">
        <v>1264</v>
      </c>
      <c r="F135" s="2342">
        <v>13380000</v>
      </c>
      <c r="G135" s="2342">
        <v>88073</v>
      </c>
      <c r="H135" s="2342">
        <f t="shared" si="21"/>
        <v>60000</v>
      </c>
    </row>
    <row r="136" spans="1:12" outlineLevel="1" x14ac:dyDescent="0.2">
      <c r="A136" s="2341" t="s">
        <v>1265</v>
      </c>
      <c r="B136" s="2341" t="s">
        <v>1464</v>
      </c>
      <c r="C136" s="2348" t="s">
        <v>2072</v>
      </c>
      <c r="D136" s="2348" t="s">
        <v>2073</v>
      </c>
      <c r="E136" s="2341" t="s">
        <v>1268</v>
      </c>
      <c r="F136" s="2342">
        <v>2111080</v>
      </c>
      <c r="G136" s="2342">
        <v>13943</v>
      </c>
      <c r="H136" s="2342">
        <f t="shared" si="21"/>
        <v>13890</v>
      </c>
    </row>
    <row r="137" spans="1:12" outlineLevel="1" x14ac:dyDescent="0.2">
      <c r="A137" s="2349" t="s">
        <v>1518</v>
      </c>
      <c r="B137" s="2349"/>
      <c r="C137" s="2350" t="s">
        <v>2074</v>
      </c>
      <c r="D137" s="2350" t="s">
        <v>2075</v>
      </c>
      <c r="F137" s="2347">
        <f t="shared" ref="F137" si="22">SUM(F132:F136)</f>
        <v>129522636</v>
      </c>
      <c r="G137" s="2347">
        <f t="shared" si="20"/>
        <v>258608</v>
      </c>
      <c r="H137" s="2347">
        <f t="shared" si="20"/>
        <v>1409522</v>
      </c>
    </row>
    <row r="138" spans="1:12" outlineLevel="1" x14ac:dyDescent="0.2">
      <c r="A138" s="2341" t="s">
        <v>1255</v>
      </c>
      <c r="B138" s="2341" t="s">
        <v>802</v>
      </c>
      <c r="C138" s="2348" t="s">
        <v>2076</v>
      </c>
      <c r="D138" s="2348" t="s">
        <v>2077</v>
      </c>
      <c r="E138" s="2341" t="s">
        <v>1358</v>
      </c>
      <c r="F138" s="2342">
        <v>12727263</v>
      </c>
      <c r="G138" s="2342">
        <v>90340</v>
      </c>
      <c r="H138" s="2342">
        <f>+F132-F138</f>
        <v>909091</v>
      </c>
    </row>
    <row r="139" spans="1:12" outlineLevel="1" x14ac:dyDescent="0.2">
      <c r="A139" s="2341" t="s">
        <v>1258</v>
      </c>
      <c r="B139" s="2341" t="s">
        <v>1461</v>
      </c>
      <c r="C139" s="2348" t="s">
        <v>2078</v>
      </c>
      <c r="D139" s="2348" t="s">
        <v>2079</v>
      </c>
      <c r="E139" s="2341" t="s">
        <v>1361</v>
      </c>
      <c r="F139" s="2342">
        <v>73364901</v>
      </c>
      <c r="G139" s="2342">
        <v>55343</v>
      </c>
      <c r="H139" s="2342">
        <f t="shared" ref="H139:H142" si="23">+F133-F139</f>
        <v>426541</v>
      </c>
    </row>
    <row r="140" spans="1:12" outlineLevel="1" x14ac:dyDescent="0.2">
      <c r="A140" s="2341" t="s">
        <v>1384</v>
      </c>
      <c r="B140" s="2341" t="s">
        <v>1462</v>
      </c>
      <c r="C140" s="2348" t="s">
        <v>2058</v>
      </c>
      <c r="D140" s="2348" t="s">
        <v>809</v>
      </c>
      <c r="E140" s="2341" t="s">
        <v>1254</v>
      </c>
      <c r="F140" s="2342">
        <v>26603760</v>
      </c>
      <c r="G140" s="2342">
        <v>0</v>
      </c>
      <c r="H140" s="2342">
        <f t="shared" si="23"/>
        <v>0</v>
      </c>
    </row>
    <row r="141" spans="1:12" outlineLevel="1" x14ac:dyDescent="0.2">
      <c r="A141" s="2341" t="s">
        <v>1261</v>
      </c>
      <c r="B141" s="2341" t="s">
        <v>1463</v>
      </c>
      <c r="C141" s="2348" t="s">
        <v>2080</v>
      </c>
      <c r="D141" s="2348" t="s">
        <v>2081</v>
      </c>
      <c r="E141" s="2341" t="s">
        <v>1264</v>
      </c>
      <c r="F141" s="2342">
        <v>13320000</v>
      </c>
      <c r="G141" s="2342">
        <v>85297</v>
      </c>
      <c r="H141" s="2342">
        <f t="shared" si="23"/>
        <v>60000</v>
      </c>
    </row>
    <row r="142" spans="1:12" outlineLevel="1" x14ac:dyDescent="0.2">
      <c r="A142" s="2341" t="s">
        <v>1265</v>
      </c>
      <c r="B142" s="2341" t="s">
        <v>1464</v>
      </c>
      <c r="C142" s="2348" t="s">
        <v>2082</v>
      </c>
      <c r="D142" s="2348" t="s">
        <v>2083</v>
      </c>
      <c r="E142" s="2341" t="s">
        <v>1268</v>
      </c>
      <c r="F142" s="2342">
        <v>2097190</v>
      </c>
      <c r="G142" s="2342">
        <v>15602</v>
      </c>
      <c r="H142" s="2342">
        <f t="shared" si="23"/>
        <v>13890</v>
      </c>
    </row>
    <row r="143" spans="1:12" outlineLevel="1" x14ac:dyDescent="0.2">
      <c r="A143" s="2349" t="s">
        <v>1519</v>
      </c>
      <c r="B143" s="2349"/>
      <c r="C143" s="2350" t="s">
        <v>2084</v>
      </c>
      <c r="D143" s="2350" t="s">
        <v>2085</v>
      </c>
      <c r="F143" s="2347">
        <f t="shared" ref="F143" si="24">SUM(F138:F142)</f>
        <v>128113114</v>
      </c>
      <c r="G143" s="2347">
        <f t="shared" si="20"/>
        <v>246582</v>
      </c>
      <c r="H143" s="2347">
        <f t="shared" si="20"/>
        <v>1409522</v>
      </c>
    </row>
    <row r="144" spans="1:12" x14ac:dyDescent="0.2">
      <c r="A144" s="2341" t="s">
        <v>1255</v>
      </c>
      <c r="B144" s="2341" t="s">
        <v>802</v>
      </c>
      <c r="C144" s="2348" t="s">
        <v>2086</v>
      </c>
      <c r="D144" s="2348" t="s">
        <v>2087</v>
      </c>
      <c r="E144" s="2341" t="s">
        <v>1358</v>
      </c>
      <c r="F144" s="2342">
        <v>11818172</v>
      </c>
      <c r="G144" s="2342">
        <v>86580</v>
      </c>
      <c r="H144" s="2342">
        <f>+F138-F144</f>
        <v>909091</v>
      </c>
      <c r="J144" s="2342">
        <f>+F144</f>
        <v>11818172</v>
      </c>
      <c r="K144" s="2342">
        <f t="shared" ref="K144:L148" si="25">+G144+G138+G132+G126+G120+G114+G108+G102+G96+G90+G84+G78</f>
        <v>1172702</v>
      </c>
      <c r="L144" s="2342">
        <f t="shared" si="25"/>
        <v>10909092</v>
      </c>
    </row>
    <row r="145" spans="1:12" x14ac:dyDescent="0.2">
      <c r="A145" s="2341" t="s">
        <v>1258</v>
      </c>
      <c r="B145" s="2341" t="s">
        <v>1461</v>
      </c>
      <c r="C145" s="2348" t="s">
        <v>2088</v>
      </c>
      <c r="D145" s="2348" t="s">
        <v>2089</v>
      </c>
      <c r="E145" s="2341" t="s">
        <v>1361</v>
      </c>
      <c r="F145" s="2342">
        <v>72938360</v>
      </c>
      <c r="G145" s="2342">
        <v>56857</v>
      </c>
      <c r="H145" s="2342">
        <f t="shared" ref="H145:H148" si="26">+F139-F145</f>
        <v>426541</v>
      </c>
      <c r="J145" s="2342">
        <f t="shared" ref="J145:J148" si="27">+F145</f>
        <v>72938360</v>
      </c>
      <c r="K145" s="2342">
        <f t="shared" si="25"/>
        <v>690754</v>
      </c>
      <c r="L145" s="2342">
        <f t="shared" si="25"/>
        <v>5118492</v>
      </c>
    </row>
    <row r="146" spans="1:12" x14ac:dyDescent="0.2">
      <c r="A146" s="2341" t="s">
        <v>1384</v>
      </c>
      <c r="B146" s="2341" t="s">
        <v>1462</v>
      </c>
      <c r="C146" s="2348" t="s">
        <v>2090</v>
      </c>
      <c r="D146" s="2348" t="s">
        <v>2091</v>
      </c>
      <c r="E146" s="2341" t="s">
        <v>1254</v>
      </c>
      <c r="F146" s="2342">
        <v>26037720</v>
      </c>
      <c r="G146" s="2342">
        <v>132575</v>
      </c>
      <c r="H146" s="2342">
        <f t="shared" si="26"/>
        <v>566040</v>
      </c>
      <c r="J146" s="2342">
        <f t="shared" si="27"/>
        <v>26037720</v>
      </c>
      <c r="K146" s="2342">
        <f t="shared" si="25"/>
        <v>542625</v>
      </c>
      <c r="L146" s="2342">
        <f t="shared" si="25"/>
        <v>2264160</v>
      </c>
    </row>
    <row r="147" spans="1:12" x14ac:dyDescent="0.2">
      <c r="A147" s="2341" t="s">
        <v>1261</v>
      </c>
      <c r="B147" s="2341" t="s">
        <v>1463</v>
      </c>
      <c r="C147" s="2348" t="s">
        <v>2092</v>
      </c>
      <c r="D147" s="2348" t="s">
        <v>2093</v>
      </c>
      <c r="E147" s="2341" t="s">
        <v>1264</v>
      </c>
      <c r="F147" s="2342">
        <v>13260000</v>
      </c>
      <c r="G147" s="2342">
        <v>87172</v>
      </c>
      <c r="H147" s="2342">
        <f t="shared" si="26"/>
        <v>60000</v>
      </c>
      <c r="J147" s="2342">
        <f t="shared" si="27"/>
        <v>13260000</v>
      </c>
      <c r="K147" s="2342">
        <f t="shared" si="25"/>
        <v>844603</v>
      </c>
      <c r="L147" s="2342">
        <f t="shared" si="25"/>
        <v>720000</v>
      </c>
    </row>
    <row r="148" spans="1:12" x14ac:dyDescent="0.2">
      <c r="A148" s="2341" t="s">
        <v>1265</v>
      </c>
      <c r="B148" s="2341" t="s">
        <v>1464</v>
      </c>
      <c r="C148" s="2348" t="s">
        <v>2094</v>
      </c>
      <c r="D148" s="2348" t="s">
        <v>2095</v>
      </c>
      <c r="E148" s="2341" t="s">
        <v>1268</v>
      </c>
      <c r="F148" s="2342">
        <v>2083300</v>
      </c>
      <c r="G148" s="2342">
        <v>13743</v>
      </c>
      <c r="H148" s="2342">
        <f t="shared" si="26"/>
        <v>13890</v>
      </c>
      <c r="J148" s="2342">
        <f t="shared" si="27"/>
        <v>2083300</v>
      </c>
      <c r="K148" s="2342">
        <f t="shared" si="25"/>
        <v>187683</v>
      </c>
      <c r="L148" s="2342">
        <f t="shared" si="25"/>
        <v>166680</v>
      </c>
    </row>
    <row r="149" spans="1:12" x14ac:dyDescent="0.2">
      <c r="A149" s="2351" t="s">
        <v>1520</v>
      </c>
      <c r="B149" s="2351"/>
      <c r="C149" s="2352" t="s">
        <v>2096</v>
      </c>
      <c r="D149" s="2352" t="s">
        <v>2097</v>
      </c>
      <c r="F149" s="2347">
        <f t="shared" ref="F149:H149" si="28">SUM(F144:F148)</f>
        <v>126137552</v>
      </c>
      <c r="G149" s="2347">
        <f t="shared" si="28"/>
        <v>376927</v>
      </c>
      <c r="H149" s="2347">
        <f t="shared" si="28"/>
        <v>1975562</v>
      </c>
      <c r="J149" s="2347">
        <f>SUM(J144:J148)</f>
        <v>126137552</v>
      </c>
      <c r="K149" s="2347">
        <f t="shared" ref="K149" si="29">SUM(K144:K148)</f>
        <v>3438367</v>
      </c>
      <c r="L149" s="2347">
        <f t="shared" ref="L149" si="30">SUM(L144:L148)</f>
        <v>19178424</v>
      </c>
    </row>
    <row r="150" spans="1:12" outlineLevel="1" x14ac:dyDescent="0.2">
      <c r="A150" s="2341" t="s">
        <v>1255</v>
      </c>
      <c r="B150" s="2341" t="s">
        <v>802</v>
      </c>
      <c r="C150" s="2348" t="s">
        <v>2098</v>
      </c>
      <c r="D150" s="2348" t="s">
        <v>2099</v>
      </c>
      <c r="E150" s="2341" t="s">
        <v>1358</v>
      </c>
      <c r="F150" s="2342">
        <f>+F144-H144</f>
        <v>10909081</v>
      </c>
      <c r="G150" s="2342">
        <v>80498</v>
      </c>
      <c r="H150" s="2342">
        <f>+F144-F150</f>
        <v>909091</v>
      </c>
    </row>
    <row r="151" spans="1:12" outlineLevel="1" x14ac:dyDescent="0.2">
      <c r="A151" s="2341" t="s">
        <v>1258</v>
      </c>
      <c r="B151" s="2341" t="s">
        <v>1461</v>
      </c>
      <c r="C151" s="2348" t="s">
        <v>2100</v>
      </c>
      <c r="D151" s="2348" t="s">
        <v>2101</v>
      </c>
      <c r="E151" s="2341" t="s">
        <v>1361</v>
      </c>
      <c r="F151" s="2342">
        <f t="shared" ref="F151:F154" si="31">+F145-H145</f>
        <v>72511819</v>
      </c>
      <c r="G151" s="2342">
        <v>56527</v>
      </c>
      <c r="H151" s="2342">
        <f t="shared" ref="H151:H154" si="32">+F145-F151</f>
        <v>426541</v>
      </c>
    </row>
    <row r="152" spans="1:12" outlineLevel="1" x14ac:dyDescent="0.2">
      <c r="A152" s="2341" t="s">
        <v>1384</v>
      </c>
      <c r="B152" s="2341" t="s">
        <v>1462</v>
      </c>
      <c r="C152" s="2348" t="s">
        <v>2090</v>
      </c>
      <c r="D152" s="2348" t="s">
        <v>809</v>
      </c>
      <c r="E152" s="2341" t="s">
        <v>1254</v>
      </c>
      <c r="F152" s="2342">
        <v>26037720</v>
      </c>
      <c r="G152" s="2342">
        <v>0</v>
      </c>
      <c r="H152" s="2342">
        <f t="shared" si="32"/>
        <v>0</v>
      </c>
    </row>
    <row r="153" spans="1:12" outlineLevel="1" x14ac:dyDescent="0.2">
      <c r="A153" s="2341" t="s">
        <v>1261</v>
      </c>
      <c r="B153" s="2341" t="s">
        <v>1463</v>
      </c>
      <c r="C153" s="2348" t="s">
        <v>2102</v>
      </c>
      <c r="D153" s="2348" t="s">
        <v>2103</v>
      </c>
      <c r="E153" s="2341" t="s">
        <v>1264</v>
      </c>
      <c r="F153" s="2342">
        <f t="shared" si="31"/>
        <v>13200000</v>
      </c>
      <c r="G153" s="2342">
        <v>86893</v>
      </c>
      <c r="H153" s="2342">
        <f t="shared" si="32"/>
        <v>60000</v>
      </c>
    </row>
    <row r="154" spans="1:12" outlineLevel="1" x14ac:dyDescent="0.2">
      <c r="A154" s="2341" t="s">
        <v>1265</v>
      </c>
      <c r="B154" s="2341" t="s">
        <v>1464</v>
      </c>
      <c r="C154" s="2348" t="s">
        <v>2104</v>
      </c>
      <c r="D154" s="2348" t="s">
        <v>2105</v>
      </c>
      <c r="E154" s="2341" t="s">
        <v>1268</v>
      </c>
      <c r="F154" s="2342">
        <f t="shared" si="31"/>
        <v>2069410</v>
      </c>
      <c r="G154" s="2342">
        <v>13651</v>
      </c>
      <c r="H154" s="2342">
        <f t="shared" si="32"/>
        <v>13890</v>
      </c>
    </row>
    <row r="155" spans="1:12" outlineLevel="1" x14ac:dyDescent="0.2">
      <c r="A155" s="2349" t="s">
        <v>2032</v>
      </c>
      <c r="B155" s="2349"/>
      <c r="C155" s="2350" t="s">
        <v>2106</v>
      </c>
      <c r="D155" s="2350" t="s">
        <v>2107</v>
      </c>
      <c r="F155" s="2347">
        <f t="shared" ref="F155:H155" si="33">SUM(F150:F154)</f>
        <v>124728030</v>
      </c>
      <c r="G155" s="2347">
        <f t="shared" si="33"/>
        <v>237569</v>
      </c>
      <c r="H155" s="2347">
        <f t="shared" si="33"/>
        <v>1409522</v>
      </c>
    </row>
    <row r="156" spans="1:12" outlineLevel="1" x14ac:dyDescent="0.2">
      <c r="A156" s="2341" t="s">
        <v>1255</v>
      </c>
      <c r="B156" s="2341" t="s">
        <v>802</v>
      </c>
      <c r="C156" s="2348" t="s">
        <v>2120</v>
      </c>
      <c r="D156" s="2348" t="s">
        <v>2121</v>
      </c>
      <c r="E156" s="2341" t="s">
        <v>1358</v>
      </c>
      <c r="F156" s="2342">
        <f>+F150-H150</f>
        <v>9999990</v>
      </c>
      <c r="G156" s="2342">
        <v>67115</v>
      </c>
      <c r="H156" s="2342">
        <f>+F150-F156</f>
        <v>909091</v>
      </c>
    </row>
    <row r="157" spans="1:12" outlineLevel="1" x14ac:dyDescent="0.2">
      <c r="A157" s="2341" t="s">
        <v>1258</v>
      </c>
      <c r="B157" s="2341" t="s">
        <v>1461</v>
      </c>
      <c r="C157" s="2348" t="s">
        <v>2122</v>
      </c>
      <c r="D157" s="2348" t="s">
        <v>2123</v>
      </c>
      <c r="E157" s="2341" t="s">
        <v>1361</v>
      </c>
      <c r="F157" s="2342">
        <f t="shared" ref="F157:F160" si="34">+F151-H151</f>
        <v>72085278</v>
      </c>
      <c r="G157" s="2342">
        <v>50758</v>
      </c>
      <c r="H157" s="2342">
        <f>+F151-F157</f>
        <v>426541</v>
      </c>
    </row>
    <row r="158" spans="1:12" outlineLevel="1" x14ac:dyDescent="0.2">
      <c r="A158" s="2341" t="s">
        <v>1384</v>
      </c>
      <c r="B158" s="2341" t="s">
        <v>1462</v>
      </c>
      <c r="C158" s="2348" t="s">
        <v>2090</v>
      </c>
      <c r="D158" s="2348" t="s">
        <v>809</v>
      </c>
      <c r="E158" s="2341" t="s">
        <v>1254</v>
      </c>
      <c r="F158" s="2342">
        <f>+F152-H152</f>
        <v>26037720</v>
      </c>
      <c r="G158" s="2342">
        <v>0</v>
      </c>
      <c r="H158" s="2342">
        <f t="shared" ref="H158:H160" si="35">+F152-F158</f>
        <v>0</v>
      </c>
    </row>
    <row r="159" spans="1:12" outlineLevel="1" x14ac:dyDescent="0.2">
      <c r="A159" s="2341" t="s">
        <v>1261</v>
      </c>
      <c r="B159" s="2341" t="s">
        <v>1463</v>
      </c>
      <c r="C159" s="2348" t="s">
        <v>2124</v>
      </c>
      <c r="D159" s="2348" t="s">
        <v>2125</v>
      </c>
      <c r="E159" s="2341" t="s">
        <v>1264</v>
      </c>
      <c r="F159" s="2342">
        <f t="shared" si="34"/>
        <v>13140000</v>
      </c>
      <c r="G159" s="2342">
        <v>78129</v>
      </c>
      <c r="H159" s="2342">
        <f t="shared" si="35"/>
        <v>60000</v>
      </c>
    </row>
    <row r="160" spans="1:12" outlineLevel="1" x14ac:dyDescent="0.2">
      <c r="A160" s="2341" t="s">
        <v>1265</v>
      </c>
      <c r="B160" s="2341" t="s">
        <v>1464</v>
      </c>
      <c r="C160" s="2348" t="s">
        <v>2126</v>
      </c>
      <c r="D160" s="2348" t="s">
        <v>2127</v>
      </c>
      <c r="E160" s="2341" t="s">
        <v>1268</v>
      </c>
      <c r="F160" s="2342">
        <f t="shared" si="34"/>
        <v>2055520</v>
      </c>
      <c r="G160" s="2342">
        <v>12248</v>
      </c>
      <c r="H160" s="2342">
        <f t="shared" si="35"/>
        <v>13890</v>
      </c>
    </row>
    <row r="161" spans="1:10" outlineLevel="1" x14ac:dyDescent="0.2">
      <c r="A161" s="2349" t="s">
        <v>2033</v>
      </c>
      <c r="B161" s="2349"/>
      <c r="C161" s="2350" t="s">
        <v>2128</v>
      </c>
      <c r="D161" s="2350" t="s">
        <v>2129</v>
      </c>
      <c r="F161" s="2347">
        <f t="shared" ref="F161:H161" si="36">SUM(F156:F160)</f>
        <v>123318508</v>
      </c>
      <c r="G161" s="2347">
        <f t="shared" si="36"/>
        <v>208250</v>
      </c>
      <c r="H161" s="2347">
        <f t="shared" si="36"/>
        <v>1409522</v>
      </c>
    </row>
    <row r="162" spans="1:10" outlineLevel="1" x14ac:dyDescent="0.2">
      <c r="A162" s="2341" t="s">
        <v>1255</v>
      </c>
      <c r="B162" s="2341" t="s">
        <v>802</v>
      </c>
      <c r="C162" s="2348" t="s">
        <v>2139</v>
      </c>
      <c r="D162" s="2348" t="s">
        <v>2140</v>
      </c>
      <c r="E162" s="2341" t="s">
        <v>1358</v>
      </c>
      <c r="F162" s="2342">
        <f>+F156-H156</f>
        <v>9090899</v>
      </c>
      <c r="G162" s="2342">
        <v>68113</v>
      </c>
      <c r="H162" s="2342">
        <f t="shared" ref="H162:H178" si="37">+F156-F162</f>
        <v>909091</v>
      </c>
      <c r="I162" s="648" t="s">
        <v>2151</v>
      </c>
      <c r="J162" s="648"/>
    </row>
    <row r="163" spans="1:10" outlineLevel="1" x14ac:dyDescent="0.2">
      <c r="A163" s="2341" t="s">
        <v>1258</v>
      </c>
      <c r="B163" s="2341" t="s">
        <v>1461</v>
      </c>
      <c r="C163" s="2348" t="s">
        <v>2141</v>
      </c>
      <c r="D163" s="2348" t="s">
        <v>2142</v>
      </c>
      <c r="E163" s="2341" t="s">
        <v>1361</v>
      </c>
      <c r="F163" s="2342">
        <f t="shared" ref="F163:F166" si="38">+F157-H157</f>
        <v>71658737</v>
      </c>
      <c r="G163" s="2342">
        <v>55866</v>
      </c>
      <c r="H163" s="2342">
        <f t="shared" si="37"/>
        <v>426541</v>
      </c>
      <c r="I163" s="648" t="s">
        <v>2152</v>
      </c>
      <c r="J163" s="648"/>
    </row>
    <row r="164" spans="1:10" outlineLevel="1" x14ac:dyDescent="0.2">
      <c r="A164" s="2341" t="s">
        <v>1384</v>
      </c>
      <c r="B164" s="2341" t="s">
        <v>1462</v>
      </c>
      <c r="C164" s="2348" t="s">
        <v>2143</v>
      </c>
      <c r="D164" s="2348" t="s">
        <v>2144</v>
      </c>
      <c r="E164" s="2341" t="s">
        <v>1254</v>
      </c>
      <c r="F164" s="2342">
        <v>25474680</v>
      </c>
      <c r="G164" s="2342">
        <v>126933</v>
      </c>
      <c r="H164" s="2342">
        <f>+F158-F164</f>
        <v>563040</v>
      </c>
    </row>
    <row r="165" spans="1:10" outlineLevel="1" x14ac:dyDescent="0.2">
      <c r="A165" s="2341" t="s">
        <v>1261</v>
      </c>
      <c r="B165" s="2341" t="s">
        <v>1463</v>
      </c>
      <c r="C165" s="2348" t="s">
        <v>2145</v>
      </c>
      <c r="D165" s="2348" t="s">
        <v>2146</v>
      </c>
      <c r="E165" s="2341" t="s">
        <v>1264</v>
      </c>
      <c r="F165" s="2342">
        <f t="shared" si="38"/>
        <v>13080000</v>
      </c>
      <c r="G165" s="2342">
        <v>86107</v>
      </c>
      <c r="H165" s="2342">
        <f t="shared" si="37"/>
        <v>60000</v>
      </c>
    </row>
    <row r="166" spans="1:10" outlineLevel="1" x14ac:dyDescent="0.2">
      <c r="A166" s="2341" t="s">
        <v>1265</v>
      </c>
      <c r="B166" s="2341" t="s">
        <v>1464</v>
      </c>
      <c r="C166" s="2348" t="s">
        <v>2147</v>
      </c>
      <c r="D166" s="2348" t="s">
        <v>2148</v>
      </c>
      <c r="E166" s="2341" t="s">
        <v>1268</v>
      </c>
      <c r="F166" s="2342">
        <f t="shared" si="38"/>
        <v>2041630</v>
      </c>
      <c r="G166" s="2342">
        <v>13469</v>
      </c>
      <c r="H166" s="2342">
        <f t="shared" si="37"/>
        <v>13890</v>
      </c>
    </row>
    <row r="167" spans="1:10" outlineLevel="1" x14ac:dyDescent="0.2">
      <c r="A167" s="2349" t="s">
        <v>2130</v>
      </c>
      <c r="B167" s="2349"/>
      <c r="C167" s="2350" t="s">
        <v>2149</v>
      </c>
      <c r="D167" s="2350" t="s">
        <v>2150</v>
      </c>
      <c r="F167" s="2347">
        <f>SUM(F162:F166)</f>
        <v>121345946</v>
      </c>
      <c r="G167" s="2347">
        <f t="shared" ref="G167:H167" si="39">SUM(G162:G166)</f>
        <v>350488</v>
      </c>
      <c r="H167" s="2347">
        <f t="shared" si="39"/>
        <v>1972562</v>
      </c>
    </row>
    <row r="168" spans="1:10" outlineLevel="1" x14ac:dyDescent="0.2">
      <c r="A168" s="2341" t="s">
        <v>1255</v>
      </c>
      <c r="B168" s="2341" t="s">
        <v>802</v>
      </c>
      <c r="C168" s="2348" t="s">
        <v>2174</v>
      </c>
      <c r="D168" s="2348" t="s">
        <v>2175</v>
      </c>
      <c r="E168" s="2341" t="s">
        <v>1358</v>
      </c>
      <c r="F168" s="2342">
        <v>8181808</v>
      </c>
      <c r="G168" s="2342">
        <v>59924</v>
      </c>
      <c r="H168" s="2342">
        <f t="shared" si="37"/>
        <v>909091</v>
      </c>
    </row>
    <row r="169" spans="1:10" outlineLevel="1" x14ac:dyDescent="0.2">
      <c r="A169" s="2341" t="s">
        <v>1258</v>
      </c>
      <c r="B169" s="2341" t="s">
        <v>1461</v>
      </c>
      <c r="C169" s="2348" t="s">
        <v>2176</v>
      </c>
      <c r="D169" s="2348" t="s">
        <v>2177</v>
      </c>
      <c r="E169" s="2341" t="s">
        <v>1361</v>
      </c>
      <c r="F169" s="2342">
        <v>71232196</v>
      </c>
      <c r="G169" s="2342">
        <v>53744</v>
      </c>
      <c r="H169" s="2342">
        <f t="shared" si="37"/>
        <v>426541</v>
      </c>
    </row>
    <row r="170" spans="1:10" outlineLevel="1" x14ac:dyDescent="0.2">
      <c r="A170" s="2341" t="s">
        <v>1384</v>
      </c>
      <c r="B170" s="2341" t="s">
        <v>1462</v>
      </c>
      <c r="C170" s="2348" t="s">
        <v>2143</v>
      </c>
      <c r="D170" s="2348" t="s">
        <v>809</v>
      </c>
      <c r="E170" s="2341" t="s">
        <v>1254</v>
      </c>
      <c r="F170" s="2342">
        <v>25471680</v>
      </c>
      <c r="G170" s="2342">
        <v>0</v>
      </c>
      <c r="H170" s="2342">
        <f>+F164-F170</f>
        <v>3000</v>
      </c>
    </row>
    <row r="171" spans="1:10" outlineLevel="1" x14ac:dyDescent="0.2">
      <c r="A171" s="2341" t="s">
        <v>1261</v>
      </c>
      <c r="B171" s="2341" t="s">
        <v>1463</v>
      </c>
      <c r="C171" s="2348" t="s">
        <v>2178</v>
      </c>
      <c r="D171" s="2348" t="s">
        <v>2179</v>
      </c>
      <c r="E171" s="2341" t="s">
        <v>1264</v>
      </c>
      <c r="F171" s="2342">
        <v>13020000</v>
      </c>
      <c r="G171" s="2342">
        <v>82949</v>
      </c>
      <c r="H171" s="2342">
        <f t="shared" si="37"/>
        <v>60000</v>
      </c>
    </row>
    <row r="172" spans="1:10" outlineLevel="1" x14ac:dyDescent="0.2">
      <c r="A172" s="2341" t="s">
        <v>1265</v>
      </c>
      <c r="B172" s="2341" t="s">
        <v>1464</v>
      </c>
      <c r="C172" s="2348" t="s">
        <v>2180</v>
      </c>
      <c r="D172" s="2348" t="s">
        <v>2181</v>
      </c>
      <c r="E172" s="2341" t="s">
        <v>1268</v>
      </c>
      <c r="F172" s="2342">
        <v>2027740</v>
      </c>
      <c r="G172" s="2342">
        <v>12947</v>
      </c>
      <c r="H172" s="2342">
        <f t="shared" si="37"/>
        <v>13890</v>
      </c>
    </row>
    <row r="173" spans="1:10" outlineLevel="1" x14ac:dyDescent="0.2">
      <c r="A173" s="2349" t="s">
        <v>2182</v>
      </c>
      <c r="B173" s="2349"/>
      <c r="C173" s="2350" t="s">
        <v>2183</v>
      </c>
      <c r="D173" s="2350" t="s">
        <v>2184</v>
      </c>
      <c r="F173" s="2347">
        <f>SUM(F168:F172)</f>
        <v>119933424</v>
      </c>
      <c r="G173" s="2347">
        <f t="shared" ref="G173:H173" si="40">SUM(G168:G172)</f>
        <v>209564</v>
      </c>
      <c r="H173" s="2347">
        <f t="shared" si="40"/>
        <v>1412522</v>
      </c>
    </row>
    <row r="174" spans="1:10" outlineLevel="1" x14ac:dyDescent="0.2">
      <c r="A174" s="2341" t="s">
        <v>1255</v>
      </c>
      <c r="B174" s="2341" t="s">
        <v>802</v>
      </c>
      <c r="C174" s="2348" t="s">
        <v>2185</v>
      </c>
      <c r="D174" s="2348" t="s">
        <v>2186</v>
      </c>
      <c r="E174" s="2341" t="s">
        <v>1358</v>
      </c>
      <c r="F174" s="2342">
        <v>7272717</v>
      </c>
      <c r="G174" s="2342">
        <v>55729</v>
      </c>
      <c r="H174" s="2342">
        <f t="shared" si="37"/>
        <v>909091</v>
      </c>
    </row>
    <row r="175" spans="1:10" outlineLevel="1" x14ac:dyDescent="0.2">
      <c r="A175" s="2341" t="s">
        <v>1258</v>
      </c>
      <c r="B175" s="2341" t="s">
        <v>1461</v>
      </c>
      <c r="C175" s="2348" t="s">
        <v>2187</v>
      </c>
      <c r="D175" s="2348" t="s">
        <v>2188</v>
      </c>
      <c r="E175" s="2341" t="s">
        <v>1361</v>
      </c>
      <c r="F175" s="2342">
        <v>70805655</v>
      </c>
      <c r="G175" s="2342">
        <v>55204</v>
      </c>
      <c r="H175" s="2342">
        <f t="shared" si="37"/>
        <v>426541</v>
      </c>
    </row>
    <row r="176" spans="1:10" outlineLevel="1" x14ac:dyDescent="0.2">
      <c r="A176" s="2341" t="s">
        <v>1384</v>
      </c>
      <c r="B176" s="2341" t="s">
        <v>1462</v>
      </c>
      <c r="C176" s="2348" t="s">
        <v>2143</v>
      </c>
      <c r="D176" s="2348" t="s">
        <v>809</v>
      </c>
      <c r="E176" s="2341" t="s">
        <v>1254</v>
      </c>
      <c r="F176" s="2342">
        <v>25471680</v>
      </c>
      <c r="G176" s="2342">
        <v>0</v>
      </c>
      <c r="H176" s="2342">
        <f>+F170-F176</f>
        <v>0</v>
      </c>
    </row>
    <row r="177" spans="1:8" outlineLevel="1" x14ac:dyDescent="0.2">
      <c r="A177" s="2341" t="s">
        <v>1261</v>
      </c>
      <c r="B177" s="2341" t="s">
        <v>1463</v>
      </c>
      <c r="C177" s="2348" t="s">
        <v>2189</v>
      </c>
      <c r="D177" s="2348" t="s">
        <v>2190</v>
      </c>
      <c r="E177" s="2341" t="s">
        <v>1264</v>
      </c>
      <c r="F177" s="2342">
        <v>12960000</v>
      </c>
      <c r="G177" s="2342">
        <v>85320</v>
      </c>
      <c r="H177" s="2342">
        <f t="shared" si="37"/>
        <v>60000</v>
      </c>
    </row>
    <row r="178" spans="1:8" outlineLevel="1" x14ac:dyDescent="0.2">
      <c r="A178" s="2341" t="s">
        <v>1265</v>
      </c>
      <c r="B178" s="2341" t="s">
        <v>1464</v>
      </c>
      <c r="C178" s="2348" t="s">
        <v>2191</v>
      </c>
      <c r="D178" s="2348" t="s">
        <v>2192</v>
      </c>
      <c r="E178" s="2341" t="s">
        <v>1268</v>
      </c>
      <c r="F178" s="2342">
        <v>2013850</v>
      </c>
      <c r="G178" s="2342">
        <v>13287</v>
      </c>
      <c r="H178" s="2342">
        <f t="shared" si="37"/>
        <v>13890</v>
      </c>
    </row>
    <row r="179" spans="1:8" outlineLevel="1" x14ac:dyDescent="0.2">
      <c r="A179" s="2349" t="s">
        <v>2193</v>
      </c>
      <c r="B179" s="2349"/>
      <c r="C179" s="2350" t="s">
        <v>2194</v>
      </c>
      <c r="D179" s="2350" t="s">
        <v>2195</v>
      </c>
      <c r="F179" s="2347">
        <f>SUM(F174:F178)</f>
        <v>118523902</v>
      </c>
      <c r="G179" s="2347">
        <f t="shared" ref="G179:H179" si="41">SUM(G174:G178)</f>
        <v>209540</v>
      </c>
      <c r="H179" s="2347">
        <f t="shared" si="41"/>
        <v>1409522</v>
      </c>
    </row>
    <row r="180" spans="1:8" outlineLevel="1" x14ac:dyDescent="0.2">
      <c r="A180" s="2341" t="s">
        <v>1255</v>
      </c>
      <c r="B180" s="2341" t="s">
        <v>802</v>
      </c>
      <c r="C180" s="2348" t="s">
        <v>2196</v>
      </c>
      <c r="D180" s="2348" t="s">
        <v>2197</v>
      </c>
      <c r="E180" s="2341" t="s">
        <v>1358</v>
      </c>
      <c r="F180" s="2342">
        <v>6363626</v>
      </c>
      <c r="G180" s="2342">
        <v>47878</v>
      </c>
      <c r="H180" s="2342">
        <f t="shared" ref="H180:H184" si="42">+F174-F180</f>
        <v>909091</v>
      </c>
    </row>
    <row r="181" spans="1:8" outlineLevel="1" x14ac:dyDescent="0.2">
      <c r="A181" s="2341" t="s">
        <v>1258</v>
      </c>
      <c r="B181" s="2341" t="s">
        <v>1461</v>
      </c>
      <c r="C181" s="2348" t="s">
        <v>2198</v>
      </c>
      <c r="D181" s="2348" t="s">
        <v>2199</v>
      </c>
      <c r="E181" s="2341" t="s">
        <v>1361</v>
      </c>
      <c r="F181" s="2342">
        <v>70379114</v>
      </c>
      <c r="G181" s="2342">
        <v>53104</v>
      </c>
      <c r="H181" s="2342">
        <f t="shared" si="42"/>
        <v>426541</v>
      </c>
    </row>
    <row r="182" spans="1:8" outlineLevel="1" x14ac:dyDescent="0.2">
      <c r="A182" s="2341" t="s">
        <v>1384</v>
      </c>
      <c r="B182" s="2341" t="s">
        <v>1462</v>
      </c>
      <c r="C182" s="2348" t="s">
        <v>2200</v>
      </c>
      <c r="D182" s="2348" t="s">
        <v>2201</v>
      </c>
      <c r="E182" s="2341" t="s">
        <v>1254</v>
      </c>
      <c r="F182" s="2342">
        <v>24905640</v>
      </c>
      <c r="G182" s="2342">
        <v>125554</v>
      </c>
      <c r="H182" s="2342">
        <f t="shared" si="42"/>
        <v>566040</v>
      </c>
    </row>
    <row r="183" spans="1:8" outlineLevel="1" x14ac:dyDescent="0.2">
      <c r="A183" s="2341" t="s">
        <v>1261</v>
      </c>
      <c r="B183" s="2341" t="s">
        <v>1463</v>
      </c>
      <c r="C183" s="2348" t="s">
        <v>2202</v>
      </c>
      <c r="D183" s="2348" t="s">
        <v>2203</v>
      </c>
      <c r="E183" s="2341" t="s">
        <v>1264</v>
      </c>
      <c r="F183" s="2342">
        <v>12900000</v>
      </c>
      <c r="G183" s="2342">
        <v>82080</v>
      </c>
      <c r="H183" s="2342">
        <f t="shared" si="42"/>
        <v>60000</v>
      </c>
    </row>
    <row r="184" spans="1:8" outlineLevel="1" x14ac:dyDescent="0.2">
      <c r="A184" s="2341" t="s">
        <v>1265</v>
      </c>
      <c r="B184" s="2341" t="s">
        <v>1464</v>
      </c>
      <c r="C184" s="2348" t="s">
        <v>2204</v>
      </c>
      <c r="D184" s="2348" t="s">
        <v>2205</v>
      </c>
      <c r="E184" s="2341" t="s">
        <v>1268</v>
      </c>
      <c r="F184" s="2342">
        <v>1999960</v>
      </c>
      <c r="G184" s="2342">
        <v>12755</v>
      </c>
      <c r="H184" s="2342">
        <f t="shared" si="42"/>
        <v>13890</v>
      </c>
    </row>
    <row r="185" spans="1:8" outlineLevel="1" x14ac:dyDescent="0.2">
      <c r="A185" s="2349" t="s">
        <v>2206</v>
      </c>
      <c r="B185" s="2349"/>
      <c r="C185" s="2350" t="s">
        <v>2207</v>
      </c>
      <c r="D185" s="2350" t="s">
        <v>2208</v>
      </c>
      <c r="F185" s="2347">
        <f t="shared" ref="F185:H185" si="43">SUM(F180:F184)</f>
        <v>116548340</v>
      </c>
      <c r="G185" s="2347">
        <f t="shared" si="43"/>
        <v>321371</v>
      </c>
      <c r="H185" s="2347">
        <f t="shared" si="43"/>
        <v>1975562</v>
      </c>
    </row>
    <row r="186" spans="1:8" outlineLevel="1" x14ac:dyDescent="0.2">
      <c r="A186" s="2341" t="s">
        <v>1255</v>
      </c>
      <c r="B186" s="2341" t="s">
        <v>802</v>
      </c>
      <c r="C186" s="2348" t="s">
        <v>2209</v>
      </c>
      <c r="D186" s="2348" t="s">
        <v>2210</v>
      </c>
      <c r="E186" s="2341" t="s">
        <v>1358</v>
      </c>
      <c r="F186" s="2342">
        <v>5454535</v>
      </c>
      <c r="G186" s="2342">
        <v>43235</v>
      </c>
      <c r="H186" s="2342">
        <f>+F180-F186</f>
        <v>909091</v>
      </c>
    </row>
    <row r="187" spans="1:8" outlineLevel="1" x14ac:dyDescent="0.2">
      <c r="A187" s="2341" t="s">
        <v>1258</v>
      </c>
      <c r="B187" s="2341" t="s">
        <v>1461</v>
      </c>
      <c r="C187" s="2348" t="s">
        <v>2211</v>
      </c>
      <c r="D187" s="2348" t="s">
        <v>2212</v>
      </c>
      <c r="E187" s="2341" t="s">
        <v>1361</v>
      </c>
      <c r="F187" s="2342">
        <v>69952573</v>
      </c>
      <c r="G187" s="2342">
        <v>54543</v>
      </c>
      <c r="H187" s="2342">
        <f t="shared" ref="H187:H190" si="44">+F181-F187</f>
        <v>426541</v>
      </c>
    </row>
    <row r="188" spans="1:8" outlineLevel="1" x14ac:dyDescent="0.2">
      <c r="A188" s="2341" t="s">
        <v>1384</v>
      </c>
      <c r="B188" s="2341" t="s">
        <v>1462</v>
      </c>
      <c r="C188" s="2348" t="s">
        <v>2200</v>
      </c>
      <c r="D188" s="2348" t="s">
        <v>809</v>
      </c>
      <c r="E188" s="2341" t="s">
        <v>1254</v>
      </c>
      <c r="F188" s="2342">
        <v>24905640</v>
      </c>
      <c r="G188" s="2342">
        <v>0</v>
      </c>
      <c r="H188" s="2342">
        <f t="shared" si="44"/>
        <v>0</v>
      </c>
    </row>
    <row r="189" spans="1:8" outlineLevel="1" x14ac:dyDescent="0.2">
      <c r="A189" s="2341" t="s">
        <v>1261</v>
      </c>
      <c r="B189" s="2341" t="s">
        <v>1463</v>
      </c>
      <c r="C189" s="2348" t="s">
        <v>2213</v>
      </c>
      <c r="D189" s="2348" t="s">
        <v>2214</v>
      </c>
      <c r="E189" s="2341" t="s">
        <v>1264</v>
      </c>
      <c r="F189" s="2342">
        <v>12840000</v>
      </c>
      <c r="G189" s="2342">
        <v>84312</v>
      </c>
      <c r="H189" s="2342">
        <f>+F183-F189</f>
        <v>60000</v>
      </c>
    </row>
    <row r="190" spans="1:8" outlineLevel="1" x14ac:dyDescent="0.2">
      <c r="A190" s="2341" t="s">
        <v>1265</v>
      </c>
      <c r="B190" s="2341" t="s">
        <v>1464</v>
      </c>
      <c r="C190" s="2348" t="s">
        <v>2215</v>
      </c>
      <c r="D190" s="2348" t="s">
        <v>2216</v>
      </c>
      <c r="E190" s="2341" t="s">
        <v>1268</v>
      </c>
      <c r="F190" s="2342">
        <v>1986070</v>
      </c>
      <c r="G190" s="2342">
        <v>13063</v>
      </c>
      <c r="H190" s="2342">
        <f t="shared" si="44"/>
        <v>13890</v>
      </c>
    </row>
    <row r="191" spans="1:8" outlineLevel="1" x14ac:dyDescent="0.2">
      <c r="A191" s="2349" t="s">
        <v>2217</v>
      </c>
      <c r="B191" s="2349"/>
      <c r="C191" s="2350" t="s">
        <v>2218</v>
      </c>
      <c r="D191" s="2350" t="s">
        <v>2219</v>
      </c>
      <c r="F191" s="2347">
        <f t="shared" ref="F191:H191" si="45">SUM(F186:F190)</f>
        <v>115138818</v>
      </c>
      <c r="G191" s="2347">
        <f t="shared" si="45"/>
        <v>195153</v>
      </c>
      <c r="H191" s="2347">
        <f t="shared" si="45"/>
        <v>1409522</v>
      </c>
    </row>
    <row r="192" spans="1:8" outlineLevel="1" x14ac:dyDescent="0.2">
      <c r="A192" s="2353" t="s">
        <v>1265</v>
      </c>
      <c r="B192" s="2341" t="s">
        <v>1464</v>
      </c>
      <c r="C192" s="2354" t="s">
        <v>2315</v>
      </c>
      <c r="D192" s="2348" t="s">
        <v>2316</v>
      </c>
      <c r="E192" s="2341" t="s">
        <v>1268</v>
      </c>
      <c r="G192" s="2342">
        <v>12127</v>
      </c>
      <c r="H192" s="2342"/>
    </row>
    <row r="193" spans="1:8" outlineLevel="1" x14ac:dyDescent="0.2">
      <c r="A193" s="2353" t="s">
        <v>1261</v>
      </c>
      <c r="B193" s="2341" t="s">
        <v>1463</v>
      </c>
      <c r="C193" s="2354" t="s">
        <v>2315</v>
      </c>
      <c r="D193" s="2348" t="s">
        <v>2317</v>
      </c>
      <c r="E193" s="2341" t="s">
        <v>1264</v>
      </c>
      <c r="G193" s="2342">
        <v>78402</v>
      </c>
      <c r="H193" s="2342"/>
    </row>
    <row r="194" spans="1:8" outlineLevel="1" x14ac:dyDescent="0.2">
      <c r="A194" s="2355">
        <v>45167</v>
      </c>
      <c r="B194" s="2356" t="s">
        <v>2318</v>
      </c>
      <c r="C194" s="2357"/>
      <c r="D194" s="2357" t="s">
        <v>2319</v>
      </c>
      <c r="E194" s="2356"/>
      <c r="G194" s="2358">
        <v>90529</v>
      </c>
      <c r="H194" s="2342"/>
    </row>
    <row r="195" spans="1:8" outlineLevel="1" x14ac:dyDescent="0.2">
      <c r="A195" s="2341" t="s">
        <v>1255</v>
      </c>
      <c r="B195" s="2341" t="s">
        <v>2320</v>
      </c>
      <c r="C195" s="2348" t="s">
        <v>2321</v>
      </c>
      <c r="D195" s="2348" t="s">
        <v>2322</v>
      </c>
      <c r="E195" s="2341" t="s">
        <v>1358</v>
      </c>
      <c r="F195" s="2342">
        <v>4545444</v>
      </c>
      <c r="G195" s="2342">
        <v>37012</v>
      </c>
      <c r="H195" s="2342">
        <f>+F186-F195</f>
        <v>909091</v>
      </c>
    </row>
    <row r="196" spans="1:8" outlineLevel="1" x14ac:dyDescent="0.2">
      <c r="A196" s="2341" t="s">
        <v>1258</v>
      </c>
      <c r="B196" s="2341" t="s">
        <v>2323</v>
      </c>
      <c r="C196" s="2348" t="s">
        <v>2324</v>
      </c>
      <c r="D196" s="2348" t="s">
        <v>2325</v>
      </c>
      <c r="E196" s="2341" t="s">
        <v>1361</v>
      </c>
      <c r="F196" s="2342">
        <v>69526032</v>
      </c>
      <c r="G196" s="2342">
        <v>54213</v>
      </c>
      <c r="H196" s="2342">
        <f>+F187-F196</f>
        <v>426541</v>
      </c>
    </row>
    <row r="197" spans="1:8" outlineLevel="1" x14ac:dyDescent="0.2">
      <c r="A197" s="2341" t="s">
        <v>1384</v>
      </c>
      <c r="B197" s="2341" t="s">
        <v>2326</v>
      </c>
      <c r="C197" s="2348" t="s">
        <v>2200</v>
      </c>
      <c r="D197" s="2348" t="s">
        <v>809</v>
      </c>
      <c r="E197" s="2341" t="s">
        <v>1254</v>
      </c>
      <c r="F197" s="2342">
        <v>24905640</v>
      </c>
      <c r="G197" s="2342">
        <v>0</v>
      </c>
      <c r="H197" s="2342">
        <f>+F188-F197</f>
        <v>0</v>
      </c>
    </row>
    <row r="198" spans="1:8" outlineLevel="1" x14ac:dyDescent="0.2">
      <c r="A198" s="2341" t="s">
        <v>2327</v>
      </c>
      <c r="B198" s="2341" t="s">
        <v>2328</v>
      </c>
      <c r="C198" s="2359" t="s">
        <v>2487</v>
      </c>
      <c r="D198" s="2348" t="s">
        <v>2329</v>
      </c>
      <c r="E198" s="2341" t="s">
        <v>2488</v>
      </c>
      <c r="F198" s="2342">
        <v>100000000</v>
      </c>
      <c r="G198" s="2342">
        <v>7202</v>
      </c>
      <c r="H198" s="2342">
        <v>0</v>
      </c>
    </row>
    <row r="199" spans="1:8" outlineLevel="1" x14ac:dyDescent="0.2">
      <c r="A199" s="2341" t="s">
        <v>2330</v>
      </c>
      <c r="B199" s="2341" t="s">
        <v>2489</v>
      </c>
      <c r="C199" s="2348" t="s">
        <v>2331</v>
      </c>
      <c r="D199" s="2348" t="s">
        <v>2332</v>
      </c>
      <c r="E199" s="2341" t="s">
        <v>2490</v>
      </c>
      <c r="F199" s="2342">
        <v>14769265</v>
      </c>
      <c r="G199" s="2342">
        <v>4027</v>
      </c>
      <c r="H199" s="2342">
        <f>+F189+F190-F199</f>
        <v>56805</v>
      </c>
    </row>
    <row r="200" spans="1:8" outlineLevel="1" x14ac:dyDescent="0.2">
      <c r="A200" s="2349" t="s">
        <v>2333</v>
      </c>
      <c r="B200" s="2349"/>
      <c r="C200" s="2350" t="s">
        <v>2334</v>
      </c>
      <c r="D200" s="2350" t="s">
        <v>2335</v>
      </c>
      <c r="F200" s="2347">
        <f>SUM(F194:F199)</f>
        <v>213746381</v>
      </c>
      <c r="G200" s="2347">
        <f>SUM(G194:G199)</f>
        <v>192983</v>
      </c>
      <c r="H200" s="2347">
        <f t="shared" ref="H200" si="46">SUM(H194:H199)</f>
        <v>1392437</v>
      </c>
    </row>
    <row r="201" spans="1:8" outlineLevel="1" x14ac:dyDescent="0.2">
      <c r="A201" s="2341" t="s">
        <v>1255</v>
      </c>
      <c r="B201" s="2341" t="s">
        <v>2320</v>
      </c>
      <c r="C201" s="2348" t="s">
        <v>2336</v>
      </c>
      <c r="D201" s="2348" t="s">
        <v>2337</v>
      </c>
      <c r="E201" s="2341" t="s">
        <v>1358</v>
      </c>
      <c r="F201" s="2342">
        <v>3636353</v>
      </c>
      <c r="G201" s="2342">
        <v>29886</v>
      </c>
      <c r="H201" s="2342">
        <f>+F195-F201</f>
        <v>909091</v>
      </c>
    </row>
    <row r="202" spans="1:8" outlineLevel="1" x14ac:dyDescent="0.2">
      <c r="A202" s="2341" t="s">
        <v>1258</v>
      </c>
      <c r="B202" s="2341" t="s">
        <v>2323</v>
      </c>
      <c r="C202" s="2348" t="s">
        <v>2338</v>
      </c>
      <c r="D202" s="2348" t="s">
        <v>2339</v>
      </c>
      <c r="E202" s="2341" t="s">
        <v>1361</v>
      </c>
      <c r="F202" s="2342">
        <v>69099491</v>
      </c>
      <c r="G202" s="2342">
        <v>52144</v>
      </c>
      <c r="H202" s="2342">
        <f>+F196-F202</f>
        <v>426541</v>
      </c>
    </row>
    <row r="203" spans="1:8" outlineLevel="1" x14ac:dyDescent="0.2">
      <c r="A203" s="2341" t="s">
        <v>1384</v>
      </c>
      <c r="B203" s="2341" t="s">
        <v>2326</v>
      </c>
      <c r="C203" s="2348" t="s">
        <v>2340</v>
      </c>
      <c r="D203" s="2348" t="s">
        <v>2341</v>
      </c>
      <c r="E203" s="2341" t="s">
        <v>1254</v>
      </c>
      <c r="F203" s="2342">
        <v>24339600</v>
      </c>
      <c r="G203" s="2342">
        <v>122764</v>
      </c>
      <c r="H203" s="2342">
        <f>+F197-F203</f>
        <v>566040</v>
      </c>
    </row>
    <row r="204" spans="1:8" outlineLevel="1" x14ac:dyDescent="0.2">
      <c r="A204" s="2341" t="s">
        <v>2327</v>
      </c>
      <c r="B204" s="2341" t="s">
        <v>2328</v>
      </c>
      <c r="C204" s="2359" t="s">
        <v>2487</v>
      </c>
      <c r="D204" s="2348" t="s">
        <v>2342</v>
      </c>
      <c r="E204" s="2341" t="s">
        <v>2488</v>
      </c>
      <c r="F204" s="2342">
        <v>100000000</v>
      </c>
      <c r="G204" s="2342">
        <v>43927</v>
      </c>
      <c r="H204" s="2342">
        <f>+F198-F204</f>
        <v>0</v>
      </c>
    </row>
    <row r="205" spans="1:8" outlineLevel="1" x14ac:dyDescent="0.2">
      <c r="A205" s="2341" t="s">
        <v>2330</v>
      </c>
      <c r="B205" s="2341" t="s">
        <v>2489</v>
      </c>
      <c r="C205" s="2348" t="s">
        <v>2343</v>
      </c>
      <c r="D205" s="2348" t="s">
        <v>2344</v>
      </c>
      <c r="E205" s="2341" t="s">
        <v>2490</v>
      </c>
      <c r="F205" s="2342">
        <v>14712460</v>
      </c>
      <c r="G205" s="2342">
        <v>60184</v>
      </c>
      <c r="H205" s="2342">
        <f>+F199-F205</f>
        <v>56805</v>
      </c>
    </row>
    <row r="206" spans="1:8" outlineLevel="1" x14ac:dyDescent="0.2">
      <c r="A206" s="2349" t="s">
        <v>2345</v>
      </c>
      <c r="B206" s="2349"/>
      <c r="C206" s="2350" t="s">
        <v>2346</v>
      </c>
      <c r="D206" s="2350" t="s">
        <v>2347</v>
      </c>
      <c r="F206" s="2347">
        <f>SUM(F201:F205)</f>
        <v>211787904</v>
      </c>
      <c r="G206" s="2347">
        <f t="shared" ref="G206:H206" si="47">SUM(G201:G205)</f>
        <v>308905</v>
      </c>
      <c r="H206" s="2347">
        <f t="shared" si="47"/>
        <v>1958477</v>
      </c>
    </row>
    <row r="207" spans="1:8" outlineLevel="1" x14ac:dyDescent="0.2">
      <c r="A207" s="2341" t="s">
        <v>1255</v>
      </c>
      <c r="B207" s="2341" t="s">
        <v>2320</v>
      </c>
      <c r="C207" s="2348" t="s">
        <v>2415</v>
      </c>
      <c r="D207" s="2348" t="s">
        <v>2416</v>
      </c>
      <c r="E207" s="2341" t="s">
        <v>1358</v>
      </c>
      <c r="F207" s="2342">
        <f>+F201-H201</f>
        <v>2727262</v>
      </c>
      <c r="G207" s="2342">
        <v>24674</v>
      </c>
      <c r="H207" s="2342">
        <f>+F201-F207</f>
        <v>909091</v>
      </c>
    </row>
    <row r="208" spans="1:8" outlineLevel="1" x14ac:dyDescent="0.2">
      <c r="A208" s="2341" t="s">
        <v>1258</v>
      </c>
      <c r="B208" s="2341" t="s">
        <v>2323</v>
      </c>
      <c r="C208" s="2348" t="s">
        <v>2417</v>
      </c>
      <c r="D208" s="2348" t="s">
        <v>2418</v>
      </c>
      <c r="E208" s="2341" t="s">
        <v>1361</v>
      </c>
      <c r="F208" s="2342">
        <f>+F202-H202</f>
        <v>68672950</v>
      </c>
      <c r="G208" s="2342">
        <v>53552</v>
      </c>
      <c r="H208" s="2342">
        <f t="shared" ref="H208:H211" si="48">+F202-F208</f>
        <v>426541</v>
      </c>
    </row>
    <row r="209" spans="1:12" outlineLevel="1" x14ac:dyDescent="0.2">
      <c r="A209" s="2341" t="s">
        <v>1384</v>
      </c>
      <c r="B209" s="2341" t="s">
        <v>2326</v>
      </c>
      <c r="C209" s="2348" t="s">
        <v>2340</v>
      </c>
      <c r="D209" s="2348" t="s">
        <v>809</v>
      </c>
      <c r="E209" s="2341" t="s">
        <v>1254</v>
      </c>
      <c r="F209" s="2342">
        <v>24339600</v>
      </c>
      <c r="G209" s="2342">
        <v>0</v>
      </c>
      <c r="H209" s="2342">
        <f t="shared" si="48"/>
        <v>0</v>
      </c>
    </row>
    <row r="210" spans="1:12" outlineLevel="1" x14ac:dyDescent="0.2">
      <c r="A210" s="2341" t="s">
        <v>2327</v>
      </c>
      <c r="B210" s="2341" t="s">
        <v>2328</v>
      </c>
      <c r="C210" s="2359" t="s">
        <v>2487</v>
      </c>
      <c r="D210" s="2348" t="s">
        <v>2419</v>
      </c>
      <c r="E210" s="2341" t="s">
        <v>2488</v>
      </c>
      <c r="F210" s="2342">
        <f>+F204</f>
        <v>100000000</v>
      </c>
      <c r="G210" s="2342">
        <v>80810</v>
      </c>
      <c r="H210" s="2342">
        <f t="shared" si="48"/>
        <v>0</v>
      </c>
    </row>
    <row r="211" spans="1:12" outlineLevel="1" x14ac:dyDescent="0.2">
      <c r="A211" s="2341" t="s">
        <v>2330</v>
      </c>
      <c r="B211" s="2341" t="s">
        <v>2489</v>
      </c>
      <c r="C211" s="2348" t="s">
        <v>2420</v>
      </c>
      <c r="D211" s="2348" t="s">
        <v>2421</v>
      </c>
      <c r="E211" s="2341" t="s">
        <v>2490</v>
      </c>
      <c r="F211" s="2342">
        <f>+F205-H205</f>
        <v>14655655</v>
      </c>
      <c r="G211" s="2342">
        <v>61951</v>
      </c>
      <c r="H211" s="2342">
        <f t="shared" si="48"/>
        <v>56805</v>
      </c>
    </row>
    <row r="212" spans="1:12" outlineLevel="1" x14ac:dyDescent="0.2">
      <c r="A212" s="2349" t="s">
        <v>2445</v>
      </c>
      <c r="B212" s="2349"/>
      <c r="C212" s="2350" t="s">
        <v>2446</v>
      </c>
      <c r="D212" s="2350" t="s">
        <v>2447</v>
      </c>
      <c r="F212" s="2347">
        <f>SUM(F207:F211)</f>
        <v>210395467</v>
      </c>
      <c r="G212" s="2347">
        <f t="shared" ref="G212:H212" si="49">SUM(G207:G211)</f>
        <v>220987</v>
      </c>
      <c r="H212" s="2347">
        <f t="shared" si="49"/>
        <v>1392437</v>
      </c>
    </row>
    <row r="213" spans="1:12" outlineLevel="1" x14ac:dyDescent="0.2">
      <c r="A213" s="2341" t="s">
        <v>1255</v>
      </c>
      <c r="B213" s="2341" t="s">
        <v>2320</v>
      </c>
      <c r="C213" s="2348" t="s">
        <v>2448</v>
      </c>
      <c r="D213" s="2348" t="s">
        <v>2449</v>
      </c>
      <c r="E213" s="2341" t="s">
        <v>1358</v>
      </c>
      <c r="F213" s="2343">
        <v>1818171</v>
      </c>
      <c r="G213" s="2343">
        <v>17818</v>
      </c>
      <c r="H213" s="2343">
        <f>+F207-F213</f>
        <v>909091</v>
      </c>
    </row>
    <row r="214" spans="1:12" outlineLevel="1" x14ac:dyDescent="0.2">
      <c r="A214" s="2341" t="s">
        <v>1258</v>
      </c>
      <c r="B214" s="2341" t="s">
        <v>2323</v>
      </c>
      <c r="C214" s="2348" t="s">
        <v>2450</v>
      </c>
      <c r="D214" s="2348" t="s">
        <v>2451</v>
      </c>
      <c r="E214" s="2341" t="s">
        <v>1361</v>
      </c>
      <c r="F214" s="2343">
        <v>68246409</v>
      </c>
      <c r="G214" s="2343">
        <v>51504</v>
      </c>
      <c r="H214" s="2343">
        <f>+F208-F214</f>
        <v>426541</v>
      </c>
    </row>
    <row r="215" spans="1:12" outlineLevel="1" x14ac:dyDescent="0.2">
      <c r="A215" s="2341" t="s">
        <v>1384</v>
      </c>
      <c r="B215" s="2341" t="s">
        <v>2326</v>
      </c>
      <c r="C215" s="2348" t="s">
        <v>2340</v>
      </c>
      <c r="D215" s="2348" t="s">
        <v>809</v>
      </c>
      <c r="E215" s="2341" t="s">
        <v>1254</v>
      </c>
      <c r="F215" s="2343">
        <v>24339600</v>
      </c>
      <c r="G215" s="2343">
        <v>0</v>
      </c>
      <c r="H215" s="2343">
        <f>+F209-F215</f>
        <v>0</v>
      </c>
    </row>
    <row r="216" spans="1:12" outlineLevel="1" x14ac:dyDescent="0.2">
      <c r="A216" s="2341" t="s">
        <v>2327</v>
      </c>
      <c r="B216" s="2341" t="s">
        <v>2328</v>
      </c>
      <c r="C216" s="2360" t="s">
        <v>2491</v>
      </c>
      <c r="D216" s="2348" t="s">
        <v>2452</v>
      </c>
      <c r="E216" s="2341" t="s">
        <v>2488</v>
      </c>
      <c r="F216" s="2343">
        <v>100000000</v>
      </c>
      <c r="G216" s="2343">
        <v>133480</v>
      </c>
      <c r="H216" s="2343">
        <f>+F210-F216</f>
        <v>0</v>
      </c>
    </row>
    <row r="217" spans="1:12" outlineLevel="1" x14ac:dyDescent="0.2">
      <c r="A217" s="2341" t="s">
        <v>2330</v>
      </c>
      <c r="B217" s="2341" t="s">
        <v>2489</v>
      </c>
      <c r="C217" s="2348" t="s">
        <v>2453</v>
      </c>
      <c r="D217" s="2348" t="s">
        <v>2454</v>
      </c>
      <c r="E217" s="2341" t="s">
        <v>2490</v>
      </c>
      <c r="F217" s="2343">
        <v>14598851</v>
      </c>
      <c r="G217" s="2343">
        <v>59721</v>
      </c>
      <c r="H217" s="2343">
        <f>+F211-F217</f>
        <v>56804</v>
      </c>
    </row>
    <row r="218" spans="1:12" outlineLevel="1" x14ac:dyDescent="0.2">
      <c r="A218" s="2349" t="s">
        <v>2455</v>
      </c>
      <c r="B218" s="2349"/>
      <c r="C218" s="2350" t="s">
        <v>2456</v>
      </c>
      <c r="D218" s="2350" t="s">
        <v>2457</v>
      </c>
      <c r="F218" s="2361">
        <f>SUM(F213:F217)</f>
        <v>209003031</v>
      </c>
      <c r="G218" s="2361">
        <f t="shared" ref="G218:H218" si="50">SUM(G213:G217)</f>
        <v>262523</v>
      </c>
      <c r="H218" s="2361">
        <f t="shared" si="50"/>
        <v>1392436</v>
      </c>
    </row>
    <row r="219" spans="1:12" x14ac:dyDescent="0.2">
      <c r="A219" s="2341" t="s">
        <v>1255</v>
      </c>
      <c r="B219" s="2341" t="s">
        <v>2320</v>
      </c>
      <c r="C219" s="2348" t="s">
        <v>2448</v>
      </c>
      <c r="D219" s="2348" t="s">
        <v>809</v>
      </c>
      <c r="E219" s="2341" t="s">
        <v>1358</v>
      </c>
      <c r="F219" s="2343">
        <v>1818171</v>
      </c>
      <c r="G219" s="2343">
        <v>0</v>
      </c>
      <c r="H219" s="2343">
        <f>+F213-F219</f>
        <v>0</v>
      </c>
      <c r="J219" s="2342">
        <f>+F219</f>
        <v>1818171</v>
      </c>
      <c r="K219" s="2342">
        <f t="shared" ref="K219:L221" si="51">+G150+G156+G162+G168+G174+G180+G186+G195+G201+G207+G213+G219</f>
        <v>531882</v>
      </c>
      <c r="L219" s="2342">
        <f t="shared" si="51"/>
        <v>10000001</v>
      </c>
    </row>
    <row r="220" spans="1:12" x14ac:dyDescent="0.2">
      <c r="A220" s="2341" t="s">
        <v>1258</v>
      </c>
      <c r="B220" s="2341" t="s">
        <v>2323</v>
      </c>
      <c r="C220" s="2348" t="s">
        <v>2458</v>
      </c>
      <c r="D220" s="2348" t="s">
        <v>2459</v>
      </c>
      <c r="E220" s="2341" t="s">
        <v>1361</v>
      </c>
      <c r="F220" s="2343">
        <v>67819868</v>
      </c>
      <c r="G220" s="2343">
        <v>52890</v>
      </c>
      <c r="H220" s="2343">
        <f t="shared" ref="H220:H223" si="52">+F214-F220</f>
        <v>426541</v>
      </c>
      <c r="J220" s="2342">
        <f t="shared" ref="J220:J223" si="53">+F220</f>
        <v>67819868</v>
      </c>
      <c r="K220" s="2342">
        <f t="shared" si="51"/>
        <v>644049</v>
      </c>
      <c r="L220" s="2342">
        <f t="shared" si="51"/>
        <v>5118492</v>
      </c>
    </row>
    <row r="221" spans="1:12" x14ac:dyDescent="0.2">
      <c r="A221" s="2341" t="s">
        <v>1384</v>
      </c>
      <c r="B221" s="2341" t="s">
        <v>2326</v>
      </c>
      <c r="C221" s="2348" t="s">
        <v>2460</v>
      </c>
      <c r="D221" s="2348" t="s">
        <v>2461</v>
      </c>
      <c r="E221" s="2341" t="s">
        <v>1254</v>
      </c>
      <c r="F221" s="2343">
        <v>23773560</v>
      </c>
      <c r="G221" s="2343">
        <v>122610</v>
      </c>
      <c r="H221" s="2343">
        <f t="shared" si="52"/>
        <v>566040</v>
      </c>
      <c r="J221" s="2342">
        <f t="shared" si="53"/>
        <v>23773560</v>
      </c>
      <c r="K221" s="2342">
        <f t="shared" si="51"/>
        <v>497861</v>
      </c>
      <c r="L221" s="2342">
        <f t="shared" si="51"/>
        <v>2264160</v>
      </c>
    </row>
    <row r="222" spans="1:12" x14ac:dyDescent="0.2">
      <c r="A222" s="2341" t="s">
        <v>2327</v>
      </c>
      <c r="B222" s="2341" t="s">
        <v>2328</v>
      </c>
      <c r="C222" s="2360" t="s">
        <v>2491</v>
      </c>
      <c r="D222" s="2348" t="s">
        <v>2462</v>
      </c>
      <c r="E222" s="2341" t="s">
        <v>2488</v>
      </c>
      <c r="F222" s="2343">
        <v>47385571</v>
      </c>
      <c r="G222" s="2343">
        <v>124222</v>
      </c>
      <c r="H222" s="2343">
        <f t="shared" si="52"/>
        <v>52614429</v>
      </c>
      <c r="J222" s="2342">
        <f t="shared" si="53"/>
        <v>47385571</v>
      </c>
      <c r="K222" s="2342">
        <f>+G198+G204+G210+G216+G222</f>
        <v>389641</v>
      </c>
      <c r="L222" s="2342">
        <f>+H198+H204+H210+H216+H222</f>
        <v>52614429</v>
      </c>
    </row>
    <row r="223" spans="1:12" x14ac:dyDescent="0.2">
      <c r="A223" s="2341" t="s">
        <v>2330</v>
      </c>
      <c r="B223" s="2341" t="s">
        <v>2489</v>
      </c>
      <c r="C223" s="2348" t="s">
        <v>2463</v>
      </c>
      <c r="D223" s="2348" t="s">
        <v>2464</v>
      </c>
      <c r="E223" s="2341" t="s">
        <v>2490</v>
      </c>
      <c r="F223" s="2343">
        <v>14542045</v>
      </c>
      <c r="G223" s="2343">
        <v>61473</v>
      </c>
      <c r="H223" s="2343">
        <f t="shared" si="52"/>
        <v>56806</v>
      </c>
      <c r="J223" s="2342">
        <f t="shared" si="53"/>
        <v>14542045</v>
      </c>
      <c r="K223" s="2342">
        <f>+G154+G160+G166+G172+G178+G184+G190+G199+G205+G211+G217+G223+G194+G189+G183+G177+G171+G165+G159+G153</f>
        <v>1015095</v>
      </c>
      <c r="L223" s="2342">
        <f>+H154+H160+H166+H172+H178+H184+H190+H199+H205+H211+H217+H223+H194+H189+H183+H177+H171+H165+H159+H153</f>
        <v>801255</v>
      </c>
    </row>
    <row r="224" spans="1:12" x14ac:dyDescent="0.2">
      <c r="A224" s="2349" t="s">
        <v>2465</v>
      </c>
      <c r="B224" s="2349"/>
      <c r="C224" s="2350" t="s">
        <v>2466</v>
      </c>
      <c r="D224" s="2350" t="s">
        <v>2467</v>
      </c>
      <c r="F224" s="2361">
        <f>SUM(F219:F223)</f>
        <v>155339215</v>
      </c>
      <c r="G224" s="2361">
        <f t="shared" ref="G224:H224" si="54">SUM(G219:G223)</f>
        <v>361195</v>
      </c>
      <c r="H224" s="2361">
        <f t="shared" si="54"/>
        <v>53663816</v>
      </c>
      <c r="J224" s="2347">
        <f>SUM(J219:J223)</f>
        <v>155339215</v>
      </c>
      <c r="K224" s="2347">
        <f t="shared" ref="K224" si="55">SUM(K219:K223)</f>
        <v>3078528</v>
      </c>
      <c r="L224" s="2347">
        <f t="shared" ref="L224" si="56">SUM(L219:L223)</f>
        <v>70798337</v>
      </c>
    </row>
    <row r="225" spans="1:10" outlineLevel="1" x14ac:dyDescent="0.2">
      <c r="A225" s="2353" t="s">
        <v>1255</v>
      </c>
      <c r="B225" s="2353" t="s">
        <v>2320</v>
      </c>
      <c r="C225" s="2362" t="s">
        <v>809</v>
      </c>
      <c r="D225" s="2363" t="s">
        <v>2475</v>
      </c>
      <c r="E225" s="2341" t="s">
        <v>1358</v>
      </c>
      <c r="F225" s="2342">
        <v>0</v>
      </c>
      <c r="G225" s="2342">
        <v>18255</v>
      </c>
      <c r="H225" s="2343">
        <f>+F219-F225</f>
        <v>1818171</v>
      </c>
    </row>
    <row r="226" spans="1:10" outlineLevel="1" x14ac:dyDescent="0.2">
      <c r="A226" s="2341" t="s">
        <v>1258</v>
      </c>
      <c r="B226" s="2341" t="s">
        <v>2323</v>
      </c>
      <c r="C226" s="2364" t="s">
        <v>2476</v>
      </c>
      <c r="D226" s="2364" t="s">
        <v>2477</v>
      </c>
      <c r="E226" s="2341" t="s">
        <v>1361</v>
      </c>
      <c r="F226" s="2342">
        <v>67393327</v>
      </c>
      <c r="G226" s="2342">
        <v>52560</v>
      </c>
      <c r="H226" s="2343">
        <f t="shared" ref="H226:H229" si="57">+F220-F226</f>
        <v>426541</v>
      </c>
    </row>
    <row r="227" spans="1:10" outlineLevel="1" x14ac:dyDescent="0.2">
      <c r="A227" s="2341" t="s">
        <v>1384</v>
      </c>
      <c r="B227" s="2341" t="s">
        <v>2326</v>
      </c>
      <c r="C227" s="2364" t="s">
        <v>2460</v>
      </c>
      <c r="D227" s="2364" t="s">
        <v>809</v>
      </c>
      <c r="E227" s="2341" t="s">
        <v>1254</v>
      </c>
      <c r="F227" s="2342">
        <v>23773560</v>
      </c>
      <c r="G227" s="2342">
        <v>0</v>
      </c>
      <c r="H227" s="2343">
        <f t="shared" si="57"/>
        <v>0</v>
      </c>
    </row>
    <row r="228" spans="1:10" outlineLevel="1" x14ac:dyDescent="0.2">
      <c r="A228" s="2341" t="s">
        <v>2327</v>
      </c>
      <c r="B228" s="2341" t="s">
        <v>2328</v>
      </c>
      <c r="C228" s="2365" t="s">
        <v>2478</v>
      </c>
      <c r="D228" s="2364" t="s">
        <v>2479</v>
      </c>
      <c r="E228" s="2341" t="s">
        <v>2488</v>
      </c>
      <c r="F228" s="2342">
        <v>47385571</v>
      </c>
      <c r="G228" s="2342">
        <v>7581</v>
      </c>
      <c r="H228" s="2343">
        <f t="shared" si="57"/>
        <v>0</v>
      </c>
    </row>
    <row r="229" spans="1:10" outlineLevel="1" x14ac:dyDescent="0.2">
      <c r="A229" s="2341" t="s">
        <v>2330</v>
      </c>
      <c r="B229" s="2341" t="s">
        <v>2489</v>
      </c>
      <c r="C229" s="2364" t="s">
        <v>2480</v>
      </c>
      <c r="D229" s="2364" t="s">
        <v>2481</v>
      </c>
      <c r="E229" s="2341" t="s">
        <v>2490</v>
      </c>
      <c r="F229" s="2342">
        <v>14485240</v>
      </c>
      <c r="G229" s="2342">
        <v>61234</v>
      </c>
      <c r="H229" s="2343">
        <f t="shared" si="57"/>
        <v>56805</v>
      </c>
      <c r="J229" s="2341">
        <f>+H229*12</f>
        <v>681660</v>
      </c>
    </row>
    <row r="230" spans="1:10" outlineLevel="1" x14ac:dyDescent="0.2">
      <c r="A230" s="2349" t="s">
        <v>2482</v>
      </c>
      <c r="B230" s="2349"/>
      <c r="C230" s="2366" t="s">
        <v>2483</v>
      </c>
      <c r="D230" s="2366" t="s">
        <v>2484</v>
      </c>
      <c r="F230" s="2347">
        <f>SUM(F225:F229)</f>
        <v>153037698</v>
      </c>
      <c r="G230" s="2347">
        <f t="shared" ref="G230" si="58">SUM(G225:G229)</f>
        <v>139630</v>
      </c>
      <c r="H230" s="2347">
        <f>SUM(H225:H229)</f>
        <v>2301517</v>
      </c>
    </row>
    <row r="231" spans="1:10" outlineLevel="1" x14ac:dyDescent="0.2">
      <c r="A231" s="2341" t="s">
        <v>1258</v>
      </c>
      <c r="B231" s="2341" t="s">
        <v>2323</v>
      </c>
      <c r="C231" s="2364" t="s">
        <v>2496</v>
      </c>
      <c r="D231" s="2364" t="s">
        <v>2497</v>
      </c>
      <c r="E231" s="2341" t="s">
        <v>1361</v>
      </c>
      <c r="F231" s="2342">
        <v>66966786</v>
      </c>
      <c r="G231" s="2342">
        <v>48860</v>
      </c>
      <c r="H231" s="2343">
        <f>+F226-F231</f>
        <v>426541</v>
      </c>
    </row>
    <row r="232" spans="1:10" outlineLevel="1" x14ac:dyDescent="0.2">
      <c r="A232" s="2341" t="s">
        <v>1384</v>
      </c>
      <c r="B232" s="2341" t="s">
        <v>2326</v>
      </c>
      <c r="C232" s="2364" t="s">
        <v>2460</v>
      </c>
      <c r="D232" s="2364" t="s">
        <v>809</v>
      </c>
      <c r="E232" s="2341" t="s">
        <v>1254</v>
      </c>
      <c r="F232" s="2342">
        <v>23773560</v>
      </c>
      <c r="G232" s="2342">
        <v>0</v>
      </c>
      <c r="H232" s="2343">
        <f t="shared" ref="H232:H234" si="59">+F227-F232</f>
        <v>0</v>
      </c>
    </row>
    <row r="233" spans="1:10" outlineLevel="1" x14ac:dyDescent="0.2">
      <c r="A233" s="2341" t="s">
        <v>2327</v>
      </c>
      <c r="B233" s="2341" t="s">
        <v>2328</v>
      </c>
      <c r="C233" s="2364" t="s">
        <v>2478</v>
      </c>
      <c r="D233" s="2364" t="s">
        <v>2498</v>
      </c>
      <c r="E233" s="2341" t="s">
        <v>2488</v>
      </c>
      <c r="F233" s="2342">
        <v>47385571</v>
      </c>
      <c r="G233" s="2342">
        <v>13037</v>
      </c>
      <c r="H233" s="2343">
        <f t="shared" si="59"/>
        <v>0</v>
      </c>
    </row>
    <row r="234" spans="1:10" outlineLevel="1" x14ac:dyDescent="0.2">
      <c r="A234" s="2341" t="s">
        <v>2330</v>
      </c>
      <c r="B234" s="2341" t="s">
        <v>2489</v>
      </c>
      <c r="C234" s="2364" t="s">
        <v>2499</v>
      </c>
      <c r="D234" s="2364" t="s">
        <v>2500</v>
      </c>
      <c r="E234" s="2341" t="s">
        <v>2490</v>
      </c>
      <c r="F234" s="2342">
        <v>14428435</v>
      </c>
      <c r="G234" s="2342">
        <v>57059</v>
      </c>
      <c r="H234" s="2343">
        <f t="shared" si="59"/>
        <v>56805</v>
      </c>
    </row>
    <row r="235" spans="1:10" outlineLevel="1" x14ac:dyDescent="0.2">
      <c r="A235" s="2349" t="s">
        <v>2485</v>
      </c>
      <c r="B235" s="2349"/>
      <c r="C235" s="2366" t="s">
        <v>2501</v>
      </c>
      <c r="D235" s="2366" t="s">
        <v>2502</v>
      </c>
      <c r="F235" s="2347">
        <f>SUM(F231:F234)</f>
        <v>152554352</v>
      </c>
      <c r="G235" s="2347">
        <f t="shared" ref="G235:H235" si="60">SUM(G231:G234)</f>
        <v>118956</v>
      </c>
      <c r="H235" s="2347">
        <f t="shared" si="60"/>
        <v>483346</v>
      </c>
    </row>
    <row r="236" spans="1:10" outlineLevel="1" x14ac:dyDescent="0.2">
      <c r="A236" s="2341" t="s">
        <v>1258</v>
      </c>
      <c r="B236" s="2341" t="s">
        <v>2323</v>
      </c>
      <c r="C236" s="2364" t="s">
        <v>2534</v>
      </c>
      <c r="D236" s="2364" t="s">
        <v>2535</v>
      </c>
      <c r="E236" s="2341" t="s">
        <v>1361</v>
      </c>
      <c r="F236" s="2342">
        <v>66540245</v>
      </c>
      <c r="G236" s="2342">
        <v>51899</v>
      </c>
      <c r="H236" s="2343">
        <f>+F231-F236</f>
        <v>426541</v>
      </c>
    </row>
    <row r="237" spans="1:10" outlineLevel="1" x14ac:dyDescent="0.2">
      <c r="A237" s="2341" t="s">
        <v>1384</v>
      </c>
      <c r="B237" s="2341" t="s">
        <v>2326</v>
      </c>
      <c r="C237" s="2364" t="s">
        <v>2536</v>
      </c>
      <c r="D237" s="2364" t="s">
        <v>2537</v>
      </c>
      <c r="E237" s="2341" t="s">
        <v>1254</v>
      </c>
      <c r="F237" s="2342">
        <v>23207520</v>
      </c>
      <c r="G237" s="2342">
        <v>114608</v>
      </c>
      <c r="H237" s="2343">
        <f>+F232-F237</f>
        <v>566040</v>
      </c>
      <c r="J237" s="2341">
        <f>+H237*4</f>
        <v>2264160</v>
      </c>
    </row>
    <row r="238" spans="1:10" outlineLevel="1" x14ac:dyDescent="0.2">
      <c r="A238" s="2341" t="s">
        <v>2327</v>
      </c>
      <c r="B238" s="2341" t="s">
        <v>2328</v>
      </c>
      <c r="C238" s="2364" t="s">
        <v>2898</v>
      </c>
      <c r="D238" s="2364" t="s">
        <v>2538</v>
      </c>
      <c r="E238" s="2341" t="s">
        <v>2539</v>
      </c>
      <c r="F238" s="2342">
        <v>52487461</v>
      </c>
      <c r="G238" s="2342">
        <v>18943</v>
      </c>
      <c r="H238" s="2343">
        <v>0</v>
      </c>
    </row>
    <row r="239" spans="1:10" outlineLevel="1" x14ac:dyDescent="0.2">
      <c r="A239" s="2341" t="s">
        <v>2330</v>
      </c>
      <c r="B239" s="2341" t="s">
        <v>2489</v>
      </c>
      <c r="C239" s="2364" t="s">
        <v>2540</v>
      </c>
      <c r="D239" s="2364" t="s">
        <v>2541</v>
      </c>
      <c r="E239" s="2341" t="s">
        <v>2542</v>
      </c>
      <c r="F239" s="2342">
        <v>14371631</v>
      </c>
      <c r="G239" s="2342">
        <v>60755</v>
      </c>
      <c r="H239" s="2343">
        <f t="shared" ref="H239" si="61">+F234-F239</f>
        <v>56804</v>
      </c>
    </row>
    <row r="240" spans="1:10" outlineLevel="1" x14ac:dyDescent="0.2">
      <c r="A240" s="2349" t="s">
        <v>2503</v>
      </c>
      <c r="B240" s="2349"/>
      <c r="C240" s="2366" t="s">
        <v>2899</v>
      </c>
      <c r="D240" s="2366" t="s">
        <v>2556</v>
      </c>
      <c r="F240" s="2347">
        <f>SUM(F236:F239)</f>
        <v>156606857</v>
      </c>
      <c r="G240" s="2347">
        <f t="shared" ref="G240:H240" si="62">SUM(G236:G239)</f>
        <v>246205</v>
      </c>
      <c r="H240" s="2347">
        <f t="shared" si="62"/>
        <v>1049385</v>
      </c>
    </row>
    <row r="241" spans="1:11" outlineLevel="1" x14ac:dyDescent="0.2">
      <c r="A241" s="2341" t="s">
        <v>1258</v>
      </c>
      <c r="B241" s="2341" t="s">
        <v>2323</v>
      </c>
      <c r="C241" s="2364" t="s">
        <v>2549</v>
      </c>
      <c r="D241" s="2364" t="s">
        <v>2550</v>
      </c>
      <c r="E241" s="2341" t="s">
        <v>1361</v>
      </c>
      <c r="F241" s="2342">
        <v>66113704</v>
      </c>
      <c r="G241" s="2342">
        <v>49905</v>
      </c>
      <c r="H241" s="2343">
        <f>+F236-F241</f>
        <v>426541</v>
      </c>
    </row>
    <row r="242" spans="1:11" outlineLevel="1" x14ac:dyDescent="0.2">
      <c r="A242" s="2341" t="s">
        <v>1384</v>
      </c>
      <c r="B242" s="2341" t="s">
        <v>2326</v>
      </c>
      <c r="C242" s="2364" t="s">
        <v>2536</v>
      </c>
      <c r="D242" s="2364" t="s">
        <v>809</v>
      </c>
      <c r="E242" s="2341" t="s">
        <v>1254</v>
      </c>
      <c r="F242" s="2342">
        <v>23207520</v>
      </c>
      <c r="G242" s="2342">
        <v>0</v>
      </c>
      <c r="H242" s="2343">
        <f>+F237-F242</f>
        <v>0</v>
      </c>
    </row>
    <row r="243" spans="1:11" outlineLevel="1" x14ac:dyDescent="0.2">
      <c r="A243" s="2341" t="s">
        <v>2327</v>
      </c>
      <c r="B243" s="2341" t="s">
        <v>2328</v>
      </c>
      <c r="C243" s="2364" t="s">
        <v>2900</v>
      </c>
      <c r="D243" s="2364" t="s">
        <v>2551</v>
      </c>
      <c r="E243" s="2341" t="s">
        <v>2488</v>
      </c>
      <c r="F243" s="2342">
        <v>64146313</v>
      </c>
      <c r="G243" s="2342">
        <v>43989</v>
      </c>
      <c r="H243" s="2343">
        <v>0</v>
      </c>
    </row>
    <row r="244" spans="1:11" outlineLevel="1" x14ac:dyDescent="0.2">
      <c r="A244" s="2341" t="s">
        <v>2330</v>
      </c>
      <c r="B244" s="2341" t="s">
        <v>2489</v>
      </c>
      <c r="C244" s="2364" t="s">
        <v>2552</v>
      </c>
      <c r="D244" s="2364" t="s">
        <v>2553</v>
      </c>
      <c r="E244" s="2341" t="s">
        <v>2490</v>
      </c>
      <c r="F244" s="2342">
        <v>14314826</v>
      </c>
      <c r="G244" s="2342">
        <v>58564</v>
      </c>
      <c r="H244" s="2343">
        <f t="shared" ref="H244" si="63">+F239-F244</f>
        <v>56805</v>
      </c>
    </row>
    <row r="245" spans="1:11" outlineLevel="1" x14ac:dyDescent="0.2">
      <c r="A245" s="2349" t="s">
        <v>2554</v>
      </c>
      <c r="B245" s="2349"/>
      <c r="C245" s="2366" t="s">
        <v>2901</v>
      </c>
      <c r="D245" s="2366" t="s">
        <v>2557</v>
      </c>
      <c r="F245" s="2347">
        <f>SUM(F241:F244)</f>
        <v>167782363</v>
      </c>
      <c r="G245" s="2347">
        <f t="shared" ref="G245:H245" si="64">SUM(G241:G244)</f>
        <v>152458</v>
      </c>
      <c r="H245" s="2347">
        <f t="shared" si="64"/>
        <v>483346</v>
      </c>
    </row>
    <row r="246" spans="1:11" outlineLevel="1" x14ac:dyDescent="0.2">
      <c r="A246" s="2341" t="s">
        <v>1258</v>
      </c>
      <c r="B246" s="2341" t="s">
        <v>2323</v>
      </c>
      <c r="C246" s="2364" t="s">
        <v>2560</v>
      </c>
      <c r="D246" s="2364" t="s">
        <v>2561</v>
      </c>
      <c r="E246" s="2341" t="s">
        <v>1361</v>
      </c>
      <c r="F246" s="2342">
        <v>65687163</v>
      </c>
      <c r="G246" s="2342">
        <v>51238</v>
      </c>
      <c r="H246" s="2343">
        <f>+F241-F246</f>
        <v>426541</v>
      </c>
    </row>
    <row r="247" spans="1:11" outlineLevel="1" x14ac:dyDescent="0.2">
      <c r="A247" s="2341" t="s">
        <v>1384</v>
      </c>
      <c r="B247" s="2341" t="s">
        <v>2326</v>
      </c>
      <c r="C247" s="2364" t="s">
        <v>2536</v>
      </c>
      <c r="D247" s="2364" t="s">
        <v>809</v>
      </c>
      <c r="E247" s="2341" t="s">
        <v>1254</v>
      </c>
      <c r="F247" s="2342">
        <v>23207520</v>
      </c>
      <c r="G247" s="2342">
        <v>0</v>
      </c>
      <c r="H247" s="2343">
        <f>+F242-F247</f>
        <v>0</v>
      </c>
    </row>
    <row r="248" spans="1:11" outlineLevel="1" x14ac:dyDescent="0.2">
      <c r="A248" s="2341" t="s">
        <v>2327</v>
      </c>
      <c r="B248" s="2341" t="s">
        <v>2328</v>
      </c>
      <c r="C248" s="2364" t="s">
        <v>2902</v>
      </c>
      <c r="D248" s="2364" t="s">
        <v>2562</v>
      </c>
      <c r="E248" s="2341" t="s">
        <v>2488</v>
      </c>
      <c r="F248" s="2342">
        <v>72997128</v>
      </c>
      <c r="G248" s="2342">
        <v>65266</v>
      </c>
      <c r="H248" s="2343">
        <v>0</v>
      </c>
    </row>
    <row r="249" spans="1:11" outlineLevel="1" x14ac:dyDescent="0.2">
      <c r="A249" s="2341" t="s">
        <v>2330</v>
      </c>
      <c r="B249" s="2341" t="s">
        <v>2489</v>
      </c>
      <c r="C249" s="2364" t="s">
        <v>2563</v>
      </c>
      <c r="D249" s="2364" t="s">
        <v>2564</v>
      </c>
      <c r="E249" s="2341" t="s">
        <v>2490</v>
      </c>
      <c r="F249" s="2342">
        <v>14258021</v>
      </c>
      <c r="G249" s="2342">
        <v>60277</v>
      </c>
      <c r="H249" s="2343">
        <f t="shared" ref="H249" si="65">+F244-F249</f>
        <v>56805</v>
      </c>
    </row>
    <row r="250" spans="1:11" outlineLevel="1" x14ac:dyDescent="0.2">
      <c r="A250" s="2349" t="s">
        <v>2555</v>
      </c>
      <c r="B250" s="2349"/>
      <c r="C250" s="2366" t="s">
        <v>2903</v>
      </c>
      <c r="D250" s="2366" t="s">
        <v>2565</v>
      </c>
      <c r="F250" s="2347">
        <f>SUM(F246:F249)</f>
        <v>176149832</v>
      </c>
      <c r="G250" s="2347">
        <f t="shared" ref="G250:H250" si="66">SUM(G246:G249)</f>
        <v>176781</v>
      </c>
      <c r="H250" s="2347">
        <f t="shared" si="66"/>
        <v>483346</v>
      </c>
    </row>
    <row r="251" spans="1:11" outlineLevel="1" x14ac:dyDescent="0.2">
      <c r="A251" s="2341" t="s">
        <v>1258</v>
      </c>
      <c r="B251" s="2341" t="s">
        <v>2323</v>
      </c>
      <c r="C251" s="2364" t="s">
        <v>2568</v>
      </c>
      <c r="D251" s="2364" t="s">
        <v>2569</v>
      </c>
      <c r="E251" s="2341" t="s">
        <v>1361</v>
      </c>
      <c r="F251" s="2342">
        <v>65260622</v>
      </c>
      <c r="G251" s="2342">
        <v>49265</v>
      </c>
      <c r="H251" s="2343">
        <f>+F246-F251</f>
        <v>426541</v>
      </c>
    </row>
    <row r="252" spans="1:11" outlineLevel="1" x14ac:dyDescent="0.2">
      <c r="A252" s="2341" t="s">
        <v>1384</v>
      </c>
      <c r="B252" s="2341" t="s">
        <v>2326</v>
      </c>
      <c r="C252" s="2364" t="s">
        <v>2570</v>
      </c>
      <c r="D252" s="2364" t="s">
        <v>2571</v>
      </c>
      <c r="E252" s="2341" t="s">
        <v>1254</v>
      </c>
      <c r="F252" s="2342">
        <v>22641480</v>
      </c>
      <c r="G252" s="2342">
        <v>115650</v>
      </c>
      <c r="H252" s="2343">
        <f t="shared" ref="H252:H277" si="67">+F247-F252</f>
        <v>566040</v>
      </c>
    </row>
    <row r="253" spans="1:11" outlineLevel="1" x14ac:dyDescent="0.2">
      <c r="A253" s="2341" t="s">
        <v>2327</v>
      </c>
      <c r="B253" s="2341" t="s">
        <v>2328</v>
      </c>
      <c r="C253" s="2364" t="s">
        <v>2904</v>
      </c>
      <c r="D253" s="2364" t="s">
        <v>2572</v>
      </c>
      <c r="E253" s="2341" t="s">
        <v>2488</v>
      </c>
      <c r="F253" s="2342">
        <v>72997813</v>
      </c>
      <c r="G253" s="2342">
        <v>33249</v>
      </c>
      <c r="H253" s="2343">
        <v>0</v>
      </c>
    </row>
    <row r="254" spans="1:11" outlineLevel="1" x14ac:dyDescent="0.2">
      <c r="A254" s="2341" t="s">
        <v>2330</v>
      </c>
      <c r="B254" s="2341" t="s">
        <v>2489</v>
      </c>
      <c r="C254" s="2364" t="s">
        <v>2573</v>
      </c>
      <c r="D254" s="2364" t="s">
        <v>2574</v>
      </c>
      <c r="E254" s="2341" t="s">
        <v>2490</v>
      </c>
      <c r="F254" s="2342">
        <v>14201217</v>
      </c>
      <c r="G254" s="2342">
        <v>58101</v>
      </c>
      <c r="H254" s="2343">
        <f t="shared" si="67"/>
        <v>56804</v>
      </c>
    </row>
    <row r="255" spans="1:11" outlineLevel="1" x14ac:dyDescent="0.2">
      <c r="A255" s="2349" t="s">
        <v>2575</v>
      </c>
      <c r="B255" s="2349"/>
      <c r="C255" s="2366" t="s">
        <v>2905</v>
      </c>
      <c r="D255" s="2366" t="s">
        <v>2576</v>
      </c>
      <c r="F255" s="2347">
        <f>SUM(F251:F254)</f>
        <v>175101132</v>
      </c>
      <c r="G255" s="2347">
        <f t="shared" ref="G255:H255" si="68">SUM(G251:G254)</f>
        <v>256265</v>
      </c>
      <c r="H255" s="2347">
        <f t="shared" si="68"/>
        <v>1049385</v>
      </c>
    </row>
    <row r="256" spans="1:11" outlineLevel="1" x14ac:dyDescent="0.2">
      <c r="A256" s="2341" t="s">
        <v>1258</v>
      </c>
      <c r="B256" s="2341" t="s">
        <v>2323</v>
      </c>
      <c r="C256" s="2364" t="s">
        <v>2844</v>
      </c>
      <c r="D256" s="2364" t="s">
        <v>2845</v>
      </c>
      <c r="E256" s="2341" t="s">
        <v>1361</v>
      </c>
      <c r="F256" s="2342">
        <v>64834081</v>
      </c>
      <c r="G256" s="2342">
        <v>50576</v>
      </c>
      <c r="H256" s="2343">
        <f t="shared" si="67"/>
        <v>426541</v>
      </c>
      <c r="J256" s="2342">
        <f>+G225+G231+G236+G241+G246+G251+G256+G261+G266</f>
        <v>418549</v>
      </c>
      <c r="K256" s="2342">
        <f>+H225+H231+H236+H241+H246+H251+H256</f>
        <v>4377417</v>
      </c>
    </row>
    <row r="257" spans="1:16" outlineLevel="1" x14ac:dyDescent="0.2">
      <c r="A257" s="2341" t="s">
        <v>1384</v>
      </c>
      <c r="B257" s="2341" t="s">
        <v>2326</v>
      </c>
      <c r="C257" s="2364" t="s">
        <v>2570</v>
      </c>
      <c r="D257" s="2364" t="s">
        <v>809</v>
      </c>
      <c r="E257" s="2341" t="s">
        <v>1254</v>
      </c>
      <c r="F257" s="2342">
        <v>22641480</v>
      </c>
      <c r="G257" s="2342">
        <v>0</v>
      </c>
      <c r="H257" s="2343">
        <f t="shared" si="67"/>
        <v>0</v>
      </c>
      <c r="J257" s="2342">
        <f>+G226+G232+G237+G242+G247+G252+G257</f>
        <v>282818</v>
      </c>
      <c r="K257" s="2342">
        <f t="shared" ref="J257:K258" si="69">+H226+H232+H237+H242+H247+H252+H257</f>
        <v>1558621</v>
      </c>
    </row>
    <row r="258" spans="1:16" outlineLevel="1" x14ac:dyDescent="0.2">
      <c r="A258" s="2341" t="s">
        <v>2327</v>
      </c>
      <c r="B258" s="2341" t="s">
        <v>2328</v>
      </c>
      <c r="C258" s="2364" t="s">
        <v>2906</v>
      </c>
      <c r="D258" s="2364" t="s">
        <v>2846</v>
      </c>
      <c r="E258" s="2341" t="s">
        <v>2488</v>
      </c>
      <c r="F258" s="2342">
        <v>78777128</v>
      </c>
      <c r="G258" s="2342">
        <v>42996</v>
      </c>
      <c r="H258" s="2343">
        <v>0</v>
      </c>
      <c r="J258" s="2342">
        <f t="shared" si="69"/>
        <v>217480</v>
      </c>
      <c r="K258" s="2342">
        <f t="shared" si="69"/>
        <v>0</v>
      </c>
    </row>
    <row r="259" spans="1:16" outlineLevel="1" x14ac:dyDescent="0.2">
      <c r="A259" s="2341" t="s">
        <v>2330</v>
      </c>
      <c r="B259" s="2341" t="s">
        <v>2489</v>
      </c>
      <c r="C259" s="2364" t="s">
        <v>2847</v>
      </c>
      <c r="D259" s="2364" t="s">
        <v>2848</v>
      </c>
      <c r="E259" s="2341" t="s">
        <v>2490</v>
      </c>
      <c r="F259" s="2342">
        <v>14144411</v>
      </c>
      <c r="G259" s="2342">
        <v>59799</v>
      </c>
      <c r="H259" s="2343">
        <f t="shared" si="67"/>
        <v>56806</v>
      </c>
      <c r="J259" s="2342">
        <f>+G229+G234+G239+G244+G249+G254+G259</f>
        <v>415789</v>
      </c>
      <c r="K259" s="2342">
        <f>+H229+H234+H239+H244+H249+H254+H259</f>
        <v>397634</v>
      </c>
    </row>
    <row r="260" spans="1:16" outlineLevel="1" x14ac:dyDescent="0.2">
      <c r="A260" s="2349" t="s">
        <v>2849</v>
      </c>
      <c r="B260" s="2349"/>
      <c r="C260" s="2366" t="s">
        <v>2907</v>
      </c>
      <c r="D260" s="2366" t="s">
        <v>2850</v>
      </c>
      <c r="F260" s="2347">
        <f>SUM(F256:F259)</f>
        <v>180397100</v>
      </c>
      <c r="G260" s="2347">
        <f t="shared" ref="G260:H260" si="70">SUM(G256:G259)</f>
        <v>153371</v>
      </c>
      <c r="H260" s="2347">
        <f t="shared" si="70"/>
        <v>483347</v>
      </c>
    </row>
    <row r="261" spans="1:16" outlineLevel="1" x14ac:dyDescent="0.2">
      <c r="A261" s="2341" t="s">
        <v>1258</v>
      </c>
      <c r="B261" s="2341" t="s">
        <v>2323</v>
      </c>
      <c r="C261" s="2364" t="s">
        <v>2884</v>
      </c>
      <c r="D261" s="2364" t="s">
        <v>2885</v>
      </c>
      <c r="E261" s="2341" t="s">
        <v>1361</v>
      </c>
      <c r="F261" s="2342">
        <v>64407540</v>
      </c>
      <c r="G261" s="2342">
        <v>50246</v>
      </c>
      <c r="H261" s="2343">
        <f t="shared" si="67"/>
        <v>426541</v>
      </c>
    </row>
    <row r="262" spans="1:16" outlineLevel="1" x14ac:dyDescent="0.2">
      <c r="A262" s="2341" t="s">
        <v>1384</v>
      </c>
      <c r="B262" s="2341" t="s">
        <v>2326</v>
      </c>
      <c r="C262" s="2364" t="s">
        <v>2570</v>
      </c>
      <c r="D262" s="2364" t="s">
        <v>809</v>
      </c>
      <c r="E262" s="2341" t="s">
        <v>1254</v>
      </c>
      <c r="F262" s="2342">
        <v>22641480</v>
      </c>
      <c r="G262" s="2342">
        <v>0</v>
      </c>
      <c r="H262" s="2343">
        <f t="shared" si="67"/>
        <v>0</v>
      </c>
    </row>
    <row r="263" spans="1:16" x14ac:dyDescent="0.2">
      <c r="A263" s="2341" t="s">
        <v>2327</v>
      </c>
      <c r="B263" s="2341" t="s">
        <v>2328</v>
      </c>
      <c r="C263" s="2364" t="s">
        <v>2886</v>
      </c>
      <c r="D263" s="2364" t="s">
        <v>2887</v>
      </c>
      <c r="E263" s="2341" t="s">
        <v>2488</v>
      </c>
      <c r="F263" s="2342">
        <v>78945574</v>
      </c>
      <c r="G263" s="2342">
        <v>50292</v>
      </c>
      <c r="H263" s="2343">
        <v>0</v>
      </c>
    </row>
    <row r="264" spans="1:16" x14ac:dyDescent="0.2">
      <c r="A264" s="2341" t="s">
        <v>2330</v>
      </c>
      <c r="B264" s="2341" t="s">
        <v>2489</v>
      </c>
      <c r="C264" s="2364" t="s">
        <v>2888</v>
      </c>
      <c r="D264" s="2364" t="s">
        <v>2889</v>
      </c>
      <c r="E264" s="2341" t="s">
        <v>2490</v>
      </c>
      <c r="F264" s="2342">
        <v>14087606</v>
      </c>
      <c r="G264" s="2342">
        <v>59559</v>
      </c>
      <c r="H264" s="2343">
        <f t="shared" si="67"/>
        <v>56805</v>
      </c>
    </row>
    <row r="265" spans="1:16" x14ac:dyDescent="0.2">
      <c r="A265" s="2349" t="s">
        <v>2890</v>
      </c>
      <c r="B265" s="2349"/>
      <c r="C265" s="2366" t="s">
        <v>2891</v>
      </c>
      <c r="D265" s="2366" t="s">
        <v>2892</v>
      </c>
      <c r="F265" s="2347">
        <f>SUM(F261:F264)</f>
        <v>180082200</v>
      </c>
      <c r="G265" s="2347">
        <f t="shared" ref="G265:H265" si="71">SUM(G261:G264)</f>
        <v>160097</v>
      </c>
      <c r="H265" s="2347">
        <f t="shared" si="71"/>
        <v>483346</v>
      </c>
    </row>
    <row r="266" spans="1:16" x14ac:dyDescent="0.2">
      <c r="A266" s="2341" t="s">
        <v>1258</v>
      </c>
      <c r="B266" s="2341" t="s">
        <v>2323</v>
      </c>
      <c r="C266" s="2364" t="s">
        <v>2908</v>
      </c>
      <c r="D266" s="2364" t="s">
        <v>2909</v>
      </c>
      <c r="E266" s="2341" t="s">
        <v>1361</v>
      </c>
      <c r="F266" s="2342">
        <v>63980999</v>
      </c>
      <c r="G266" s="2342">
        <v>48305</v>
      </c>
      <c r="H266" s="2343">
        <f t="shared" si="67"/>
        <v>426541</v>
      </c>
      <c r="I266" s="2342"/>
    </row>
    <row r="267" spans="1:16" x14ac:dyDescent="0.2">
      <c r="A267" s="2341" t="s">
        <v>1384</v>
      </c>
      <c r="B267" s="2341" t="s">
        <v>2326</v>
      </c>
      <c r="C267" s="2364" t="s">
        <v>2910</v>
      </c>
      <c r="D267" s="2364" t="s">
        <v>2911</v>
      </c>
      <c r="E267" s="2341" t="s">
        <v>1254</v>
      </c>
      <c r="F267" s="2342">
        <v>22075440</v>
      </c>
      <c r="G267" s="2342">
        <v>112830</v>
      </c>
      <c r="H267" s="2343">
        <f t="shared" si="67"/>
        <v>566040</v>
      </c>
      <c r="I267" s="2342"/>
    </row>
    <row r="268" spans="1:16" x14ac:dyDescent="0.2">
      <c r="A268" s="2341" t="s">
        <v>2327</v>
      </c>
      <c r="B268" s="2341" t="s">
        <v>2328</v>
      </c>
      <c r="C268" s="2364" t="s">
        <v>2912</v>
      </c>
      <c r="D268" s="2364" t="s">
        <v>2913</v>
      </c>
      <c r="E268" s="2341" t="s">
        <v>2488</v>
      </c>
      <c r="F268" s="2342">
        <v>13920622</v>
      </c>
      <c r="G268" s="2342">
        <v>53951</v>
      </c>
      <c r="H268" s="2343">
        <v>0</v>
      </c>
      <c r="I268" s="2342"/>
    </row>
    <row r="269" spans="1:16" x14ac:dyDescent="0.2">
      <c r="A269" s="2341" t="s">
        <v>2330</v>
      </c>
      <c r="B269" s="2341" t="s">
        <v>2489</v>
      </c>
      <c r="C269" s="2364" t="s">
        <v>2914</v>
      </c>
      <c r="D269" s="2364" t="s">
        <v>2915</v>
      </c>
      <c r="E269" s="2341" t="s">
        <v>2490</v>
      </c>
      <c r="F269" s="2342">
        <v>14030801</v>
      </c>
      <c r="G269" s="2342">
        <v>57406</v>
      </c>
      <c r="H269" s="2343">
        <f t="shared" si="67"/>
        <v>56805</v>
      </c>
    </row>
    <row r="270" spans="1:16" x14ac:dyDescent="0.2">
      <c r="A270" s="2349" t="s">
        <v>2916</v>
      </c>
      <c r="B270" s="2349"/>
      <c r="C270" s="2366" t="s">
        <v>2917</v>
      </c>
      <c r="D270" s="2366" t="s">
        <v>2918</v>
      </c>
      <c r="F270" s="2347">
        <f>SUM(F266:F269)</f>
        <v>114007862</v>
      </c>
      <c r="G270" s="2347">
        <f t="shared" ref="G270:H270" si="72">SUM(G266:G269)</f>
        <v>272492</v>
      </c>
      <c r="H270" s="2347">
        <f t="shared" si="72"/>
        <v>1049386</v>
      </c>
    </row>
    <row r="271" spans="1:16" x14ac:dyDescent="0.2">
      <c r="A271" s="2341" t="s">
        <v>1258</v>
      </c>
      <c r="B271" s="2341" t="s">
        <v>2323</v>
      </c>
      <c r="C271" s="2364" t="s">
        <v>2928</v>
      </c>
      <c r="D271" s="2364" t="s">
        <v>2929</v>
      </c>
      <c r="E271" s="2341" t="s">
        <v>1361</v>
      </c>
      <c r="F271" s="2342">
        <v>63554458</v>
      </c>
      <c r="G271" s="2342">
        <v>49585</v>
      </c>
      <c r="H271" s="2343">
        <f t="shared" si="67"/>
        <v>426541</v>
      </c>
      <c r="O271" s="2342">
        <f>+G266-I266</f>
        <v>48305</v>
      </c>
      <c r="P271" s="2342">
        <f>+G269-I268</f>
        <v>57406</v>
      </c>
    </row>
    <row r="272" spans="1:16" x14ac:dyDescent="0.2">
      <c r="A272" s="2341" t="s">
        <v>1384</v>
      </c>
      <c r="B272" s="2341" t="s">
        <v>2326</v>
      </c>
      <c r="C272" s="2364" t="s">
        <v>2910</v>
      </c>
      <c r="D272" s="2364" t="s">
        <v>809</v>
      </c>
      <c r="E272" s="2341" t="s">
        <v>1254</v>
      </c>
      <c r="F272" s="2342">
        <v>22075440</v>
      </c>
      <c r="G272" s="2342">
        <v>0</v>
      </c>
      <c r="H272" s="2343">
        <f t="shared" si="67"/>
        <v>0</v>
      </c>
      <c r="O272" s="2342">
        <f>+O271-I266</f>
        <v>48305</v>
      </c>
      <c r="P272" s="2342">
        <f>+P271-I268</f>
        <v>57406</v>
      </c>
    </row>
    <row r="273" spans="1:16" x14ac:dyDescent="0.2">
      <c r="A273" s="2341" t="s">
        <v>2327</v>
      </c>
      <c r="B273" s="2341" t="s">
        <v>2328</v>
      </c>
      <c r="C273" s="2364" t="s">
        <v>2912</v>
      </c>
      <c r="D273" s="2364" t="s">
        <v>2930</v>
      </c>
      <c r="E273" s="2341" t="s">
        <v>2488</v>
      </c>
      <c r="F273" s="2342">
        <v>13920622</v>
      </c>
      <c r="G273" s="2342">
        <v>58617</v>
      </c>
      <c r="H273" s="2343">
        <f t="shared" si="67"/>
        <v>0</v>
      </c>
      <c r="N273" s="2342">
        <f>+J256+O271+O272+O273</f>
        <v>563464</v>
      </c>
      <c r="O273" s="2342">
        <f>+O272-I266</f>
        <v>48305</v>
      </c>
      <c r="P273" s="2342">
        <f>+P272-I268</f>
        <v>57406</v>
      </c>
    </row>
    <row r="274" spans="1:16" x14ac:dyDescent="0.2">
      <c r="A274" s="2341" t="s">
        <v>2330</v>
      </c>
      <c r="B274" s="2341" t="s">
        <v>2489</v>
      </c>
      <c r="C274" s="2364" t="s">
        <v>2931</v>
      </c>
      <c r="D274" s="2364" t="s">
        <v>2932</v>
      </c>
      <c r="E274" s="2341" t="s">
        <v>2490</v>
      </c>
      <c r="F274" s="2342">
        <v>13973996</v>
      </c>
      <c r="G274" s="2342">
        <v>59081</v>
      </c>
      <c r="H274" s="2343">
        <f t="shared" si="67"/>
        <v>56805</v>
      </c>
      <c r="O274" s="2342"/>
      <c r="P274" s="2342">
        <f>+J259+G264+G269+P271+P272+P273</f>
        <v>704972</v>
      </c>
    </row>
    <row r="275" spans="1:16" x14ac:dyDescent="0.2">
      <c r="A275" s="2349" t="s">
        <v>2933</v>
      </c>
      <c r="B275" s="2349"/>
      <c r="C275" s="2366" t="s">
        <v>2934</v>
      </c>
      <c r="D275" s="2366" t="s">
        <v>2935</v>
      </c>
      <c r="F275" s="2347">
        <f>SUM(F271:F274)</f>
        <v>113524516</v>
      </c>
      <c r="G275" s="2347">
        <f t="shared" ref="G275:H275" si="73">SUM(G271:G274)</f>
        <v>167283</v>
      </c>
      <c r="H275" s="2347">
        <f t="shared" si="73"/>
        <v>483346</v>
      </c>
      <c r="O275" s="2342">
        <f>+G267-I267</f>
        <v>112830</v>
      </c>
    </row>
    <row r="276" spans="1:16" ht="12.75" x14ac:dyDescent="0.2">
      <c r="A276" t="s">
        <v>1258</v>
      </c>
      <c r="B276" t="s">
        <v>2323</v>
      </c>
      <c r="C276" s="3042" t="s">
        <v>2952</v>
      </c>
      <c r="D276" s="3042" t="s">
        <v>2953</v>
      </c>
      <c r="E276" t="s">
        <v>1361</v>
      </c>
      <c r="F276" s="2342">
        <v>63127917</v>
      </c>
      <c r="G276" s="2342">
        <v>47665</v>
      </c>
      <c r="H276" s="2343">
        <f>+F271-F276</f>
        <v>426541</v>
      </c>
      <c r="O276" s="2342">
        <f>+J257+O275+G267</f>
        <v>508478</v>
      </c>
    </row>
    <row r="277" spans="1:16" ht="12.75" x14ac:dyDescent="0.2">
      <c r="A277" t="s">
        <v>1384</v>
      </c>
      <c r="B277" t="s">
        <v>2326</v>
      </c>
      <c r="C277" s="3042" t="s">
        <v>2910</v>
      </c>
      <c r="D277" s="3042" t="s">
        <v>809</v>
      </c>
      <c r="E277" t="s">
        <v>1254</v>
      </c>
      <c r="F277" s="2342">
        <v>22075440</v>
      </c>
      <c r="G277" s="2342">
        <v>0</v>
      </c>
      <c r="H277" s="2343">
        <f t="shared" si="67"/>
        <v>0</v>
      </c>
    </row>
    <row r="278" spans="1:16" ht="12.75" x14ac:dyDescent="0.2">
      <c r="A278" t="s">
        <v>2327</v>
      </c>
      <c r="B278" t="s">
        <v>2328</v>
      </c>
      <c r="C278" s="3042" t="s">
        <v>2912</v>
      </c>
      <c r="D278" s="3042" t="s">
        <v>2954</v>
      </c>
      <c r="E278" t="s">
        <v>2955</v>
      </c>
      <c r="F278" s="2342">
        <v>13920622</v>
      </c>
      <c r="G278" s="2342">
        <v>56726</v>
      </c>
      <c r="H278" s="2343">
        <f>+F273-F278</f>
        <v>0</v>
      </c>
    </row>
    <row r="279" spans="1:16" ht="12.75" x14ac:dyDescent="0.2">
      <c r="A279" t="s">
        <v>2330</v>
      </c>
      <c r="B279" t="s">
        <v>2956</v>
      </c>
      <c r="C279" s="3042" t="s">
        <v>2957</v>
      </c>
      <c r="D279" s="3042" t="s">
        <v>2958</v>
      </c>
      <c r="E279" t="s">
        <v>2959</v>
      </c>
      <c r="F279" s="2342">
        <v>13917192</v>
      </c>
      <c r="G279" s="2342">
        <v>56944</v>
      </c>
      <c r="H279" s="2343">
        <f>+F274-F279</f>
        <v>56804</v>
      </c>
    </row>
    <row r="280" spans="1:16" ht="12.75" x14ac:dyDescent="0.2">
      <c r="A280" s="1180" t="s">
        <v>2960</v>
      </c>
      <c r="B280" s="1180"/>
      <c r="C280" s="3043" t="s">
        <v>2961</v>
      </c>
      <c r="D280" s="3043" t="s">
        <v>2962</v>
      </c>
      <c r="E280"/>
      <c r="F280" s="2347">
        <f>SUM(F276:F279)</f>
        <v>113041171</v>
      </c>
      <c r="G280" s="2347">
        <f t="shared" ref="G280:H280" si="74">SUM(G276:G279)</f>
        <v>161335</v>
      </c>
      <c r="H280" s="2347">
        <f t="shared" si="74"/>
        <v>483345</v>
      </c>
    </row>
    <row r="281" spans="1:16" x14ac:dyDescent="0.2">
      <c r="C281" s="2348"/>
      <c r="D281" s="2348"/>
    </row>
    <row r="282" spans="1:16" x14ac:dyDescent="0.2">
      <c r="C282" s="2348"/>
      <c r="D282" s="2348"/>
    </row>
    <row r="283" spans="1:16" x14ac:dyDescent="0.2">
      <c r="C283" s="2348"/>
      <c r="D283" s="2348"/>
    </row>
    <row r="284" spans="1:16" x14ac:dyDescent="0.2">
      <c r="C284" s="2348"/>
      <c r="D284" s="2348"/>
    </row>
    <row r="285" spans="1:16" x14ac:dyDescent="0.2">
      <c r="C285" s="2348"/>
      <c r="D285" s="2348"/>
    </row>
    <row r="286" spans="1:16" x14ac:dyDescent="0.2">
      <c r="C286" s="2348"/>
      <c r="D286" s="2348"/>
    </row>
    <row r="287" spans="1:16" x14ac:dyDescent="0.2">
      <c r="C287" s="2348"/>
      <c r="D287" s="2348"/>
    </row>
    <row r="288" spans="1:16" x14ac:dyDescent="0.2">
      <c r="C288" s="2348"/>
      <c r="D288" s="2348"/>
    </row>
    <row r="289" spans="3:4" x14ac:dyDescent="0.2">
      <c r="C289" s="2348"/>
      <c r="D289" s="2348"/>
    </row>
    <row r="290" spans="3:4" x14ac:dyDescent="0.2">
      <c r="C290" s="2348"/>
      <c r="D290" s="2348"/>
    </row>
    <row r="291" spans="3:4" x14ac:dyDescent="0.2">
      <c r="C291" s="2348"/>
      <c r="D291" s="2348"/>
    </row>
    <row r="292" spans="3:4" x14ac:dyDescent="0.2">
      <c r="C292" s="2348"/>
      <c r="D292" s="2348"/>
    </row>
    <row r="293" spans="3:4" x14ac:dyDescent="0.2">
      <c r="C293" s="2348"/>
      <c r="D293" s="2348"/>
    </row>
    <row r="294" spans="3:4" x14ac:dyDescent="0.2">
      <c r="C294" s="2348"/>
      <c r="D294" s="2348"/>
    </row>
    <row r="295" spans="3:4" x14ac:dyDescent="0.2">
      <c r="C295" s="2348"/>
      <c r="D295" s="2348"/>
    </row>
    <row r="296" spans="3:4" x14ac:dyDescent="0.2">
      <c r="C296" s="2348"/>
      <c r="D296" s="2348"/>
    </row>
    <row r="297" spans="3:4" x14ac:dyDescent="0.2">
      <c r="C297" s="2348"/>
      <c r="D297" s="2348"/>
    </row>
    <row r="298" spans="3:4" x14ac:dyDescent="0.2">
      <c r="C298" s="2348"/>
      <c r="D298" s="2348"/>
    </row>
    <row r="299" spans="3:4" x14ac:dyDescent="0.2">
      <c r="C299" s="2348"/>
      <c r="D299" s="2348"/>
    </row>
    <row r="300" spans="3:4" x14ac:dyDescent="0.2">
      <c r="C300" s="2348"/>
      <c r="D300" s="2348"/>
    </row>
    <row r="301" spans="3:4" x14ac:dyDescent="0.2">
      <c r="C301" s="2348"/>
      <c r="D301" s="2348"/>
    </row>
    <row r="302" spans="3:4" x14ac:dyDescent="0.2">
      <c r="C302" s="2348"/>
      <c r="D302" s="2348"/>
    </row>
    <row r="303" spans="3:4" x14ac:dyDescent="0.2">
      <c r="C303" s="2348"/>
      <c r="D303" s="2348"/>
    </row>
    <row r="304" spans="3:4" x14ac:dyDescent="0.2">
      <c r="C304" s="2348"/>
      <c r="D304" s="2348"/>
    </row>
    <row r="305" spans="3:4" x14ac:dyDescent="0.2">
      <c r="C305" s="2348"/>
      <c r="D305" s="2348"/>
    </row>
  </sheetData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0866141732283472" right="0.70866141732283472" top="0.78740157480314965" bottom="0.78740157480314965" header="0.31496062992125984" footer="0.31496062992125984"/>
  <pageSetup paperSize="9" scale="85" fitToHeight="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N15" sqref="N15"/>
    </sheetView>
  </sheetViews>
  <sheetFormatPr defaultColWidth="8.7109375" defaultRowHeight="12" x14ac:dyDescent="0.2"/>
  <cols>
    <col min="1" max="1" width="36.7109375" style="1632" bestFit="1" customWidth="1"/>
    <col min="2" max="2" width="10" style="1633" bestFit="1" customWidth="1"/>
    <col min="3" max="3" width="9" style="1633" bestFit="1" customWidth="1"/>
    <col min="4" max="4" width="4.140625" style="3026" bestFit="1" customWidth="1"/>
    <col min="5" max="9" width="6.7109375" style="1632" bestFit="1" customWidth="1"/>
    <col min="10" max="10" width="6.7109375" style="1632" customWidth="1"/>
    <col min="11" max="11" width="7.42578125" style="1632" bestFit="1" customWidth="1"/>
    <col min="12" max="15" width="6.7109375" style="1632" bestFit="1" customWidth="1"/>
    <col min="16" max="16" width="7" style="1632" bestFit="1" customWidth="1"/>
    <col min="17" max="17" width="8" style="1637" bestFit="1" customWidth="1"/>
    <col min="18" max="18" width="9" style="3028" bestFit="1" customWidth="1"/>
    <col min="19" max="19" width="12.5703125" style="1632" bestFit="1" customWidth="1"/>
    <col min="20" max="21" width="8.7109375" style="1632"/>
    <col min="22" max="22" width="9.5703125" style="1632" bestFit="1" customWidth="1"/>
    <col min="23" max="16384" width="8.7109375" style="1632"/>
  </cols>
  <sheetData>
    <row r="1" spans="1:22" ht="13.15" customHeight="1" x14ac:dyDescent="0.2">
      <c r="Q1" s="3027">
        <v>2023</v>
      </c>
    </row>
    <row r="2" spans="1:22" x14ac:dyDescent="0.2">
      <c r="B2" s="1636" t="s">
        <v>2021</v>
      </c>
      <c r="C2" s="1636" t="s">
        <v>2022</v>
      </c>
      <c r="D2" s="3029" t="s">
        <v>801</v>
      </c>
      <c r="E2" s="1636" t="s">
        <v>609</v>
      </c>
      <c r="F2" s="1636" t="s">
        <v>610</v>
      </c>
      <c r="G2" s="1636" t="s">
        <v>611</v>
      </c>
      <c r="H2" s="1636" t="s">
        <v>612</v>
      </c>
      <c r="I2" s="1636" t="s">
        <v>613</v>
      </c>
      <c r="J2" s="1636" t="s">
        <v>188</v>
      </c>
      <c r="K2" s="1636" t="s">
        <v>189</v>
      </c>
      <c r="L2" s="1636" t="s">
        <v>614</v>
      </c>
      <c r="M2" s="1636" t="s">
        <v>615</v>
      </c>
      <c r="N2" s="1636" t="s">
        <v>616</v>
      </c>
      <c r="O2" s="1636" t="s">
        <v>617</v>
      </c>
      <c r="P2" s="1636" t="s">
        <v>618</v>
      </c>
      <c r="Q2" s="1637" t="s">
        <v>777</v>
      </c>
      <c r="R2" s="3028" t="s">
        <v>1485</v>
      </c>
    </row>
    <row r="3" spans="1:22" x14ac:dyDescent="0.2">
      <c r="B3" s="1636"/>
      <c r="C3" s="1636"/>
      <c r="E3" s="3030">
        <f>+E4/(B4-C4)</f>
        <v>7.3789900359159492E-3</v>
      </c>
      <c r="F3" s="3028"/>
      <c r="G3" s="3028"/>
      <c r="H3" s="3028"/>
      <c r="I3" s="3028"/>
      <c r="J3" s="3028"/>
      <c r="K3" s="3028"/>
      <c r="L3" s="3028"/>
      <c r="M3" s="3028"/>
      <c r="N3" s="3028"/>
      <c r="O3" s="3028"/>
      <c r="P3" s="3028"/>
    </row>
    <row r="4" spans="1:22" x14ac:dyDescent="0.2">
      <c r="A4" s="1633" t="s">
        <v>1358</v>
      </c>
      <c r="B4" s="1633">
        <v>11818172</v>
      </c>
      <c r="C4" s="1633">
        <v>909091</v>
      </c>
      <c r="D4" s="3031">
        <v>7.51</v>
      </c>
      <c r="E4" s="1632">
        <v>80498</v>
      </c>
      <c r="F4" s="1632">
        <v>67115</v>
      </c>
      <c r="G4" s="1632">
        <v>68113</v>
      </c>
      <c r="H4" s="1632">
        <v>59924</v>
      </c>
      <c r="I4" s="1632">
        <v>55729</v>
      </c>
      <c r="J4" s="1632">
        <v>47878</v>
      </c>
      <c r="K4" s="1632">
        <v>43235</v>
      </c>
      <c r="L4" s="1632">
        <v>37012</v>
      </c>
      <c r="M4" s="1632">
        <v>29886</v>
      </c>
      <c r="N4" s="1632">
        <v>24674</v>
      </c>
      <c r="O4" s="1632">
        <v>17818</v>
      </c>
      <c r="P4" s="1632">
        <v>0</v>
      </c>
      <c r="Q4" s="1637">
        <f>SUM(E4:P4)</f>
        <v>531882</v>
      </c>
      <c r="R4" s="3028">
        <f>+C4*12</f>
        <v>10909092</v>
      </c>
      <c r="S4" s="3032"/>
    </row>
    <row r="5" spans="1:22" x14ac:dyDescent="0.2">
      <c r="A5" s="1633" t="s">
        <v>1361</v>
      </c>
      <c r="B5" s="1633">
        <v>72938360</v>
      </c>
      <c r="C5" s="1633">
        <v>426541</v>
      </c>
      <c r="D5" s="3031">
        <v>0.78</v>
      </c>
      <c r="E5" s="1632">
        <v>56527</v>
      </c>
      <c r="F5" s="1632">
        <v>50758</v>
      </c>
      <c r="G5" s="1632">
        <v>55866</v>
      </c>
      <c r="H5" s="1632">
        <v>53744</v>
      </c>
      <c r="I5" s="1632">
        <v>55204</v>
      </c>
      <c r="J5" s="1632">
        <v>53104</v>
      </c>
      <c r="K5" s="1632">
        <v>54543</v>
      </c>
      <c r="L5" s="1632">
        <v>54213</v>
      </c>
      <c r="M5" s="1632">
        <v>52144</v>
      </c>
      <c r="N5" s="1632">
        <v>53552</v>
      </c>
      <c r="O5" s="1632">
        <v>51504</v>
      </c>
      <c r="P5" s="1632">
        <v>52890</v>
      </c>
      <c r="Q5" s="1637">
        <f t="shared" ref="Q5:Q10" si="0">SUM(E5:P5)</f>
        <v>644049</v>
      </c>
      <c r="R5" s="3028">
        <f>+C5*12</f>
        <v>5118492</v>
      </c>
    </row>
    <row r="6" spans="1:22" x14ac:dyDescent="0.2">
      <c r="A6" s="1633" t="s">
        <v>1254</v>
      </c>
      <c r="B6" s="1633">
        <v>26037720</v>
      </c>
      <c r="C6" s="1633">
        <v>566040</v>
      </c>
      <c r="D6" s="3031">
        <v>5.0919999999999996</v>
      </c>
      <c r="G6" s="1632">
        <v>126933</v>
      </c>
      <c r="J6" s="1632">
        <v>125554</v>
      </c>
      <c r="M6" s="1632">
        <v>122764</v>
      </c>
      <c r="N6" s="1632">
        <v>0</v>
      </c>
      <c r="O6" s="1632">
        <v>0</v>
      </c>
      <c r="P6" s="1632">
        <v>122610</v>
      </c>
      <c r="Q6" s="1637">
        <f t="shared" si="0"/>
        <v>497861</v>
      </c>
      <c r="R6" s="3028">
        <f>+C6*4</f>
        <v>2264160</v>
      </c>
    </row>
    <row r="7" spans="1:22" x14ac:dyDescent="0.2">
      <c r="A7" s="1633" t="s">
        <v>1264</v>
      </c>
      <c r="B7" s="1633">
        <v>13260000</v>
      </c>
      <c r="C7" s="1633">
        <v>60000</v>
      </c>
      <c r="D7" s="3031">
        <v>6.56</v>
      </c>
      <c r="E7" s="1632">
        <v>86893</v>
      </c>
      <c r="F7" s="1632">
        <v>78129</v>
      </c>
      <c r="G7" s="1632">
        <v>86107</v>
      </c>
      <c r="H7" s="1632">
        <v>82949</v>
      </c>
      <c r="I7" s="1632">
        <v>85320</v>
      </c>
      <c r="J7" s="1632">
        <v>82080</v>
      </c>
      <c r="K7" s="1632">
        <v>84312</v>
      </c>
      <c r="L7" s="1632">
        <v>78402</v>
      </c>
      <c r="Q7" s="1637">
        <f t="shared" si="0"/>
        <v>664192</v>
      </c>
      <c r="R7" s="3028">
        <f>+C7*7</f>
        <v>420000</v>
      </c>
      <c r="V7" s="1632">
        <f>+B7-S7</f>
        <v>13260000</v>
      </c>
    </row>
    <row r="8" spans="1:22" x14ac:dyDescent="0.2">
      <c r="A8" s="1633" t="s">
        <v>1268</v>
      </c>
      <c r="B8" s="1633">
        <v>2083300</v>
      </c>
      <c r="C8" s="1633">
        <v>13890</v>
      </c>
      <c r="D8" s="3031">
        <v>6.56</v>
      </c>
      <c r="E8" s="1632">
        <v>13651</v>
      </c>
      <c r="F8" s="1632">
        <v>12248</v>
      </c>
      <c r="G8" s="1632">
        <v>13469</v>
      </c>
      <c r="H8" s="1632">
        <v>12947</v>
      </c>
      <c r="I8" s="1632">
        <v>13287</v>
      </c>
      <c r="J8" s="1632">
        <v>12755</v>
      </c>
      <c r="K8" s="1632">
        <v>13063</v>
      </c>
      <c r="L8" s="1632">
        <v>12127</v>
      </c>
      <c r="Q8" s="1637">
        <f t="shared" si="0"/>
        <v>103547</v>
      </c>
      <c r="R8" s="3028">
        <f>+C8*7</f>
        <v>97230</v>
      </c>
      <c r="V8" s="1632">
        <f>+B8-S8</f>
        <v>2083300</v>
      </c>
    </row>
    <row r="9" spans="1:22" s="1634" customFormat="1" x14ac:dyDescent="0.2">
      <c r="A9" s="1635" t="s">
        <v>2348</v>
      </c>
      <c r="B9" s="1635">
        <v>14826070</v>
      </c>
      <c r="C9" s="1635">
        <v>56805</v>
      </c>
      <c r="D9" s="3033">
        <v>4.8899999999999997</v>
      </c>
      <c r="L9" s="1634">
        <v>4027</v>
      </c>
      <c r="M9" s="1634">
        <v>43927</v>
      </c>
      <c r="N9" s="1634">
        <v>61951</v>
      </c>
      <c r="O9" s="1634">
        <v>59721</v>
      </c>
      <c r="P9" s="1634">
        <v>61473</v>
      </c>
      <c r="Q9" s="3034">
        <f t="shared" si="0"/>
        <v>231099</v>
      </c>
      <c r="R9" s="1733">
        <f>+C9*5</f>
        <v>284025</v>
      </c>
    </row>
    <row r="10" spans="1:22" x14ac:dyDescent="0.2">
      <c r="A10" s="1633" t="s">
        <v>2349</v>
      </c>
      <c r="B10" s="1633">
        <v>100000000</v>
      </c>
      <c r="D10" s="3031">
        <v>4.8899999999999997</v>
      </c>
      <c r="L10" s="1632">
        <v>7202</v>
      </c>
      <c r="M10" s="1632">
        <v>43927</v>
      </c>
      <c r="N10" s="1632">
        <v>80810</v>
      </c>
      <c r="O10" s="1632">
        <v>133480</v>
      </c>
      <c r="P10" s="1632">
        <v>124222</v>
      </c>
      <c r="Q10" s="1637">
        <f t="shared" si="0"/>
        <v>389641</v>
      </c>
    </row>
    <row r="11" spans="1:22" x14ac:dyDescent="0.2">
      <c r="C11" s="3035">
        <f>+C4*12+C5*12+C6*4+C7*7+C8*7+C9*5</f>
        <v>19092999</v>
      </c>
      <c r="Q11" s="3036">
        <f>SUM(Q4:Q10)</f>
        <v>3062271</v>
      </c>
    </row>
    <row r="12" spans="1:22" s="1634" customFormat="1" x14ac:dyDescent="0.2">
      <c r="A12" s="3037" t="s">
        <v>2023</v>
      </c>
      <c r="B12" s="3037">
        <f>+C11+Q11</f>
        <v>22155270</v>
      </c>
      <c r="D12" s="3026"/>
      <c r="Q12" s="3034"/>
      <c r="R12" s="1733"/>
    </row>
    <row r="13" spans="1:22" x14ac:dyDescent="0.2">
      <c r="Q13" s="3027">
        <v>2024</v>
      </c>
    </row>
    <row r="14" spans="1:22" x14ac:dyDescent="0.2">
      <c r="A14" s="1633" t="s">
        <v>1358</v>
      </c>
      <c r="B14" s="1633">
        <f>+'čerpání-úvěr a úroky'!F219</f>
        <v>1818171</v>
      </c>
      <c r="C14" s="1633">
        <v>909091</v>
      </c>
      <c r="D14" s="3031">
        <v>7.51</v>
      </c>
      <c r="E14" s="1632">
        <f>+'čerpání-úvěr a úroky'!G225</f>
        <v>18255</v>
      </c>
      <c r="Q14" s="1637">
        <f>SUM(E14:P14)</f>
        <v>18255</v>
      </c>
    </row>
    <row r="15" spans="1:22" x14ac:dyDescent="0.2">
      <c r="A15" s="1633" t="s">
        <v>1361</v>
      </c>
      <c r="B15" s="1633">
        <f>+'čerpání-úvěr a úroky'!F220</f>
        <v>67819868</v>
      </c>
      <c r="C15" s="1633">
        <v>426541</v>
      </c>
      <c r="D15" s="3031">
        <v>0.78</v>
      </c>
      <c r="E15" s="1632">
        <f>+'čerpání-úvěr a úroky'!G226</f>
        <v>52560</v>
      </c>
      <c r="F15" s="1632">
        <f>+'čerpání-úvěr a úroky'!G226</f>
        <v>52560</v>
      </c>
      <c r="G15" s="1632">
        <f>+'čerpání-úvěr a úroky'!G231</f>
        <v>48860</v>
      </c>
      <c r="H15" s="1632">
        <f>+'čerpání-úvěr a úroky'!G236</f>
        <v>51899</v>
      </c>
      <c r="I15" s="1632">
        <f>+'čerpání-úvěr a úroky'!G246</f>
        <v>51238</v>
      </c>
      <c r="J15" s="1632">
        <f>+'čerpání-úvěr a úroky'!G251</f>
        <v>49265</v>
      </c>
      <c r="K15" s="1632">
        <f>+'čerpání-úvěr a úroky'!G256</f>
        <v>50576</v>
      </c>
      <c r="L15" s="1632">
        <f>+'čerpání-úvěr a úroky'!G261</f>
        <v>50246</v>
      </c>
      <c r="M15" s="1632">
        <f>+'čerpání-úvěr a úroky'!G266</f>
        <v>48305</v>
      </c>
      <c r="N15" s="1632">
        <f>+'čerpání-úvěr a úroky'!G271</f>
        <v>49585</v>
      </c>
      <c r="O15" s="1632">
        <f>+N15-3700</f>
        <v>45885</v>
      </c>
      <c r="P15" s="1632">
        <f>+O15-3700</f>
        <v>42185</v>
      </c>
      <c r="Q15" s="1637">
        <f>SUM(E15:P15)-25406-1000</f>
        <v>566758</v>
      </c>
      <c r="R15" s="3028">
        <f>+C15*12</f>
        <v>5118492</v>
      </c>
    </row>
    <row r="16" spans="1:22" x14ac:dyDescent="0.2">
      <c r="A16" s="1633" t="s">
        <v>1254</v>
      </c>
      <c r="B16" s="1633">
        <f>+'čerpání-úvěr a úroky'!F221</f>
        <v>23773560</v>
      </c>
      <c r="C16" s="1633">
        <v>566040</v>
      </c>
      <c r="D16" s="3031">
        <v>5.0919999999999996</v>
      </c>
      <c r="E16" s="1632">
        <f>+'čerpání-úvěr a úroky'!G227</f>
        <v>0</v>
      </c>
      <c r="G16" s="1632">
        <f>+'čerpání-úvěr a úroky'!G232</f>
        <v>0</v>
      </c>
      <c r="H16" s="1632">
        <f>+'čerpání-úvěr a úroky'!G237</f>
        <v>114608</v>
      </c>
      <c r="I16" s="1632">
        <f>+'čerpání-úvěr a úroky'!G247</f>
        <v>0</v>
      </c>
      <c r="J16" s="1632">
        <f>+'čerpání-úvěr a úroky'!G252</f>
        <v>115650</v>
      </c>
      <c r="M16" s="1632">
        <f>+'čerpání-úvěr a úroky'!G267</f>
        <v>112830</v>
      </c>
      <c r="N16" s="1632">
        <f>+'čerpání-úvěr a úroky'!G272</f>
        <v>0</v>
      </c>
      <c r="P16" s="1632">
        <f>+(B16-C16-C16-C16-C16)*(D16/1000)+57386</f>
        <v>166911.86479999998</v>
      </c>
      <c r="Q16" s="1637">
        <f t="shared" ref="Q16:Q18" si="1">SUM(E16:P16)</f>
        <v>509999.86479999998</v>
      </c>
      <c r="R16" s="3028">
        <f>+C16*4</f>
        <v>2264160</v>
      </c>
    </row>
    <row r="17" spans="1:22" x14ac:dyDescent="0.2">
      <c r="A17" s="1633" t="s">
        <v>2348</v>
      </c>
      <c r="B17" s="1633">
        <f>+'čerpání-úvěr a úroky'!F223</f>
        <v>14542045</v>
      </c>
      <c r="C17" s="1633">
        <v>56805</v>
      </c>
      <c r="D17" s="3031">
        <v>4.8899999999999997</v>
      </c>
      <c r="E17" s="1632">
        <f>+'čerpání-úvěr a úroky'!G229</f>
        <v>61234</v>
      </c>
      <c r="F17" s="1632">
        <f>+'čerpání-úvěr a úroky'!G229</f>
        <v>61234</v>
      </c>
      <c r="G17" s="1632">
        <f>+'čerpání-úvěr a úroky'!G234</f>
        <v>57059</v>
      </c>
      <c r="H17" s="1632">
        <f>+'čerpání-úvěr a úroky'!G244</f>
        <v>58564</v>
      </c>
      <c r="I17" s="1632">
        <f>+'čerpání-úvěr a úroky'!G249</f>
        <v>60277</v>
      </c>
      <c r="J17" s="1632">
        <f>+'čerpání-úvěr a úroky'!G254</f>
        <v>58101</v>
      </c>
      <c r="K17" s="1632">
        <f>+'čerpání-úvěr a úroky'!G259</f>
        <v>59799</v>
      </c>
      <c r="L17" s="1632">
        <f>+'čerpání-úvěr a úroky'!G263</f>
        <v>50292</v>
      </c>
      <c r="M17" s="1632">
        <f>+'čerpání-úvěr a úroky'!G268</f>
        <v>53951</v>
      </c>
      <c r="N17" s="1632">
        <f>+'čerpání-úvěr a úroky'!G274</f>
        <v>59081</v>
      </c>
      <c r="O17" s="1632">
        <f>+(B17-C17-C17-C17-C17-C17-C17-C17-C17-C17-C17)*(D17/1000)-15000</f>
        <v>53332.835549999989</v>
      </c>
      <c r="P17" s="1632">
        <f>+(B17-C17-C17-C17-C17-C17-C17-C17-C17-C17-C17-C17)*(D17/1000)-2510</f>
        <v>65545.059099999999</v>
      </c>
      <c r="Q17" s="1637">
        <f>SUM(E17:P17)</f>
        <v>698469.89464999991</v>
      </c>
      <c r="R17" s="3028">
        <f>+C17*12</f>
        <v>681660</v>
      </c>
    </row>
    <row r="18" spans="1:22" x14ac:dyDescent="0.2">
      <c r="A18" s="1633" t="s">
        <v>2350</v>
      </c>
      <c r="B18" s="1633">
        <f>+'čerpání-úvěr a úroky'!F268</f>
        <v>13920622</v>
      </c>
      <c r="D18" s="3031">
        <v>4.8899999999999997</v>
      </c>
      <c r="E18" s="1632">
        <f>+'čerpání-úvěr a úroky'!G228</f>
        <v>7581</v>
      </c>
      <c r="F18" s="1632">
        <f>+'čerpání-úvěr a úroky'!G228</f>
        <v>7581</v>
      </c>
      <c r="G18" s="1632">
        <f>+'čerpání-úvěr a úroky'!G233</f>
        <v>13037</v>
      </c>
      <c r="H18" s="1632">
        <f>+'čerpání-úvěr a úroky'!G243</f>
        <v>43989</v>
      </c>
      <c r="I18" s="1632">
        <f>+'čerpání-úvěr a úroky'!G248</f>
        <v>65266</v>
      </c>
      <c r="J18" s="1632">
        <f>+'čerpání-úvěr a úroky'!G253</f>
        <v>33249</v>
      </c>
      <c r="K18" s="1632">
        <f>+'čerpání-úvěr a úroky'!G258</f>
        <v>42996</v>
      </c>
      <c r="L18" s="1632">
        <f>+'čerpání-úvěr a úroky'!G264</f>
        <v>59559</v>
      </c>
      <c r="M18" s="1632">
        <f>+'čerpání-úvěr a úroky'!G269</f>
        <v>57406</v>
      </c>
      <c r="N18" s="1632">
        <f>+'čerpání-úvěr a úroky'!G273</f>
        <v>58617</v>
      </c>
      <c r="O18" s="1632">
        <f t="shared" ref="O18:P18" si="2">+$B$18*$D$18/1000</f>
        <v>68071.841579999993</v>
      </c>
      <c r="P18" s="1632">
        <f t="shared" si="2"/>
        <v>68071.841579999993</v>
      </c>
      <c r="Q18" s="1637">
        <f t="shared" si="1"/>
        <v>525424.68316000002</v>
      </c>
      <c r="V18" s="1632">
        <f>+B18-78000000</f>
        <v>-64079378</v>
      </c>
    </row>
    <row r="19" spans="1:22" x14ac:dyDescent="0.2">
      <c r="C19" s="3035">
        <f>+C14*1+C15*12+C16*4+C17*12+C18*12</f>
        <v>8973403</v>
      </c>
      <c r="Q19" s="3036">
        <f>SUM(Q14:Q18)</f>
        <v>2318907.4426100003</v>
      </c>
      <c r="V19" s="1632">
        <f>+V18*0.0049</f>
        <v>-313988.9522</v>
      </c>
    </row>
    <row r="20" spans="1:22" s="1634" customFormat="1" x14ac:dyDescent="0.2">
      <c r="A20" s="3037" t="s">
        <v>2023</v>
      </c>
      <c r="B20" s="3037">
        <f>+C19+Q19</f>
        <v>11292310.442609999</v>
      </c>
      <c r="D20" s="3026"/>
      <c r="E20" s="1634">
        <f>+E14+E15+E16+E17+E18</f>
        <v>139630</v>
      </c>
      <c r="F20" s="1634">
        <f t="shared" ref="F20:P20" si="3">+F14+F15+F16+F17+F18</f>
        <v>121375</v>
      </c>
      <c r="G20" s="1634">
        <f t="shared" si="3"/>
        <v>118956</v>
      </c>
      <c r="H20" s="1634">
        <f t="shared" si="3"/>
        <v>269060</v>
      </c>
      <c r="I20" s="1634">
        <f t="shared" si="3"/>
        <v>176781</v>
      </c>
      <c r="J20" s="1634">
        <f t="shared" si="3"/>
        <v>256265</v>
      </c>
      <c r="K20" s="1634">
        <f t="shared" si="3"/>
        <v>153371</v>
      </c>
      <c r="L20" s="1634">
        <f t="shared" si="3"/>
        <v>160097</v>
      </c>
      <c r="M20" s="1634">
        <f t="shared" si="3"/>
        <v>272492</v>
      </c>
      <c r="N20" s="1634">
        <f t="shared" si="3"/>
        <v>167283</v>
      </c>
      <c r="O20" s="1634">
        <f t="shared" si="3"/>
        <v>167289.67712999997</v>
      </c>
      <c r="P20" s="1634">
        <f t="shared" si="3"/>
        <v>342713.76548</v>
      </c>
      <c r="Q20" s="3034"/>
      <c r="R20" s="1733"/>
    </row>
    <row r="22" spans="1:22" x14ac:dyDescent="0.2">
      <c r="D22" s="3038"/>
      <c r="Q22" s="3027">
        <v>2025</v>
      </c>
    </row>
    <row r="23" spans="1:22" x14ac:dyDescent="0.2">
      <c r="A23" s="1633" t="s">
        <v>1358</v>
      </c>
      <c r="D23" s="3031"/>
      <c r="Q23" s="1637">
        <f>SUM(E23:P23)</f>
        <v>0</v>
      </c>
    </row>
    <row r="24" spans="1:22" x14ac:dyDescent="0.2">
      <c r="A24" s="1633" t="s">
        <v>1361</v>
      </c>
      <c r="B24" s="1633">
        <f>+B15-C15*12</f>
        <v>62701376</v>
      </c>
      <c r="C24" s="1633">
        <v>426541</v>
      </c>
      <c r="D24" s="3031">
        <v>0.78</v>
      </c>
      <c r="E24" s="1632">
        <f>+B24*(D24/1000)</f>
        <v>48907.073279999997</v>
      </c>
      <c r="F24" s="1632">
        <f>+(B24-C24)*(D24/1000)</f>
        <v>48574.371299999999</v>
      </c>
      <c r="G24" s="1632">
        <f>+(B24-C24-C24)*(D24/1000)</f>
        <v>48241.669320000001</v>
      </c>
      <c r="H24" s="1632">
        <f>+(B24-C24-C24-C24)*(D24/1000)</f>
        <v>47908.967339999996</v>
      </c>
      <c r="I24" s="1632">
        <f>+(B24-C24-C24-C24-C24)*(D24/1000)</f>
        <v>47576.265359999998</v>
      </c>
      <c r="J24" s="1632">
        <f>+(B24-C24-C24-C24-C24-C24)*(D24/1000)</f>
        <v>47243.56338</v>
      </c>
      <c r="K24" s="1632">
        <f>+(B24-C24-C24-C24-C24-C24-C24)*(D24/1000)</f>
        <v>46910.861400000002</v>
      </c>
      <c r="L24" s="1632">
        <f>+(B24-C24-C24-C24-C24-C24-C24-C24)*(D24/1000)</f>
        <v>46578.159419999996</v>
      </c>
      <c r="M24" s="1632">
        <f>+(B24-C24-C24-C24-C24-C24-C24-C24-C24)*(D24/1000)</f>
        <v>46245.457439999998</v>
      </c>
      <c r="N24" s="1632">
        <f>+(B24-C24-C24-C24-C24-C24-C24-C24-C24-C24)*(D24/1000)</f>
        <v>45912.75546</v>
      </c>
      <c r="O24" s="1632">
        <f>+(B24-C24-C24-C24-C24-C24-C24-C24-C24-C24-C24)*(D24/1000)</f>
        <v>45580.053480000002</v>
      </c>
      <c r="P24" s="1632">
        <f>+(B24-C24-C24-C24-C24-C24-C24-C24-C24-C24-C24-C24)*(D24/1000)</f>
        <v>45247.351499999997</v>
      </c>
      <c r="Q24" s="1637">
        <f t="shared" ref="Q24:Q27" si="4">SUM(E24:P24)</f>
        <v>564926.54868000001</v>
      </c>
      <c r="R24" s="3028">
        <f>+C24*12</f>
        <v>5118492</v>
      </c>
    </row>
    <row r="25" spans="1:22" x14ac:dyDescent="0.2">
      <c r="A25" s="1633" t="s">
        <v>1254</v>
      </c>
      <c r="B25" s="1633">
        <f>+B16-C16*4</f>
        <v>21509400</v>
      </c>
      <c r="C25" s="1633">
        <v>566040</v>
      </c>
      <c r="D25" s="3031">
        <v>5.0919999999999996</v>
      </c>
      <c r="G25" s="1632">
        <f>+(B25-C25)*(D25/1000)</f>
        <v>106643.58911999999</v>
      </c>
      <c r="J25" s="1632">
        <f>+(B25-C25-C25)*(D25/1000)</f>
        <v>103761.31343999998</v>
      </c>
      <c r="M25" s="1632">
        <f>+(B25-C25-C25-C25)*(D25/1000)</f>
        <v>100879.03775999999</v>
      </c>
      <c r="P25" s="1632">
        <f>+(B25-C25-C25-C25-C25)*(D25/1000)</f>
        <v>97996.762079999986</v>
      </c>
      <c r="Q25" s="1637">
        <f t="shared" si="4"/>
        <v>409280.70239999995</v>
      </c>
      <c r="R25" s="3028">
        <f>+C25*4</f>
        <v>2264160</v>
      </c>
    </row>
    <row r="26" spans="1:22" x14ac:dyDescent="0.2">
      <c r="A26" s="1633" t="s">
        <v>2348</v>
      </c>
      <c r="B26" s="1633">
        <f>+B17-C17*12</f>
        <v>13860385</v>
      </c>
      <c r="C26" s="1633">
        <v>56805</v>
      </c>
      <c r="D26" s="3031">
        <v>4.8899999999999997</v>
      </c>
      <c r="E26" s="1632">
        <f>+B26*(D26/1000)</f>
        <v>67777.282649999994</v>
      </c>
      <c r="F26" s="1632">
        <f>+(B26-C26)*(D26/1000)</f>
        <v>67499.506199999989</v>
      </c>
      <c r="G26" s="1632">
        <f>+(B26-C26-C26)*(D26/1000)</f>
        <v>67221.729749999999</v>
      </c>
      <c r="H26" s="1632">
        <f>+(B26-C26-C26-C26)*(D26/1000)</f>
        <v>66943.953299999994</v>
      </c>
      <c r="I26" s="1632">
        <f>+($B26-C26-C26-C26-C26)*(D26/1000)</f>
        <v>66666.176849999989</v>
      </c>
      <c r="J26" s="1632">
        <f>+(B26-C26-C26-C26-C26-C26)*(D26/1000)</f>
        <v>66388.400399999999</v>
      </c>
      <c r="K26" s="1632">
        <f>+(B26-C26-C26-C26-C26-C26-C26)*(D26/1000)</f>
        <v>66110.623949999994</v>
      </c>
      <c r="L26" s="1632">
        <f>+(B26-C26-C26-C26-C26-C26-C26-C26)*(D26/1000)</f>
        <v>65832.847499999989</v>
      </c>
      <c r="M26" s="1632">
        <f>+(B26-C26-C26-C26-C26-C26-C26-C26-C26)*(D26/1000)</f>
        <v>65555.071049999999</v>
      </c>
      <c r="N26" s="1632">
        <f>+(B26-C26-C26-C26-C26-C26-C26-C26-C26-C26)*(D26/1000)</f>
        <v>65277.294599999994</v>
      </c>
      <c r="O26" s="1632">
        <f>+(B26-C26-C26-C26-C26-C26-C26-C26-C26-C26-C26)*(D26/1000)</f>
        <v>64999.518149999989</v>
      </c>
      <c r="P26" s="1632">
        <f>+(B26-C26-C26-C26-C26-C26-C26-C26-C26-C26-C26-C26)*(D26/1000)</f>
        <v>64721.741699999991</v>
      </c>
      <c r="Q26" s="1637">
        <f t="shared" si="4"/>
        <v>794994.14610000001</v>
      </c>
      <c r="R26" s="3028">
        <f>+C26*12</f>
        <v>681660</v>
      </c>
    </row>
    <row r="27" spans="1:22" x14ac:dyDescent="0.2">
      <c r="A27" s="1633" t="s">
        <v>2349</v>
      </c>
      <c r="B27" s="1633">
        <v>13920622</v>
      </c>
      <c r="C27" s="1633">
        <v>458333</v>
      </c>
      <c r="D27" s="3031">
        <v>4.8899999999999997</v>
      </c>
      <c r="E27" s="1632">
        <f>+$B$27*$D$27/100/12</f>
        <v>56726.534649999994</v>
      </c>
      <c r="F27" s="1632">
        <f>+(B27-C27)*(D27/1000)</f>
        <v>65830.593209999992</v>
      </c>
      <c r="G27" s="1632">
        <f>+(B27-C27-C27)*(D27/1000)</f>
        <v>63589.344839999991</v>
      </c>
      <c r="H27" s="1632">
        <f>+(B27-C27-C27-C27)*(D27/1000)</f>
        <v>61348.096469999989</v>
      </c>
      <c r="I27" s="1632">
        <f>+(B27-C27-C27-C27-C27)*(D27/1000)</f>
        <v>59106.848099999996</v>
      </c>
      <c r="J27" s="1632">
        <f>+(B27-C27-C27-C27-C27-C27)*(D27/1000)</f>
        <v>56865.599729999994</v>
      </c>
      <c r="K27" s="1632">
        <f>+(B27-C27-C27-C27-C27-C27-C27)*(D27/1000)</f>
        <v>54624.351359999993</v>
      </c>
      <c r="L27" s="1632">
        <f>+(B27-C27-C27-C27-C27-C27-C27-C27)*(D27/1000)</f>
        <v>52383.102989999992</v>
      </c>
      <c r="M27" s="1632">
        <f>+(B27-C27-C27-C27-C27-C27-C27-C27-C27)*(D27/1000)</f>
        <v>50141.854619999991</v>
      </c>
      <c r="N27" s="1632">
        <f>+(B27-C27-C27-C27-C27-C27-C27-C27-C27-C27)*(D27/1000)</f>
        <v>47900.606249999997</v>
      </c>
      <c r="O27" s="1632">
        <f>+(B27-C27-C27-C27-C27-C27-C27-C27-C27-C27-C27)*(D27/1000)</f>
        <v>45659.357879999996</v>
      </c>
      <c r="P27" s="1632">
        <f>+(B27-C27-C27-C27-C27-C27-C27-C27-C27-C27-C27-C27)*(D27/1000)</f>
        <v>43418.109509999995</v>
      </c>
      <c r="Q27" s="1637">
        <f t="shared" si="4"/>
        <v>657594.39960999996</v>
      </c>
    </row>
    <row r="28" spans="1:22" x14ac:dyDescent="0.2">
      <c r="A28" s="1633"/>
      <c r="C28" s="3035">
        <f>+C22*1+C24*12+C25*4+C27*12+C26*12</f>
        <v>13564308</v>
      </c>
      <c r="Q28" s="3036">
        <f>SUM(Q23:Q26)</f>
        <v>1769201.3971799999</v>
      </c>
    </row>
    <row r="29" spans="1:22" s="1634" customFormat="1" x14ac:dyDescent="0.2">
      <c r="A29" s="3037" t="s">
        <v>2023</v>
      </c>
      <c r="B29" s="3037">
        <f>+C28+Q28</f>
        <v>15333509.39718</v>
      </c>
      <c r="D29" s="3026"/>
      <c r="Q29" s="3034"/>
      <c r="R29" s="1733"/>
    </row>
    <row r="30" spans="1:22" s="1634" customFormat="1" x14ac:dyDescent="0.2">
      <c r="A30" s="1635"/>
      <c r="B30" s="1635"/>
      <c r="C30" s="3037"/>
      <c r="D30" s="3026"/>
      <c r="Q30" s="3034"/>
      <c r="R30" s="1733"/>
    </row>
    <row r="31" spans="1:22" x14ac:dyDescent="0.2">
      <c r="C31" s="3035"/>
      <c r="Q31" s="3039">
        <v>2026</v>
      </c>
    </row>
    <row r="32" spans="1:22" x14ac:dyDescent="0.2">
      <c r="A32" s="1633" t="s">
        <v>1358</v>
      </c>
      <c r="D32" s="3031"/>
      <c r="Q32" s="1637">
        <f>SUM(E32:P32)</f>
        <v>0</v>
      </c>
    </row>
    <row r="33" spans="1:18" x14ac:dyDescent="0.2">
      <c r="A33" s="1633" t="s">
        <v>1361</v>
      </c>
      <c r="B33" s="1633">
        <f>+B24-C24*12</f>
        <v>57582884</v>
      </c>
      <c r="C33" s="1633">
        <v>426541</v>
      </c>
      <c r="D33" s="3031">
        <v>0.78</v>
      </c>
      <c r="E33" s="1632">
        <f t="shared" ref="E33" si="5">+B33*(D33/1000)</f>
        <v>44914.649519999999</v>
      </c>
      <c r="F33" s="1632">
        <f t="shared" ref="F33" si="6">+(B33-C33)*(D33/1000)</f>
        <v>44581.947540000001</v>
      </c>
      <c r="G33" s="1632">
        <f>+(B33-C33-C33)*(D33/1000)</f>
        <v>44249.245559999996</v>
      </c>
      <c r="H33" s="1632">
        <f>+(B33-C33-C33-C33)*(D33/1000)</f>
        <v>43916.543579999998</v>
      </c>
      <c r="I33" s="1632">
        <f>+(B33-C33-C33-C33-C33)*(D33/1000)</f>
        <v>43583.8416</v>
      </c>
      <c r="J33" s="1632">
        <f>+(B33-C33-C33-C33-C33-C33)*(D33/1000)</f>
        <v>43251.139620000002</v>
      </c>
      <c r="K33" s="1632">
        <f>+(B33-C33-C33-C33-C33-C33-C33)*(D33/1000)</f>
        <v>42918.437639999996</v>
      </c>
      <c r="L33" s="1632">
        <f>+(B33-C33-C33-C33-C33-C33-C33-C33)*(D33/1000)</f>
        <v>42585.735659999998</v>
      </c>
      <c r="M33" s="1632">
        <f>+(B33-C33-C33-C33-C33-C33-C33-C33-C33)*(D33/1000)</f>
        <v>42253.03368</v>
      </c>
      <c r="N33" s="1632">
        <f>+(B33-C33-C33-C33-C33-C33-C33-C33-C33-C33)*(D33/1000)</f>
        <v>41920.331700000002</v>
      </c>
      <c r="O33" s="1632">
        <f>+(B33-C33-C33-C33-C33-C33-C33-C33-C33-C33-C33)*(D33/1000)</f>
        <v>41587.629719999997</v>
      </c>
      <c r="P33" s="1632">
        <f>+(B33-C33-C33-C33-C33-C33-C33-C33-C33-C33-C33-C33)*(D33/1000)</f>
        <v>41254.927739999999</v>
      </c>
      <c r="Q33" s="1637">
        <f t="shared" ref="Q33:Q35" si="7">SUM(E33:P33)</f>
        <v>517017.46356</v>
      </c>
      <c r="R33" s="3028">
        <f>+C33*12</f>
        <v>5118492</v>
      </c>
    </row>
    <row r="34" spans="1:18" x14ac:dyDescent="0.2">
      <c r="A34" s="1633" t="s">
        <v>1254</v>
      </c>
      <c r="B34" s="1633">
        <f>+B25-C25*4</f>
        <v>19245240</v>
      </c>
      <c r="C34" s="1633">
        <v>566040</v>
      </c>
      <c r="D34" s="3031">
        <v>5.0919999999999996</v>
      </c>
      <c r="G34" s="1632">
        <f>+(B34-C34)*(D34/1000)</f>
        <v>95114.48639999998</v>
      </c>
      <c r="J34" s="1632">
        <f>+(B34-C34-C34)*(D34/1000)</f>
        <v>92232.210719999988</v>
      </c>
      <c r="M34" s="1632">
        <f>+(B34-C34-C34-C34)*(D34/1000)</f>
        <v>89349.935039999982</v>
      </c>
      <c r="P34" s="1632">
        <f>+(B34-C34-C34-C34-C34)*(D34/1000)</f>
        <v>86467.659359999991</v>
      </c>
      <c r="Q34" s="1637">
        <f t="shared" si="7"/>
        <v>363164.29151999991</v>
      </c>
      <c r="R34" s="3028">
        <f>+C34*4</f>
        <v>2264160</v>
      </c>
    </row>
    <row r="35" spans="1:18" x14ac:dyDescent="0.2">
      <c r="A35" s="1633" t="s">
        <v>2348</v>
      </c>
      <c r="B35" s="1633">
        <f>+B26-C26*12</f>
        <v>13178725</v>
      </c>
      <c r="C35" s="1633">
        <v>56805</v>
      </c>
      <c r="D35" s="3031">
        <v>4.8899999999999997</v>
      </c>
      <c r="E35" s="1632">
        <f t="shared" ref="E35" si="8">+B35*(D35/1000)</f>
        <v>64443.965249999994</v>
      </c>
      <c r="F35" s="1632">
        <f t="shared" ref="F35" si="9">+(B35-C35)*(D35/1000)</f>
        <v>64166.188799999989</v>
      </c>
      <c r="G35" s="1632">
        <f>+(B35-C35-C35)*(D35/1000)</f>
        <v>63888.412349999991</v>
      </c>
      <c r="H35" s="1632">
        <f>+(B35-C35-C35-C35)*(D35/1000)</f>
        <v>63610.635899999994</v>
      </c>
      <c r="I35" s="1632">
        <f>+($B35-C35-C35-C35-C35)*(D35/1000)</f>
        <v>63332.859449999989</v>
      </c>
      <c r="J35" s="1632">
        <f>+(B35-C35-C35-C35-C35-C35)*(D35/1000)</f>
        <v>63055.082999999991</v>
      </c>
      <c r="K35" s="1632">
        <f>+(B35-C35-C35-C35-C35-C35-C35)*(D35/1000)</f>
        <v>62777.306549999994</v>
      </c>
      <c r="L35" s="1632">
        <f>+(B35-C35-C35-C35-C35-C35-C35-C35)*(D35/1000)</f>
        <v>62499.530099999989</v>
      </c>
      <c r="M35" s="1632">
        <f>+(B35-C35-C35-C35-C35-C35-C35-C35-C35)*(D35/1000)</f>
        <v>62221.753649999991</v>
      </c>
      <c r="N35" s="1632">
        <f>+(B35-C35-C35-C35-C35-C35-C35-C35-C35-C35)*(D35/1000)</f>
        <v>61943.977199999994</v>
      </c>
      <c r="O35" s="1632">
        <f>+(B35-C35-C35-C35-C35-C35-C35-C35-C35-C35-C35)*(D35/1000)</f>
        <v>61666.200749999989</v>
      </c>
      <c r="P35" s="1632">
        <f>+(B35-C35-C35-C35-C35-C35-C35-C35-C35-C35-C35-C35)*(D35/1000)</f>
        <v>61388.424299999991</v>
      </c>
      <c r="Q35" s="1637">
        <f t="shared" si="7"/>
        <v>754994.33729999978</v>
      </c>
      <c r="R35" s="3028">
        <f>+C35*12</f>
        <v>681660</v>
      </c>
    </row>
    <row r="36" spans="1:18" x14ac:dyDescent="0.2">
      <c r="A36" s="1633" t="s">
        <v>2349</v>
      </c>
      <c r="D36" s="3031"/>
    </row>
    <row r="37" spans="1:18" x14ac:dyDescent="0.2">
      <c r="C37" s="3035">
        <f>+C32*1+C33*12+C34*4+C35*12+C35*12+C36*12</f>
        <v>8745972</v>
      </c>
      <c r="Q37" s="3036">
        <f>SUM(Q32:Q35)</f>
        <v>1635176.0923799998</v>
      </c>
    </row>
    <row r="38" spans="1:18" s="1634" customFormat="1" x14ac:dyDescent="0.2">
      <c r="A38" s="3037" t="s">
        <v>2023</v>
      </c>
      <c r="B38" s="3037">
        <f>+C37+Q37</f>
        <v>10381148.09238</v>
      </c>
      <c r="D38" s="3026"/>
      <c r="Q38" s="3034"/>
      <c r="R38" s="1733"/>
    </row>
    <row r="67" ht="11.25" customHeight="1" x14ac:dyDescent="0.2"/>
  </sheetData>
  <sheetProtection algorithmName="SHA-512" hashValue="GaUlJkX9g1BAWA/44gUKSfwRS1hxJ39DgmE7NKCbt9IwdhVNg7p8/GNGLcbdaSDz3U1Y1vO925r+CjkWRyhXEw==" saltValue="FxCNtN5n1tLNsDwf3sDsvQ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30"/>
  <sheetViews>
    <sheetView topLeftCell="A79" workbookViewId="0">
      <selection activeCell="A114" sqref="A114:XFD114"/>
    </sheetView>
  </sheetViews>
  <sheetFormatPr defaultColWidth="9" defaultRowHeight="12.75" outlineLevelRow="1" outlineLevelCol="1" x14ac:dyDescent="0.25"/>
  <cols>
    <col min="1" max="1" width="11" style="1831" customWidth="1"/>
    <col min="2" max="2" width="77.28515625" style="1831" customWidth="1"/>
    <col min="3" max="3" width="8.5703125" style="2745" bestFit="1" customWidth="1"/>
    <col min="4" max="4" width="15.28515625" style="1777" bestFit="1" customWidth="1"/>
    <col min="5" max="5" width="14" style="1778" customWidth="1" outlineLevel="1"/>
    <col min="6" max="6" width="16.5703125" style="2746" customWidth="1" outlineLevel="1"/>
    <col min="7" max="7" width="14" style="2747" customWidth="1" outlineLevel="1"/>
    <col min="8" max="9" width="13.28515625" style="2748" bestFit="1" customWidth="1"/>
    <col min="10" max="10" width="13.28515625" style="2748" customWidth="1"/>
    <col min="11" max="11" width="12.28515625" style="1831" bestFit="1" customWidth="1"/>
    <col min="12" max="16384" width="9" style="1831"/>
  </cols>
  <sheetData>
    <row r="1" spans="1:10" x14ac:dyDescent="0.25">
      <c r="A1" s="2570"/>
      <c r="B1" s="2570"/>
      <c r="C1" s="2571"/>
      <c r="D1" s="2572"/>
      <c r="E1" s="2573"/>
      <c r="F1" s="2574"/>
      <c r="G1" s="2575"/>
      <c r="H1" s="2576"/>
      <c r="I1" s="2576"/>
      <c r="J1" s="2576"/>
    </row>
    <row r="2" spans="1:10" x14ac:dyDescent="0.25">
      <c r="A2" s="2577" t="s">
        <v>1846</v>
      </c>
      <c r="B2" s="2577"/>
      <c r="C2" s="2578"/>
      <c r="D2" s="2579"/>
      <c r="E2" s="2580"/>
      <c r="F2" s="2581"/>
      <c r="G2" s="2582"/>
      <c r="H2" s="2583"/>
      <c r="I2" s="2583"/>
      <c r="J2" s="2583"/>
    </row>
    <row r="3" spans="1:10" ht="13.5" thickBot="1" x14ac:dyDescent="0.3">
      <c r="A3" s="2584"/>
      <c r="B3" s="2584"/>
      <c r="C3" s="2578"/>
      <c r="D3" s="2585"/>
      <c r="E3" s="2580"/>
      <c r="F3" s="2586"/>
      <c r="G3" s="2587"/>
      <c r="H3" s="2583"/>
      <c r="I3" s="2583"/>
      <c r="J3" s="2583"/>
    </row>
    <row r="4" spans="1:10" ht="26.25" thickBot="1" x14ac:dyDescent="0.25">
      <c r="A4" s="2588" t="s">
        <v>219</v>
      </c>
      <c r="B4" s="2589"/>
      <c r="C4" s="2590" t="s">
        <v>63</v>
      </c>
      <c r="D4" s="2591" t="s">
        <v>2159</v>
      </c>
      <c r="E4" s="2592" t="s">
        <v>1156</v>
      </c>
      <c r="F4" s="2593" t="s">
        <v>1157</v>
      </c>
      <c r="G4" s="2594" t="s">
        <v>1847</v>
      </c>
      <c r="H4" s="2593" t="s">
        <v>1848</v>
      </c>
      <c r="I4" s="2595" t="s">
        <v>2401</v>
      </c>
      <c r="J4" s="2596"/>
    </row>
    <row r="5" spans="1:10" ht="11.65" customHeight="1" thickBot="1" x14ac:dyDescent="0.3">
      <c r="A5" s="1801"/>
      <c r="B5" s="1801"/>
      <c r="C5" s="2597"/>
      <c r="D5" s="2598"/>
      <c r="E5" s="2599"/>
      <c r="F5" s="2600"/>
      <c r="G5" s="2601"/>
      <c r="H5" s="2602"/>
      <c r="I5" s="2603"/>
      <c r="J5" s="2604"/>
    </row>
    <row r="6" spans="1:10" s="2611" customFormat="1" ht="15" customHeight="1" thickBot="1" x14ac:dyDescent="0.3">
      <c r="A6" s="2605" t="s">
        <v>220</v>
      </c>
      <c r="B6" s="2606" t="s">
        <v>221</v>
      </c>
      <c r="C6" s="2607"/>
      <c r="D6" s="2608">
        <f t="shared" ref="D6:I6" si="0">SUM(D7:D26)</f>
        <v>194590.55700000003</v>
      </c>
      <c r="E6" s="2609">
        <f t="shared" si="0"/>
        <v>181818.87050000002</v>
      </c>
      <c r="F6" s="2609">
        <f t="shared" si="0"/>
        <v>182152.22485700002</v>
      </c>
      <c r="G6" s="2609">
        <f t="shared" si="0"/>
        <v>183289.99616951004</v>
      </c>
      <c r="H6" s="2609">
        <f t="shared" si="0"/>
        <v>184458.1971006821</v>
      </c>
      <c r="I6" s="2609">
        <f t="shared" si="0"/>
        <v>190186.55511979599</v>
      </c>
      <c r="J6" s="2610"/>
    </row>
    <row r="7" spans="1:10" s="1871" customFormat="1" ht="18" hidden="1" customHeight="1" outlineLevel="1" thickTop="1" x14ac:dyDescent="0.2">
      <c r="A7" s="2612"/>
      <c r="B7" s="2613" t="s">
        <v>1148</v>
      </c>
      <c r="C7" s="2614">
        <v>1111</v>
      </c>
      <c r="D7" s="2615">
        <f>+'Souhrn příjmů a výdajů 2024'!D7/1000</f>
        <v>24554.614000000001</v>
      </c>
      <c r="E7" s="2616">
        <f>+D7*1.05</f>
        <v>25782.344700000001</v>
      </c>
      <c r="F7" s="2616">
        <f>+E7*1.01</f>
        <v>26040.168147</v>
      </c>
      <c r="G7" s="2616">
        <f>+F7*1.03</f>
        <v>26821.373191410003</v>
      </c>
      <c r="H7" s="2616">
        <f>+G7*1.03</f>
        <v>27626.014387152303</v>
      </c>
      <c r="I7" s="2616">
        <f>+H7*1.035</f>
        <v>28592.92489070263</v>
      </c>
      <c r="J7" s="2604"/>
    </row>
    <row r="8" spans="1:10" s="1871" customFormat="1" ht="18" hidden="1" customHeight="1" outlineLevel="1" x14ac:dyDescent="0.2">
      <c r="A8" s="2612"/>
      <c r="B8" s="2617" t="s">
        <v>1150</v>
      </c>
      <c r="C8" s="2618">
        <v>1112</v>
      </c>
      <c r="D8" s="2619">
        <f>+'Souhrn příjmů a výdajů 2024'!D8/1000</f>
        <v>1797.18</v>
      </c>
      <c r="E8" s="2620">
        <f t="shared" ref="E8:E11" si="1">+D8</f>
        <v>1797.18</v>
      </c>
      <c r="F8" s="2620">
        <f t="shared" ref="F8:F19" si="2">+E8*1.01</f>
        <v>1815.1518000000001</v>
      </c>
      <c r="G8" s="2620">
        <f t="shared" ref="G8:H8" si="3">+F8*1.03</f>
        <v>1869.6063540000002</v>
      </c>
      <c r="H8" s="2620">
        <f t="shared" si="3"/>
        <v>1925.6945446200002</v>
      </c>
      <c r="I8" s="2620">
        <f t="shared" ref="I8:I12" si="4">+H8*1.035</f>
        <v>1993.0938536817</v>
      </c>
      <c r="J8" s="2604"/>
    </row>
    <row r="9" spans="1:10" s="1871" customFormat="1" ht="18" hidden="1" customHeight="1" outlineLevel="1" x14ac:dyDescent="0.2">
      <c r="A9" s="2612"/>
      <c r="B9" s="2617" t="s">
        <v>1149</v>
      </c>
      <c r="C9" s="2618">
        <v>1113</v>
      </c>
      <c r="D9" s="2619">
        <f>+'Souhrn příjmů a výdajů 2024'!D9/1000</f>
        <v>4775.3639999999996</v>
      </c>
      <c r="E9" s="2620">
        <f t="shared" si="1"/>
        <v>4775.3639999999996</v>
      </c>
      <c r="F9" s="2620">
        <f t="shared" si="2"/>
        <v>4823.1176399999995</v>
      </c>
      <c r="G9" s="2620">
        <f t="shared" ref="G9:H9" si="5">+F9*1.03</f>
        <v>4967.8111691999993</v>
      </c>
      <c r="H9" s="2620">
        <f t="shared" si="5"/>
        <v>5116.8455042759997</v>
      </c>
      <c r="I9" s="2620">
        <f t="shared" si="4"/>
        <v>5295.9350969256593</v>
      </c>
      <c r="J9" s="2604"/>
    </row>
    <row r="10" spans="1:10" s="1871" customFormat="1" ht="18" hidden="1" customHeight="1" outlineLevel="1" x14ac:dyDescent="0.2">
      <c r="A10" s="2612"/>
      <c r="B10" s="2617" t="s">
        <v>1151</v>
      </c>
      <c r="C10" s="2618">
        <v>1111</v>
      </c>
      <c r="D10" s="2619">
        <f>+'Souhrn příjmů a výdajů 2024'!D10/1000</f>
        <v>882.54700000000003</v>
      </c>
      <c r="E10" s="2620">
        <f t="shared" si="1"/>
        <v>882.54700000000003</v>
      </c>
      <c r="F10" s="2620">
        <f t="shared" si="2"/>
        <v>891.37247000000002</v>
      </c>
      <c r="G10" s="2620">
        <f t="shared" ref="G10:H10" si="6">+F10*1.03</f>
        <v>918.1136441000001</v>
      </c>
      <c r="H10" s="2620">
        <f t="shared" si="6"/>
        <v>945.65705342300009</v>
      </c>
      <c r="I10" s="2620">
        <f t="shared" si="4"/>
        <v>978.75505029280498</v>
      </c>
      <c r="J10" s="2604"/>
    </row>
    <row r="11" spans="1:10" s="1871" customFormat="1" ht="18" hidden="1" customHeight="1" outlineLevel="1" x14ac:dyDescent="0.2">
      <c r="A11" s="2612"/>
      <c r="B11" s="2617" t="s">
        <v>2428</v>
      </c>
      <c r="C11" s="2618">
        <v>1122</v>
      </c>
      <c r="D11" s="2619">
        <f>+'Souhrn příjmů a výdajů 2024'!D11/1000</f>
        <v>0</v>
      </c>
      <c r="E11" s="2620">
        <f t="shared" si="1"/>
        <v>0</v>
      </c>
      <c r="F11" s="2620">
        <f t="shared" si="2"/>
        <v>0</v>
      </c>
      <c r="G11" s="2620">
        <f t="shared" ref="G11:H11" si="7">+F11*1.03</f>
        <v>0</v>
      </c>
      <c r="H11" s="2620">
        <f t="shared" si="7"/>
        <v>0</v>
      </c>
      <c r="I11" s="2620">
        <f t="shared" si="4"/>
        <v>0</v>
      </c>
      <c r="J11" s="2604"/>
    </row>
    <row r="12" spans="1:10" s="1871" customFormat="1" ht="18" hidden="1" customHeight="1" outlineLevel="1" x14ac:dyDescent="0.2">
      <c r="A12" s="2612"/>
      <c r="B12" s="2617" t="s">
        <v>15</v>
      </c>
      <c r="C12" s="2618">
        <v>1121</v>
      </c>
      <c r="D12" s="2619">
        <f>+'Souhrn příjmů a výdajů 2024'!D12/1000</f>
        <v>39281.22</v>
      </c>
      <c r="E12" s="2620">
        <f>+D12*1.1</f>
        <v>43209.342000000004</v>
      </c>
      <c r="F12" s="2620">
        <f>+E12</f>
        <v>43209.342000000004</v>
      </c>
      <c r="G12" s="2620">
        <f>+F12*1.001</f>
        <v>43252.551341999999</v>
      </c>
      <c r="H12" s="2620">
        <f>+G12*1.001</f>
        <v>43295.803893341996</v>
      </c>
      <c r="I12" s="2620">
        <f t="shared" si="4"/>
        <v>44811.157029608963</v>
      </c>
      <c r="J12" s="2604"/>
    </row>
    <row r="13" spans="1:10" s="1871" customFormat="1" ht="18" hidden="1" customHeight="1" outlineLevel="1" x14ac:dyDescent="0.2">
      <c r="A13" s="2612"/>
      <c r="B13" s="2617" t="s">
        <v>16</v>
      </c>
      <c r="C13" s="2618">
        <v>1211</v>
      </c>
      <c r="D13" s="2619">
        <f>+'Souhrn příjmů a výdajů 2024'!D13/1000</f>
        <v>76816.607999999993</v>
      </c>
      <c r="E13" s="2620">
        <f>+D13*1.1</f>
        <v>84498.268800000005</v>
      </c>
      <c r="F13" s="2620">
        <f>+E13</f>
        <v>84498.268800000005</v>
      </c>
      <c r="G13" s="2620">
        <f>+F13*1.001</f>
        <v>84582.767068799993</v>
      </c>
      <c r="H13" s="2620">
        <f>+G13*1.001</f>
        <v>84667.349835868779</v>
      </c>
      <c r="I13" s="2620">
        <f t="shared" ref="I13" si="8">+H13*1.035</f>
        <v>87630.707080124179</v>
      </c>
      <c r="J13" s="2604"/>
    </row>
    <row r="14" spans="1:10" s="1832" customFormat="1" ht="18" hidden="1" customHeight="1" outlineLevel="1" x14ac:dyDescent="0.2">
      <c r="A14" s="2621"/>
      <c r="B14" s="2622" t="s">
        <v>1982</v>
      </c>
      <c r="C14" s="2623" t="s">
        <v>17</v>
      </c>
      <c r="D14" s="2624">
        <f>+'Souhrn příjmů a výdajů 2024'!H14/1000</f>
        <v>26</v>
      </c>
      <c r="E14" s="2625">
        <f t="shared" ref="E14:E19" si="9">+D14</f>
        <v>26</v>
      </c>
      <c r="F14" s="2625">
        <f t="shared" ref="F14:I16" si="10">+E14</f>
        <v>26</v>
      </c>
      <c r="G14" s="2625">
        <f t="shared" si="10"/>
        <v>26</v>
      </c>
      <c r="H14" s="2625">
        <f t="shared" si="10"/>
        <v>26</v>
      </c>
      <c r="I14" s="2625">
        <f t="shared" si="10"/>
        <v>26</v>
      </c>
      <c r="J14" s="2604"/>
    </row>
    <row r="15" spans="1:10" ht="18" hidden="1" customHeight="1" outlineLevel="1" x14ac:dyDescent="0.2">
      <c r="A15" s="2626"/>
      <c r="B15" s="2622" t="s">
        <v>20</v>
      </c>
      <c r="C15" s="2623" t="s">
        <v>19</v>
      </c>
      <c r="D15" s="2624">
        <f>+'Souhrn příjmů a výdajů 2024'!H15/1000</f>
        <v>7818.6239999999998</v>
      </c>
      <c r="E15" s="2625">
        <f t="shared" si="9"/>
        <v>7818.6239999999998</v>
      </c>
      <c r="F15" s="2625">
        <f t="shared" si="10"/>
        <v>7818.6239999999998</v>
      </c>
      <c r="G15" s="2625">
        <f t="shared" si="10"/>
        <v>7818.6239999999998</v>
      </c>
      <c r="H15" s="2625">
        <f t="shared" si="10"/>
        <v>7818.6239999999998</v>
      </c>
      <c r="I15" s="2625">
        <f t="shared" si="10"/>
        <v>7818.6239999999998</v>
      </c>
      <c r="J15" s="2604"/>
    </row>
    <row r="16" spans="1:10" ht="18" hidden="1" customHeight="1" outlineLevel="1" x14ac:dyDescent="0.2">
      <c r="A16" s="2626"/>
      <c r="B16" s="2622" t="s">
        <v>21</v>
      </c>
      <c r="C16" s="2623">
        <v>1341</v>
      </c>
      <c r="D16" s="2624">
        <f>+'Souhrn příjmů a výdajů 2024'!H16/1000</f>
        <v>385</v>
      </c>
      <c r="E16" s="2625">
        <f t="shared" si="9"/>
        <v>385</v>
      </c>
      <c r="F16" s="2625">
        <f t="shared" si="10"/>
        <v>385</v>
      </c>
      <c r="G16" s="2625">
        <f t="shared" si="10"/>
        <v>385</v>
      </c>
      <c r="H16" s="2625">
        <f t="shared" si="10"/>
        <v>385</v>
      </c>
      <c r="I16" s="2625">
        <f t="shared" si="10"/>
        <v>385</v>
      </c>
      <c r="J16" s="2604"/>
    </row>
    <row r="17" spans="1:10" ht="18" hidden="1" customHeight="1" outlineLevel="1" x14ac:dyDescent="0.2">
      <c r="A17" s="2626"/>
      <c r="B17" s="2622" t="s">
        <v>22</v>
      </c>
      <c r="C17" s="2623">
        <v>1343</v>
      </c>
      <c r="D17" s="2624">
        <f>+'Souhrn příjmů a výdajů 2024'!H17/1000</f>
        <v>75</v>
      </c>
      <c r="E17" s="2625">
        <f t="shared" si="9"/>
        <v>75</v>
      </c>
      <c r="F17" s="2625">
        <f t="shared" si="2"/>
        <v>75.75</v>
      </c>
      <c r="G17" s="2625">
        <f t="shared" ref="G17:I19" si="11">+F17*1.03</f>
        <v>78.022500000000008</v>
      </c>
      <c r="H17" s="2625">
        <f t="shared" si="11"/>
        <v>80.363175000000012</v>
      </c>
      <c r="I17" s="2625">
        <f t="shared" si="11"/>
        <v>82.774070250000008</v>
      </c>
      <c r="J17" s="2604"/>
    </row>
    <row r="18" spans="1:10" ht="18" hidden="1" customHeight="1" outlineLevel="1" x14ac:dyDescent="0.2">
      <c r="A18" s="2626"/>
      <c r="B18" s="2622" t="s">
        <v>23</v>
      </c>
      <c r="C18" s="2623">
        <v>1344</v>
      </c>
      <c r="D18" s="2624">
        <f>+'Souhrn příjmů a výdajů 2024'!H18/1000</f>
        <v>3</v>
      </c>
      <c r="E18" s="2625">
        <f t="shared" si="9"/>
        <v>3</v>
      </c>
      <c r="F18" s="2625">
        <f t="shared" si="2"/>
        <v>3.0300000000000002</v>
      </c>
      <c r="G18" s="2625">
        <f t="shared" si="11"/>
        <v>3.1209000000000002</v>
      </c>
      <c r="H18" s="2625">
        <f t="shared" si="11"/>
        <v>3.2145270000000004</v>
      </c>
      <c r="I18" s="2625">
        <f t="shared" si="11"/>
        <v>3.3109628100000004</v>
      </c>
      <c r="J18" s="2604"/>
    </row>
    <row r="19" spans="1:10" ht="18" hidden="1" customHeight="1" outlineLevel="1" x14ac:dyDescent="0.2">
      <c r="A19" s="2626"/>
      <c r="B19" s="2622" t="s">
        <v>24</v>
      </c>
      <c r="C19" s="2623">
        <v>1345</v>
      </c>
      <c r="D19" s="2624">
        <f>+'Souhrn příjmů a výdajů 2024'!H19/1000</f>
        <v>20</v>
      </c>
      <c r="E19" s="2625">
        <f t="shared" si="9"/>
        <v>20</v>
      </c>
      <c r="F19" s="2625">
        <f t="shared" si="2"/>
        <v>20.2</v>
      </c>
      <c r="G19" s="2625">
        <f t="shared" si="11"/>
        <v>20.806000000000001</v>
      </c>
      <c r="H19" s="2625">
        <f t="shared" si="11"/>
        <v>21.43018</v>
      </c>
      <c r="I19" s="2625">
        <f t="shared" si="11"/>
        <v>22.0730854</v>
      </c>
      <c r="J19" s="2604"/>
    </row>
    <row r="20" spans="1:10" ht="18" hidden="1" customHeight="1" outlineLevel="1" x14ac:dyDescent="0.2">
      <c r="A20" s="2626"/>
      <c r="B20" s="2622" t="s">
        <v>25</v>
      </c>
      <c r="C20" s="2623">
        <v>1347</v>
      </c>
      <c r="D20" s="2624">
        <f>+'Souhrn příjmů a výdajů 2024'!H20/1000</f>
        <v>0</v>
      </c>
      <c r="E20" s="2625"/>
      <c r="F20" s="2625"/>
      <c r="G20" s="2625"/>
      <c r="H20" s="2625"/>
      <c r="I20" s="2625"/>
      <c r="J20" s="2604"/>
    </row>
    <row r="21" spans="1:10" s="1832" customFormat="1" ht="12" hidden="1" outlineLevel="1" x14ac:dyDescent="0.2">
      <c r="A21" s="2621"/>
      <c r="B21" s="2627" t="s">
        <v>27</v>
      </c>
      <c r="C21" s="2623" t="s">
        <v>26</v>
      </c>
      <c r="D21" s="2624">
        <f>+'Souhrn příjmů a výdajů 2024'!H23/1000</f>
        <v>3161.2</v>
      </c>
      <c r="E21" s="2625"/>
      <c r="F21" s="2625"/>
      <c r="G21" s="2625"/>
      <c r="H21" s="2625"/>
      <c r="I21" s="2625"/>
      <c r="J21" s="2604"/>
    </row>
    <row r="22" spans="1:10" ht="18" hidden="1" customHeight="1" outlineLevel="1" x14ac:dyDescent="0.2">
      <c r="A22" s="2626"/>
      <c r="B22" s="2622" t="s">
        <v>479</v>
      </c>
      <c r="C22" s="2623" t="s">
        <v>26</v>
      </c>
      <c r="D22" s="2624">
        <f>+'Souhrn příjmů a výdajů 2024'!H24/1000</f>
        <v>22448</v>
      </c>
      <c r="E22" s="2625">
        <v>0</v>
      </c>
      <c r="F22" s="2625">
        <f>+E22</f>
        <v>0</v>
      </c>
      <c r="G22" s="2625">
        <f t="shared" ref="G22:I22" si="12">+F22</f>
        <v>0</v>
      </c>
      <c r="H22" s="2625">
        <f t="shared" si="12"/>
        <v>0</v>
      </c>
      <c r="I22" s="2625">
        <f t="shared" si="12"/>
        <v>0</v>
      </c>
      <c r="J22" s="2604"/>
    </row>
    <row r="23" spans="1:10" ht="18" hidden="1" customHeight="1" outlineLevel="1" x14ac:dyDescent="0.2">
      <c r="A23" s="2626"/>
      <c r="B23" s="2622" t="s">
        <v>30</v>
      </c>
      <c r="C23" s="2623" t="s">
        <v>29</v>
      </c>
      <c r="D23" s="2624">
        <f>+'Souhrn příjmů a výdajů 2024'!H25/1000</f>
        <v>900</v>
      </c>
      <c r="E23" s="2625">
        <f>+D23</f>
        <v>900</v>
      </c>
      <c r="F23" s="2625">
        <f t="shared" ref="F23:I26" si="13">+E23</f>
        <v>900</v>
      </c>
      <c r="G23" s="2625">
        <f t="shared" si="13"/>
        <v>900</v>
      </c>
      <c r="H23" s="2625">
        <f t="shared" si="13"/>
        <v>900</v>
      </c>
      <c r="I23" s="2625">
        <f t="shared" si="13"/>
        <v>900</v>
      </c>
      <c r="J23" s="2604"/>
    </row>
    <row r="24" spans="1:10" ht="18" hidden="1" customHeight="1" outlineLevel="1" x14ac:dyDescent="0.2">
      <c r="A24" s="2626"/>
      <c r="B24" s="2622" t="s">
        <v>28</v>
      </c>
      <c r="C24" s="2623">
        <v>1381</v>
      </c>
      <c r="D24" s="2624">
        <f>+'Souhrn příjmů a výdajů 2024'!H27/1000</f>
        <v>311</v>
      </c>
      <c r="E24" s="2625">
        <f>+D24</f>
        <v>311</v>
      </c>
      <c r="F24" s="2625">
        <f t="shared" si="13"/>
        <v>311</v>
      </c>
      <c r="G24" s="2625">
        <f t="shared" si="13"/>
        <v>311</v>
      </c>
      <c r="H24" s="2625">
        <f t="shared" si="13"/>
        <v>311</v>
      </c>
      <c r="I24" s="2625">
        <f t="shared" si="13"/>
        <v>311</v>
      </c>
      <c r="J24" s="2604"/>
    </row>
    <row r="25" spans="1:10" s="1832" customFormat="1" ht="18" hidden="1" customHeight="1" outlineLevel="1" x14ac:dyDescent="0.2">
      <c r="A25" s="2621"/>
      <c r="B25" s="2617" t="s">
        <v>481</v>
      </c>
      <c r="C25" s="2623">
        <v>1385</v>
      </c>
      <c r="D25" s="2619"/>
      <c r="E25" s="2620"/>
      <c r="F25" s="2620"/>
      <c r="G25" s="2620"/>
      <c r="H25" s="2620"/>
      <c r="I25" s="2620"/>
      <c r="J25" s="2604"/>
    </row>
    <row r="26" spans="1:10" ht="13.5" customHeight="1" collapsed="1" thickTop="1" x14ac:dyDescent="0.2">
      <c r="A26" s="2626"/>
      <c r="B26" s="2622" t="s">
        <v>31</v>
      </c>
      <c r="C26" s="2623">
        <v>1511</v>
      </c>
      <c r="D26" s="2628">
        <f>+'Souhrn příjmů a výdajů 2024'!H28/1000</f>
        <v>11335.2</v>
      </c>
      <c r="E26" s="2629">
        <f>+D26</f>
        <v>11335.2</v>
      </c>
      <c r="F26" s="2629">
        <f t="shared" si="13"/>
        <v>11335.2</v>
      </c>
      <c r="G26" s="2629">
        <f t="shared" si="13"/>
        <v>11335.2</v>
      </c>
      <c r="H26" s="2629">
        <f t="shared" si="13"/>
        <v>11335.2</v>
      </c>
      <c r="I26" s="2629">
        <f t="shared" si="13"/>
        <v>11335.2</v>
      </c>
      <c r="J26" s="2604"/>
    </row>
    <row r="27" spans="1:10" s="2611" customFormat="1" ht="13.5" thickBot="1" x14ac:dyDescent="0.3">
      <c r="A27" s="2630" t="s">
        <v>222</v>
      </c>
      <c r="B27" s="2631" t="s">
        <v>223</v>
      </c>
      <c r="C27" s="2632"/>
      <c r="D27" s="2633">
        <f>SUM(D28:D72)</f>
        <v>52059.401000000005</v>
      </c>
      <c r="E27" s="2634">
        <f t="shared" ref="E27:I27" si="14">SUM(E28:E72)</f>
        <v>28530.706000000002</v>
      </c>
      <c r="F27" s="2634">
        <f t="shared" si="14"/>
        <v>28505.706000000002</v>
      </c>
      <c r="G27" s="2634">
        <f t="shared" si="14"/>
        <v>28505.706000000002</v>
      </c>
      <c r="H27" s="2634">
        <f t="shared" si="14"/>
        <v>28505.706000000002</v>
      </c>
      <c r="I27" s="2634">
        <f t="shared" si="14"/>
        <v>28505.706000000002</v>
      </c>
      <c r="J27" s="2604"/>
    </row>
    <row r="28" spans="1:10" ht="16.5" hidden="1" customHeight="1" outlineLevel="1" thickTop="1" x14ac:dyDescent="0.2">
      <c r="A28" s="2626"/>
      <c r="B28" s="2635" t="s">
        <v>33</v>
      </c>
      <c r="C28" s="2636" t="s">
        <v>32</v>
      </c>
      <c r="D28" s="2637">
        <f>+'Souhrn příjmů a výdajů 2024'!H31/1000</f>
        <v>5</v>
      </c>
      <c r="E28" s="2638"/>
      <c r="F28" s="2638"/>
      <c r="G28" s="2638"/>
      <c r="H28" s="2638"/>
      <c r="I28" s="2638"/>
      <c r="J28" s="2604"/>
    </row>
    <row r="29" spans="1:10" ht="17.25" hidden="1" customHeight="1" outlineLevel="1" x14ac:dyDescent="0.2">
      <c r="A29" s="2626"/>
      <c r="B29" s="2639" t="s">
        <v>1534</v>
      </c>
      <c r="C29" s="2640">
        <v>2111</v>
      </c>
      <c r="D29" s="2641">
        <f>+'Souhrn příjmů a výdajů 2024'!H33/1000</f>
        <v>21.95</v>
      </c>
      <c r="E29" s="2642">
        <f>+D29</f>
        <v>21.95</v>
      </c>
      <c r="F29" s="2642">
        <f t="shared" ref="F29:I29" si="15">+E29</f>
        <v>21.95</v>
      </c>
      <c r="G29" s="2642">
        <f t="shared" si="15"/>
        <v>21.95</v>
      </c>
      <c r="H29" s="2642">
        <f t="shared" si="15"/>
        <v>21.95</v>
      </c>
      <c r="I29" s="2642">
        <f t="shared" si="15"/>
        <v>21.95</v>
      </c>
      <c r="J29" s="2604"/>
    </row>
    <row r="30" spans="1:10" ht="17.25" hidden="1" customHeight="1" outlineLevel="1" x14ac:dyDescent="0.2">
      <c r="A30" s="2626"/>
      <c r="B30" s="2639" t="s">
        <v>1535</v>
      </c>
      <c r="C30" s="2640">
        <v>2322</v>
      </c>
      <c r="D30" s="2641">
        <f>+'Souhrn příjmů a výdajů 2024'!H34/1000</f>
        <v>0</v>
      </c>
      <c r="E30" s="2642">
        <f>+D30</f>
        <v>0</v>
      </c>
      <c r="F30" s="2642">
        <f t="shared" ref="F30:I32" si="16">+E30</f>
        <v>0</v>
      </c>
      <c r="G30" s="2642">
        <f t="shared" si="16"/>
        <v>0</v>
      </c>
      <c r="H30" s="2642">
        <f t="shared" si="16"/>
        <v>0</v>
      </c>
      <c r="I30" s="2642">
        <f t="shared" si="16"/>
        <v>0</v>
      </c>
      <c r="J30" s="2604"/>
    </row>
    <row r="31" spans="1:10" s="1871" customFormat="1" ht="17.25" hidden="1" customHeight="1" outlineLevel="1" x14ac:dyDescent="0.2">
      <c r="A31" s="2612"/>
      <c r="B31" s="2617" t="s">
        <v>41</v>
      </c>
      <c r="C31" s="2618" t="s">
        <v>40</v>
      </c>
      <c r="D31" s="2619">
        <f>+'Souhrn příjmů a výdajů 2024'!H35/1000</f>
        <v>4806.12</v>
      </c>
      <c r="E31" s="2620">
        <f>+D31</f>
        <v>4806.12</v>
      </c>
      <c r="F31" s="2620">
        <f t="shared" si="16"/>
        <v>4806.12</v>
      </c>
      <c r="G31" s="2620">
        <f t="shared" si="16"/>
        <v>4806.12</v>
      </c>
      <c r="H31" s="2620">
        <f t="shared" si="16"/>
        <v>4806.12</v>
      </c>
      <c r="I31" s="2620">
        <f t="shared" si="16"/>
        <v>4806.12</v>
      </c>
      <c r="J31" s="2643"/>
    </row>
    <row r="32" spans="1:10" s="1871" customFormat="1" ht="17.25" hidden="1" customHeight="1" outlineLevel="1" x14ac:dyDescent="0.2">
      <c r="A32" s="2612"/>
      <c r="B32" s="2617" t="s">
        <v>43</v>
      </c>
      <c r="C32" s="2618" t="s">
        <v>40</v>
      </c>
      <c r="D32" s="2619">
        <f>+'Souhrn příjmů a výdajů 2024'!H36/1000</f>
        <v>8646.66</v>
      </c>
      <c r="E32" s="2620">
        <f>+D32</f>
        <v>8646.66</v>
      </c>
      <c r="F32" s="2620">
        <f t="shared" si="16"/>
        <v>8646.66</v>
      </c>
      <c r="G32" s="2620">
        <f t="shared" si="16"/>
        <v>8646.66</v>
      </c>
      <c r="H32" s="2620">
        <f t="shared" si="16"/>
        <v>8646.66</v>
      </c>
      <c r="I32" s="2620">
        <f t="shared" si="16"/>
        <v>8646.66</v>
      </c>
      <c r="J32" s="2604"/>
    </row>
    <row r="33" spans="1:10" ht="17.25" hidden="1" customHeight="1" outlineLevel="1" x14ac:dyDescent="0.2">
      <c r="A33" s="2626"/>
      <c r="B33" s="2639" t="s">
        <v>45</v>
      </c>
      <c r="C33" s="2640" t="s">
        <v>44</v>
      </c>
      <c r="D33" s="2641">
        <f>+'Souhrn příjmů a výdajů 2024'!H37/1000</f>
        <v>50</v>
      </c>
      <c r="E33" s="2642">
        <f>+D33/2</f>
        <v>25</v>
      </c>
      <c r="F33" s="2642"/>
      <c r="G33" s="2642"/>
      <c r="H33" s="2642"/>
      <c r="I33" s="2642"/>
      <c r="J33" s="2644"/>
    </row>
    <row r="34" spans="1:10" ht="17.25" hidden="1" customHeight="1" outlineLevel="1" x14ac:dyDescent="0.2">
      <c r="A34" s="2626"/>
      <c r="B34" s="2639" t="s">
        <v>46</v>
      </c>
      <c r="C34" s="2640" t="s">
        <v>40</v>
      </c>
      <c r="D34" s="2641">
        <f>+'Souhrn příjmů a výdajů 2024'!H38/1000</f>
        <v>249</v>
      </c>
      <c r="E34" s="2642">
        <f>+D34</f>
        <v>249</v>
      </c>
      <c r="F34" s="2642">
        <f t="shared" ref="F34:I34" si="17">+E34</f>
        <v>249</v>
      </c>
      <c r="G34" s="2642">
        <f t="shared" si="17"/>
        <v>249</v>
      </c>
      <c r="H34" s="2642">
        <f t="shared" si="17"/>
        <v>249</v>
      </c>
      <c r="I34" s="2642">
        <f t="shared" si="17"/>
        <v>249</v>
      </c>
      <c r="J34" s="2644"/>
    </row>
    <row r="35" spans="1:10" ht="17.25" hidden="1" customHeight="1" outlineLevel="1" x14ac:dyDescent="0.2">
      <c r="A35" s="2626"/>
      <c r="B35" s="2639" t="s">
        <v>47</v>
      </c>
      <c r="C35" s="2640">
        <v>2111</v>
      </c>
      <c r="D35" s="2641">
        <f>+'Souhrn příjmů a výdajů 2024'!H40/1000</f>
        <v>57</v>
      </c>
      <c r="E35" s="2642">
        <f>+D35</f>
        <v>57</v>
      </c>
      <c r="F35" s="2642">
        <f t="shared" ref="F35:I35" si="18">+E35</f>
        <v>57</v>
      </c>
      <c r="G35" s="2642">
        <f t="shared" si="18"/>
        <v>57</v>
      </c>
      <c r="H35" s="2642">
        <f t="shared" si="18"/>
        <v>57</v>
      </c>
      <c r="I35" s="2642">
        <f t="shared" si="18"/>
        <v>57</v>
      </c>
      <c r="J35" s="2644"/>
    </row>
    <row r="36" spans="1:10" ht="17.25" hidden="1" customHeight="1" outlineLevel="1" x14ac:dyDescent="0.2">
      <c r="A36" s="2626"/>
      <c r="B36" s="2639" t="s">
        <v>1536</v>
      </c>
      <c r="C36" s="2640">
        <v>2321</v>
      </c>
      <c r="D36" s="2641">
        <f>+'Souhrn příjmů a výdajů 2024'!H41/1000</f>
        <v>0</v>
      </c>
      <c r="E36" s="2642">
        <f>+D36</f>
        <v>0</v>
      </c>
      <c r="F36" s="2642">
        <f t="shared" ref="F36:I36" si="19">+E36</f>
        <v>0</v>
      </c>
      <c r="G36" s="2642">
        <f t="shared" si="19"/>
        <v>0</v>
      </c>
      <c r="H36" s="2642">
        <f t="shared" si="19"/>
        <v>0</v>
      </c>
      <c r="I36" s="2642">
        <f t="shared" si="19"/>
        <v>0</v>
      </c>
      <c r="J36" s="2644"/>
    </row>
    <row r="37" spans="1:10" ht="17.25" hidden="1" customHeight="1" outlineLevel="1" x14ac:dyDescent="0.2">
      <c r="A37" s="2626"/>
      <c r="B37" s="2639" t="s">
        <v>48</v>
      </c>
      <c r="C37" s="2640">
        <v>2111</v>
      </c>
      <c r="D37" s="2641">
        <f>+'Souhrn příjmů a výdajů 2024'!H42/1000</f>
        <v>270</v>
      </c>
      <c r="E37" s="2642"/>
      <c r="F37" s="2642"/>
      <c r="G37" s="2642"/>
      <c r="H37" s="2642"/>
      <c r="I37" s="2642"/>
      <c r="J37" s="2604"/>
    </row>
    <row r="38" spans="1:10" ht="17.25" hidden="1" customHeight="1" outlineLevel="1" x14ac:dyDescent="0.2">
      <c r="A38" s="2626"/>
      <c r="B38" s="2639" t="s">
        <v>49</v>
      </c>
      <c r="C38" s="2640" t="s">
        <v>44</v>
      </c>
      <c r="D38" s="2641">
        <f>+'Souhrn příjmů a výdajů 2024'!H43/1000</f>
        <v>146</v>
      </c>
      <c r="E38" s="2642">
        <f>+D38</f>
        <v>146</v>
      </c>
      <c r="F38" s="2642">
        <f t="shared" ref="F38:I38" si="20">+E38</f>
        <v>146</v>
      </c>
      <c r="G38" s="2642">
        <f t="shared" si="20"/>
        <v>146</v>
      </c>
      <c r="H38" s="2642">
        <f t="shared" si="20"/>
        <v>146</v>
      </c>
      <c r="I38" s="2642">
        <f t="shared" si="20"/>
        <v>146</v>
      </c>
      <c r="J38" s="2604"/>
    </row>
    <row r="39" spans="1:10" ht="17.25" hidden="1" customHeight="1" outlineLevel="1" x14ac:dyDescent="0.2">
      <c r="A39" s="2626"/>
      <c r="B39" s="2639" t="s">
        <v>50</v>
      </c>
      <c r="C39" s="2640">
        <v>2132</v>
      </c>
      <c r="D39" s="2641">
        <f>+'Souhrn příjmů a výdajů 2024'!H44/1000</f>
        <v>436.45600000000002</v>
      </c>
      <c r="E39" s="2642">
        <f>+D39</f>
        <v>436.45600000000002</v>
      </c>
      <c r="F39" s="2642">
        <f t="shared" ref="F39:I39" si="21">+E39</f>
        <v>436.45600000000002</v>
      </c>
      <c r="G39" s="2642">
        <f t="shared" si="21"/>
        <v>436.45600000000002</v>
      </c>
      <c r="H39" s="2642">
        <f t="shared" si="21"/>
        <v>436.45600000000002</v>
      </c>
      <c r="I39" s="2642">
        <f t="shared" si="21"/>
        <v>436.45600000000002</v>
      </c>
      <c r="J39" s="2604"/>
    </row>
    <row r="40" spans="1:10" ht="17.25" hidden="1" customHeight="1" outlineLevel="1" x14ac:dyDescent="0.2">
      <c r="A40" s="2626"/>
      <c r="B40" s="2639" t="s">
        <v>51</v>
      </c>
      <c r="C40" s="2640">
        <v>2132</v>
      </c>
      <c r="D40" s="2641">
        <f>+'Souhrn příjmů a výdajů 2024'!H45/1000</f>
        <v>828.8</v>
      </c>
      <c r="E40" s="2642">
        <f>+'Příjmy kapitol celkem'!Q48/1000</f>
        <v>330.005</v>
      </c>
      <c r="F40" s="2642">
        <f>+'Příjmy kapitol celkem'!R48/1000</f>
        <v>330.005</v>
      </c>
      <c r="G40" s="2642">
        <f>+'Příjmy kapitol celkem'!S48/1000</f>
        <v>330.005</v>
      </c>
      <c r="H40" s="2642">
        <f>+'Příjmy kapitol celkem'!T48/1000</f>
        <v>330.005</v>
      </c>
      <c r="I40" s="2642">
        <f>+'Příjmy kapitol celkem'!U48/1000</f>
        <v>330.005</v>
      </c>
      <c r="J40" s="2604"/>
    </row>
    <row r="41" spans="1:10" ht="17.25" hidden="1" customHeight="1" outlineLevel="1" x14ac:dyDescent="0.2">
      <c r="A41" s="2626"/>
      <c r="B41" s="2639" t="s">
        <v>52</v>
      </c>
      <c r="C41" s="2640">
        <v>2111</v>
      </c>
      <c r="D41" s="2641">
        <f>+'Souhrn příjmů a výdajů 2024'!H46/1000</f>
        <v>3282</v>
      </c>
      <c r="E41" s="2642">
        <f>+D41</f>
        <v>3282</v>
      </c>
      <c r="F41" s="2642">
        <f t="shared" ref="F41:I41" si="22">+E41</f>
        <v>3282</v>
      </c>
      <c r="G41" s="2642">
        <f t="shared" si="22"/>
        <v>3282</v>
      </c>
      <c r="H41" s="2642">
        <f t="shared" si="22"/>
        <v>3282</v>
      </c>
      <c r="I41" s="2642">
        <f t="shared" si="22"/>
        <v>3282</v>
      </c>
      <c r="J41" s="2604"/>
    </row>
    <row r="42" spans="1:10" ht="17.25" hidden="1" customHeight="1" outlineLevel="1" x14ac:dyDescent="0.2">
      <c r="A42" s="2626"/>
      <c r="B42" s="2639" t="s">
        <v>53</v>
      </c>
      <c r="C42" s="2640">
        <v>2132</v>
      </c>
      <c r="D42" s="2641">
        <f>+'Souhrn příjmů a výdajů 2024'!H47/1000</f>
        <v>4800</v>
      </c>
      <c r="E42" s="2642">
        <f>+D42</f>
        <v>4800</v>
      </c>
      <c r="F42" s="2642">
        <f t="shared" ref="F42:I42" si="23">+E42</f>
        <v>4800</v>
      </c>
      <c r="G42" s="2642">
        <f t="shared" si="23"/>
        <v>4800</v>
      </c>
      <c r="H42" s="2642">
        <f t="shared" si="23"/>
        <v>4800</v>
      </c>
      <c r="I42" s="2642">
        <f t="shared" si="23"/>
        <v>4800</v>
      </c>
      <c r="J42" s="2604"/>
    </row>
    <row r="43" spans="1:10" ht="17.25" hidden="1" customHeight="1" outlineLevel="1" x14ac:dyDescent="0.2">
      <c r="A43" s="2626"/>
      <c r="B43" s="2639" t="s">
        <v>1537</v>
      </c>
      <c r="C43" s="2640">
        <v>2322</v>
      </c>
      <c r="D43" s="2641"/>
      <c r="E43" s="2642">
        <f>+D43</f>
        <v>0</v>
      </c>
      <c r="F43" s="2642">
        <f t="shared" ref="F43:I43" si="24">+E43</f>
        <v>0</v>
      </c>
      <c r="G43" s="2642">
        <f t="shared" si="24"/>
        <v>0</v>
      </c>
      <c r="H43" s="2642">
        <f t="shared" si="24"/>
        <v>0</v>
      </c>
      <c r="I43" s="2642">
        <f t="shared" si="24"/>
        <v>0</v>
      </c>
      <c r="J43" s="2604"/>
    </row>
    <row r="44" spans="1:10" ht="17.25" hidden="1" customHeight="1" outlineLevel="1" x14ac:dyDescent="0.2">
      <c r="A44" s="2626"/>
      <c r="B44" s="2639" t="s">
        <v>1234</v>
      </c>
      <c r="C44" s="2640">
        <v>3122</v>
      </c>
      <c r="D44" s="2641"/>
      <c r="E44" s="2642"/>
      <c r="F44" s="2642"/>
      <c r="G44" s="2642"/>
      <c r="H44" s="2642"/>
      <c r="I44" s="2642"/>
      <c r="J44" s="2604"/>
    </row>
    <row r="45" spans="1:10" ht="17.25" hidden="1" customHeight="1" outlineLevel="1" x14ac:dyDescent="0.2">
      <c r="A45" s="2626"/>
      <c r="B45" s="2639" t="s">
        <v>54</v>
      </c>
      <c r="C45" s="2640" t="s">
        <v>44</v>
      </c>
      <c r="D45" s="2641">
        <f>+'Souhrn příjmů a výdajů 2024'!H48/1000</f>
        <v>156</v>
      </c>
      <c r="E45" s="2642"/>
      <c r="F45" s="2642"/>
      <c r="G45" s="2642"/>
      <c r="H45" s="2642"/>
      <c r="I45" s="2642"/>
      <c r="J45" s="2604"/>
    </row>
    <row r="46" spans="1:10" ht="17.25" hidden="1" customHeight="1" outlineLevel="1" x14ac:dyDescent="0.2">
      <c r="A46" s="2626"/>
      <c r="B46" s="2639" t="s">
        <v>502</v>
      </c>
      <c r="C46" s="2640">
        <v>2132</v>
      </c>
      <c r="D46" s="2641">
        <f>+'Souhrn příjmů a výdajů 2024'!H49/1000</f>
        <v>179.39500000000001</v>
      </c>
      <c r="E46" s="2642">
        <f t="shared" ref="E46:E51" si="25">+D46</f>
        <v>179.39500000000001</v>
      </c>
      <c r="F46" s="2642">
        <f t="shared" ref="F46:I46" si="26">+E46</f>
        <v>179.39500000000001</v>
      </c>
      <c r="G46" s="2642">
        <f t="shared" si="26"/>
        <v>179.39500000000001</v>
      </c>
      <c r="H46" s="2642">
        <f t="shared" si="26"/>
        <v>179.39500000000001</v>
      </c>
      <c r="I46" s="2642">
        <f t="shared" si="26"/>
        <v>179.39500000000001</v>
      </c>
      <c r="J46" s="2604"/>
    </row>
    <row r="47" spans="1:10" ht="17.25" hidden="1" customHeight="1" outlineLevel="1" x14ac:dyDescent="0.2">
      <c r="A47" s="2626"/>
      <c r="B47" s="2639" t="s">
        <v>741</v>
      </c>
      <c r="C47" s="2640">
        <v>2111</v>
      </c>
      <c r="D47" s="2641">
        <f>+'Souhrn příjmů a výdajů 2024'!H50/1000</f>
        <v>78</v>
      </c>
      <c r="E47" s="2642">
        <f t="shared" si="25"/>
        <v>78</v>
      </c>
      <c r="F47" s="2642">
        <f t="shared" ref="F47:I47" si="27">+E47</f>
        <v>78</v>
      </c>
      <c r="G47" s="2642">
        <f t="shared" si="27"/>
        <v>78</v>
      </c>
      <c r="H47" s="2642">
        <f t="shared" si="27"/>
        <v>78</v>
      </c>
      <c r="I47" s="2642">
        <f t="shared" si="27"/>
        <v>78</v>
      </c>
      <c r="J47" s="2604"/>
    </row>
    <row r="48" spans="1:10" ht="17.25" hidden="1" customHeight="1" outlineLevel="1" x14ac:dyDescent="0.2">
      <c r="A48" s="2626"/>
      <c r="B48" s="2639" t="s">
        <v>55</v>
      </c>
      <c r="C48" s="2640">
        <v>2132</v>
      </c>
      <c r="D48" s="2641">
        <f>+'Souhrn příjmů a výdajů 2024'!H51/1000</f>
        <v>400</v>
      </c>
      <c r="E48" s="2642">
        <f t="shared" si="25"/>
        <v>400</v>
      </c>
      <c r="F48" s="2642">
        <f t="shared" ref="F48:I48" si="28">+E48</f>
        <v>400</v>
      </c>
      <c r="G48" s="2642">
        <f t="shared" si="28"/>
        <v>400</v>
      </c>
      <c r="H48" s="2642">
        <f t="shared" si="28"/>
        <v>400</v>
      </c>
      <c r="I48" s="2642">
        <f t="shared" si="28"/>
        <v>400</v>
      </c>
      <c r="J48" s="2604"/>
    </row>
    <row r="49" spans="1:10" ht="17.25" hidden="1" customHeight="1" outlineLevel="1" x14ac:dyDescent="0.2">
      <c r="A49" s="2626"/>
      <c r="B49" s="2639" t="s">
        <v>487</v>
      </c>
      <c r="C49" s="2640">
        <v>2132</v>
      </c>
      <c r="D49" s="2641">
        <f>+'Souhrn příjmů a výdajů 2024'!H53/1000</f>
        <v>1359.72</v>
      </c>
      <c r="E49" s="2642">
        <f t="shared" si="25"/>
        <v>1359.72</v>
      </c>
      <c r="F49" s="2642">
        <f t="shared" ref="F49:I49" si="29">+E49</f>
        <v>1359.72</v>
      </c>
      <c r="G49" s="2642">
        <f t="shared" si="29"/>
        <v>1359.72</v>
      </c>
      <c r="H49" s="2642">
        <f t="shared" si="29"/>
        <v>1359.72</v>
      </c>
      <c r="I49" s="2642">
        <f t="shared" si="29"/>
        <v>1359.72</v>
      </c>
      <c r="J49" s="2604"/>
    </row>
    <row r="50" spans="1:10" ht="17.25" hidden="1" customHeight="1" outlineLevel="1" x14ac:dyDescent="0.2">
      <c r="A50" s="2626"/>
      <c r="B50" s="2639" t="s">
        <v>56</v>
      </c>
      <c r="C50" s="2640">
        <v>2111</v>
      </c>
      <c r="D50" s="2641">
        <f>+'Souhrn příjmů a výdajů 2024'!H54/1000</f>
        <v>250</v>
      </c>
      <c r="E50" s="2642">
        <f t="shared" si="25"/>
        <v>250</v>
      </c>
      <c r="F50" s="2642">
        <f t="shared" ref="F50:I50" si="30">+E50</f>
        <v>250</v>
      </c>
      <c r="G50" s="2642">
        <f t="shared" si="30"/>
        <v>250</v>
      </c>
      <c r="H50" s="2642">
        <f t="shared" si="30"/>
        <v>250</v>
      </c>
      <c r="I50" s="2642">
        <f t="shared" si="30"/>
        <v>250</v>
      </c>
      <c r="J50" s="2604"/>
    </row>
    <row r="51" spans="1:10" s="1832" customFormat="1" ht="17.25" hidden="1" customHeight="1" outlineLevel="1" x14ac:dyDescent="0.2">
      <c r="A51" s="2621"/>
      <c r="B51" s="2622" t="s">
        <v>1538</v>
      </c>
      <c r="C51" s="2623">
        <v>2321</v>
      </c>
      <c r="D51" s="2641">
        <f>+'Souhrn příjmů a výdajů 2024'!H55/1000</f>
        <v>300</v>
      </c>
      <c r="E51" s="2642">
        <f t="shared" si="25"/>
        <v>300</v>
      </c>
      <c r="F51" s="2642">
        <f t="shared" ref="F51:I51" si="31">+E51</f>
        <v>300</v>
      </c>
      <c r="G51" s="2642">
        <f t="shared" si="31"/>
        <v>300</v>
      </c>
      <c r="H51" s="2642">
        <f t="shared" si="31"/>
        <v>300</v>
      </c>
      <c r="I51" s="2642">
        <f t="shared" si="31"/>
        <v>300</v>
      </c>
      <c r="J51" s="2604"/>
    </row>
    <row r="52" spans="1:10" s="1832" customFormat="1" ht="17.25" hidden="1" customHeight="1" outlineLevel="1" x14ac:dyDescent="0.2">
      <c r="A52" s="2621"/>
      <c r="B52" s="2622" t="s">
        <v>1537</v>
      </c>
      <c r="C52" s="2623">
        <v>2322</v>
      </c>
      <c r="D52" s="2641">
        <f>+'Souhrn příjmů a výdajů 2024'!H56/1000</f>
        <v>0</v>
      </c>
      <c r="E52" s="2642"/>
      <c r="F52" s="2642"/>
      <c r="G52" s="2642"/>
      <c r="H52" s="2642"/>
      <c r="I52" s="2642"/>
      <c r="J52" s="2604"/>
    </row>
    <row r="53" spans="1:10" s="1832" customFormat="1" ht="17.25" hidden="1" customHeight="1" outlineLevel="1" x14ac:dyDescent="0.2">
      <c r="A53" s="2621"/>
      <c r="B53" s="2622" t="s">
        <v>963</v>
      </c>
      <c r="C53" s="2623" t="s">
        <v>44</v>
      </c>
      <c r="D53" s="2641">
        <f>+'Souhrn příjmů a výdajů 2024'!H57/1000</f>
        <v>1950</v>
      </c>
      <c r="E53" s="2642">
        <f>+D53</f>
        <v>1950</v>
      </c>
      <c r="F53" s="2642">
        <f t="shared" ref="F53:I53" si="32">+E53</f>
        <v>1950</v>
      </c>
      <c r="G53" s="2642">
        <f t="shared" si="32"/>
        <v>1950</v>
      </c>
      <c r="H53" s="2642">
        <f t="shared" si="32"/>
        <v>1950</v>
      </c>
      <c r="I53" s="2642">
        <f t="shared" si="32"/>
        <v>1950</v>
      </c>
      <c r="J53" s="2604"/>
    </row>
    <row r="54" spans="1:10" ht="17.25" hidden="1" customHeight="1" outlineLevel="1" x14ac:dyDescent="0.2">
      <c r="A54" s="2626"/>
      <c r="B54" s="2639" t="s">
        <v>476</v>
      </c>
      <c r="C54" s="2640" t="s">
        <v>44</v>
      </c>
      <c r="D54" s="2641">
        <f>+'Souhrn příjmů a výdajů 2024'!H58/1000</f>
        <v>600</v>
      </c>
      <c r="E54" s="2642">
        <f>+D54</f>
        <v>600</v>
      </c>
      <c r="F54" s="2642">
        <f t="shared" ref="F54:I54" si="33">+E54</f>
        <v>600</v>
      </c>
      <c r="G54" s="2642">
        <f t="shared" si="33"/>
        <v>600</v>
      </c>
      <c r="H54" s="2642">
        <f t="shared" si="33"/>
        <v>600</v>
      </c>
      <c r="I54" s="2642">
        <f t="shared" si="33"/>
        <v>600</v>
      </c>
      <c r="J54" s="2604"/>
    </row>
    <row r="55" spans="1:10" ht="17.25" hidden="1" customHeight="1" outlineLevel="1" x14ac:dyDescent="0.2">
      <c r="A55" s="2626"/>
      <c r="B55" s="2639" t="s">
        <v>742</v>
      </c>
      <c r="C55" s="2640">
        <v>2111</v>
      </c>
      <c r="D55" s="2641">
        <f>+'Souhrn příjmů a výdajů 2024'!H59/1000</f>
        <v>20</v>
      </c>
      <c r="E55" s="2642">
        <f>+D55</f>
        <v>20</v>
      </c>
      <c r="F55" s="2642">
        <f t="shared" ref="F55:I55" si="34">+E55</f>
        <v>20</v>
      </c>
      <c r="G55" s="2642">
        <f t="shared" si="34"/>
        <v>20</v>
      </c>
      <c r="H55" s="2642">
        <f t="shared" si="34"/>
        <v>20</v>
      </c>
      <c r="I55" s="2642">
        <f t="shared" si="34"/>
        <v>20</v>
      </c>
      <c r="J55" s="2604"/>
    </row>
    <row r="56" spans="1:10" ht="17.25" hidden="1" customHeight="1" outlineLevel="1" x14ac:dyDescent="0.2">
      <c r="A56" s="2626"/>
      <c r="B56" s="2639" t="s">
        <v>2111</v>
      </c>
      <c r="C56" s="2640">
        <v>2324</v>
      </c>
      <c r="D56" s="2641">
        <f>+'Souhrn příjmů a výdajů 2024'!H60/1000</f>
        <v>0</v>
      </c>
      <c r="E56" s="2642">
        <f>+D56</f>
        <v>0</v>
      </c>
      <c r="F56" s="2642">
        <f t="shared" ref="F56:I56" si="35">+E56</f>
        <v>0</v>
      </c>
      <c r="G56" s="2642">
        <f t="shared" si="35"/>
        <v>0</v>
      </c>
      <c r="H56" s="2642">
        <f t="shared" si="35"/>
        <v>0</v>
      </c>
      <c r="I56" s="2642">
        <f t="shared" si="35"/>
        <v>0</v>
      </c>
      <c r="J56" s="2604"/>
    </row>
    <row r="57" spans="1:10" ht="17.25" hidden="1" customHeight="1" outlineLevel="1" x14ac:dyDescent="0.2">
      <c r="A57" s="2626"/>
      <c r="B57" s="2639" t="s">
        <v>1509</v>
      </c>
      <c r="C57" s="2640">
        <v>2321</v>
      </c>
      <c r="D57" s="2641">
        <f>+'Souhrn příjmů a výdajů 2024'!H61/1000</f>
        <v>0</v>
      </c>
      <c r="E57" s="2642"/>
      <c r="F57" s="2642"/>
      <c r="G57" s="2642"/>
      <c r="H57" s="2642"/>
      <c r="I57" s="2642"/>
      <c r="J57" s="2604"/>
    </row>
    <row r="58" spans="1:10" ht="17.25" hidden="1" customHeight="1" outlineLevel="1" x14ac:dyDescent="0.2">
      <c r="A58" s="2626"/>
      <c r="B58" s="2639" t="s">
        <v>2155</v>
      </c>
      <c r="C58" s="2640">
        <v>2324</v>
      </c>
      <c r="D58" s="2641">
        <f>+'Souhrn příjmů a výdajů 2024'!H62/1000</f>
        <v>0</v>
      </c>
      <c r="E58" s="2642"/>
      <c r="F58" s="2642"/>
      <c r="G58" s="2642"/>
      <c r="H58" s="2642"/>
      <c r="I58" s="2642"/>
      <c r="J58" s="2604"/>
    </row>
    <row r="59" spans="1:10" ht="17.25" hidden="1" customHeight="1" outlineLevel="1" x14ac:dyDescent="0.2">
      <c r="A59" s="2626"/>
      <c r="B59" s="2639" t="s">
        <v>743</v>
      </c>
      <c r="C59" s="2640">
        <v>2132</v>
      </c>
      <c r="D59" s="2641">
        <f>+'Souhrn příjmů a výdajů 2024'!H63/1000</f>
        <v>24</v>
      </c>
      <c r="E59" s="2642">
        <f>+D59</f>
        <v>24</v>
      </c>
      <c r="F59" s="2642">
        <f t="shared" ref="F59:I59" si="36">+E59</f>
        <v>24</v>
      </c>
      <c r="G59" s="2642">
        <f t="shared" si="36"/>
        <v>24</v>
      </c>
      <c r="H59" s="2642">
        <f t="shared" si="36"/>
        <v>24</v>
      </c>
      <c r="I59" s="2642">
        <f t="shared" si="36"/>
        <v>24</v>
      </c>
      <c r="J59" s="2604"/>
    </row>
    <row r="60" spans="1:10" ht="17.25" hidden="1" customHeight="1" outlineLevel="1" x14ac:dyDescent="0.2">
      <c r="A60" s="2626"/>
      <c r="B60" s="2639" t="s">
        <v>57</v>
      </c>
      <c r="C60" s="2640">
        <v>2111</v>
      </c>
      <c r="D60" s="2641">
        <f>+'Souhrn příjmů a výdajů 2024'!H65/1000</f>
        <v>555</v>
      </c>
      <c r="E60" s="2642">
        <f>+D60</f>
        <v>555</v>
      </c>
      <c r="F60" s="2642">
        <f t="shared" ref="F60:I60" si="37">+E60</f>
        <v>555</v>
      </c>
      <c r="G60" s="2642">
        <f t="shared" si="37"/>
        <v>555</v>
      </c>
      <c r="H60" s="2642">
        <f t="shared" si="37"/>
        <v>555</v>
      </c>
      <c r="I60" s="2642">
        <f t="shared" si="37"/>
        <v>555</v>
      </c>
      <c r="J60" s="2604"/>
    </row>
    <row r="61" spans="1:10" ht="17.25" hidden="1" customHeight="1" outlineLevel="1" x14ac:dyDescent="0.2">
      <c r="A61" s="2626"/>
      <c r="B61" s="2639" t="s">
        <v>1235</v>
      </c>
      <c r="C61" s="2640">
        <v>2111</v>
      </c>
      <c r="D61" s="2641">
        <f>+'Souhrn příjmů a výdajů 2024'!H66/1000</f>
        <v>204.9</v>
      </c>
      <c r="E61" s="2642"/>
      <c r="F61" s="2642"/>
      <c r="G61" s="2642"/>
      <c r="H61" s="2642"/>
      <c r="I61" s="2642"/>
      <c r="J61" s="2604"/>
    </row>
    <row r="62" spans="1:10" ht="17.25" hidden="1" customHeight="1" outlineLevel="1" x14ac:dyDescent="0.2">
      <c r="A62" s="2626"/>
      <c r="B62" s="2639" t="s">
        <v>1975</v>
      </c>
      <c r="C62" s="2640">
        <v>2324</v>
      </c>
      <c r="D62" s="2641">
        <f>+'Souhrn příjmů a výdajů 2024'!H67/1000</f>
        <v>191</v>
      </c>
      <c r="E62" s="2642"/>
      <c r="F62" s="2642"/>
      <c r="G62" s="2642"/>
      <c r="H62" s="2642"/>
      <c r="I62" s="2642"/>
      <c r="J62" s="2604"/>
    </row>
    <row r="63" spans="1:10" ht="17.25" hidden="1" customHeight="1" outlineLevel="1" x14ac:dyDescent="0.2">
      <c r="A63" s="2626"/>
      <c r="B63" s="2639" t="s">
        <v>552</v>
      </c>
      <c r="C63" s="2640">
        <v>2322</v>
      </c>
      <c r="D63" s="2641"/>
      <c r="E63" s="2642"/>
      <c r="F63" s="2642"/>
      <c r="G63" s="2642"/>
      <c r="H63" s="2642"/>
      <c r="I63" s="2642"/>
      <c r="J63" s="2604"/>
    </row>
    <row r="64" spans="1:10" ht="17.25" hidden="1" customHeight="1" outlineLevel="1" x14ac:dyDescent="0.2">
      <c r="A64" s="2626"/>
      <c r="B64" s="2639" t="s">
        <v>1236</v>
      </c>
      <c r="C64" s="2640">
        <v>2321</v>
      </c>
      <c r="D64" s="2641"/>
      <c r="E64" s="2642"/>
      <c r="F64" s="2642"/>
      <c r="G64" s="2642"/>
      <c r="H64" s="2642"/>
      <c r="I64" s="2642"/>
      <c r="J64" s="2604"/>
    </row>
    <row r="65" spans="1:10" ht="17.25" hidden="1" customHeight="1" outlineLevel="1" x14ac:dyDescent="0.2">
      <c r="A65" s="2626"/>
      <c r="B65" s="2639" t="s">
        <v>552</v>
      </c>
      <c r="C65" s="2640">
        <v>2322</v>
      </c>
      <c r="D65" s="2641"/>
      <c r="E65" s="2642"/>
      <c r="F65" s="2642"/>
      <c r="G65" s="2642"/>
      <c r="H65" s="2642"/>
      <c r="I65" s="2642"/>
      <c r="J65" s="2604"/>
    </row>
    <row r="66" spans="1:10" ht="17.25" hidden="1" customHeight="1" outlineLevel="1" x14ac:dyDescent="0.2">
      <c r="A66" s="2626"/>
      <c r="B66" s="2639" t="s">
        <v>552</v>
      </c>
      <c r="C66" s="2640">
        <v>2322</v>
      </c>
      <c r="D66" s="2641"/>
      <c r="E66" s="2642"/>
      <c r="F66" s="2642"/>
      <c r="G66" s="2642"/>
      <c r="H66" s="2642"/>
      <c r="I66" s="2642"/>
      <c r="J66" s="2604"/>
    </row>
    <row r="67" spans="1:10" ht="17.25" hidden="1" customHeight="1" outlineLevel="1" x14ac:dyDescent="0.2">
      <c r="A67" s="2626"/>
      <c r="B67" s="2639" t="s">
        <v>1237</v>
      </c>
      <c r="C67" s="2640">
        <v>2212</v>
      </c>
      <c r="D67" s="2641"/>
      <c r="E67" s="2642"/>
      <c r="F67" s="2642"/>
      <c r="G67" s="2642"/>
      <c r="H67" s="2642"/>
      <c r="I67" s="2642"/>
      <c r="J67" s="2604"/>
    </row>
    <row r="68" spans="1:10" ht="17.25" hidden="1" customHeight="1" outlineLevel="1" x14ac:dyDescent="0.2">
      <c r="A68" s="2626"/>
      <c r="B68" s="2639" t="s">
        <v>224</v>
      </c>
      <c r="C68" s="2640">
        <v>2322</v>
      </c>
      <c r="D68" s="2641">
        <v>21878</v>
      </c>
      <c r="E68" s="2642"/>
      <c r="F68" s="2642"/>
      <c r="G68" s="2642"/>
      <c r="H68" s="2642"/>
      <c r="I68" s="2642"/>
      <c r="J68" s="2604"/>
    </row>
    <row r="69" spans="1:10" ht="17.25" hidden="1" customHeight="1" outlineLevel="1" x14ac:dyDescent="0.2">
      <c r="A69" s="2626"/>
      <c r="B69" s="2639" t="s">
        <v>1238</v>
      </c>
      <c r="C69" s="2640">
        <v>2212</v>
      </c>
      <c r="D69" s="2641"/>
      <c r="E69" s="2642">
        <f>+D69</f>
        <v>0</v>
      </c>
      <c r="F69" s="2642">
        <f t="shared" ref="F69:I69" si="38">+E69</f>
        <v>0</v>
      </c>
      <c r="G69" s="2642">
        <f t="shared" si="38"/>
        <v>0</v>
      </c>
      <c r="H69" s="2642">
        <f t="shared" si="38"/>
        <v>0</v>
      </c>
      <c r="I69" s="2642">
        <f t="shared" si="38"/>
        <v>0</v>
      </c>
      <c r="J69" s="2604"/>
    </row>
    <row r="70" spans="1:10" ht="17.25" hidden="1" customHeight="1" outlineLevel="1" x14ac:dyDescent="0.2">
      <c r="A70" s="2626"/>
      <c r="B70" s="2639" t="s">
        <v>744</v>
      </c>
      <c r="C70" s="2640">
        <v>2141</v>
      </c>
      <c r="D70" s="2641">
        <f>+'Souhrn příjmů a výdajů 2024'!H68/1000</f>
        <v>10</v>
      </c>
      <c r="E70" s="2642">
        <f>+D70</f>
        <v>10</v>
      </c>
      <c r="F70" s="2642">
        <f t="shared" ref="F70:I70" si="39">+E70</f>
        <v>10</v>
      </c>
      <c r="G70" s="2642">
        <f t="shared" si="39"/>
        <v>10</v>
      </c>
      <c r="H70" s="2642">
        <f t="shared" si="39"/>
        <v>10</v>
      </c>
      <c r="I70" s="2642">
        <f t="shared" si="39"/>
        <v>10</v>
      </c>
      <c r="J70" s="2604"/>
    </row>
    <row r="71" spans="1:10" ht="12" hidden="1" outlineLevel="1" x14ac:dyDescent="0.2">
      <c r="A71" s="2626"/>
      <c r="B71" s="2639" t="s">
        <v>482</v>
      </c>
      <c r="C71" s="2640">
        <v>2132</v>
      </c>
      <c r="D71" s="2641">
        <f>+'Souhrn příjmů a výdajů 2024'!H69/1000</f>
        <v>4.4000000000000004</v>
      </c>
      <c r="E71" s="2642">
        <f>+D71</f>
        <v>4.4000000000000004</v>
      </c>
      <c r="F71" s="2642">
        <f t="shared" ref="F71:I71" si="40">+E71</f>
        <v>4.4000000000000004</v>
      </c>
      <c r="G71" s="2642">
        <f t="shared" si="40"/>
        <v>4.4000000000000004</v>
      </c>
      <c r="H71" s="2642">
        <f t="shared" si="40"/>
        <v>4.4000000000000004</v>
      </c>
      <c r="I71" s="2642">
        <f t="shared" si="40"/>
        <v>4.4000000000000004</v>
      </c>
      <c r="J71" s="2604"/>
    </row>
    <row r="72" spans="1:10" ht="12" hidden="1" outlineLevel="1" x14ac:dyDescent="0.2">
      <c r="A72" s="2626"/>
      <c r="B72" s="2645" t="s">
        <v>745</v>
      </c>
      <c r="C72" s="2646">
        <v>2119</v>
      </c>
      <c r="D72" s="2641">
        <f>+'Souhrn příjmů a výdajů 2024'!H71/1000</f>
        <v>300</v>
      </c>
      <c r="E72" s="2642"/>
      <c r="F72" s="2642"/>
      <c r="G72" s="2642"/>
      <c r="H72" s="2642"/>
      <c r="I72" s="2642"/>
      <c r="J72" s="2604"/>
    </row>
    <row r="73" spans="1:10" ht="18" customHeight="1" collapsed="1" thickTop="1" x14ac:dyDescent="0.25">
      <c r="A73" s="2626"/>
      <c r="B73" s="2647"/>
      <c r="C73" s="2648"/>
      <c r="D73" s="2628"/>
      <c r="E73" s="2629"/>
      <c r="F73" s="2629"/>
      <c r="G73" s="2629"/>
      <c r="H73" s="2629"/>
      <c r="I73" s="2629"/>
      <c r="J73" s="2604"/>
    </row>
    <row r="74" spans="1:10" s="2611" customFormat="1" ht="13.5" thickBot="1" x14ac:dyDescent="0.3">
      <c r="A74" s="2630" t="s">
        <v>225</v>
      </c>
      <c r="B74" s="2631" t="s">
        <v>226</v>
      </c>
      <c r="C74" s="2632"/>
      <c r="D74" s="2633">
        <f>SUM(D75:D77)</f>
        <v>65</v>
      </c>
      <c r="E74" s="2634">
        <f t="shared" ref="E74:I74" si="41">SUM(E75:E77)</f>
        <v>65</v>
      </c>
      <c r="F74" s="2634">
        <f t="shared" si="41"/>
        <v>65</v>
      </c>
      <c r="G74" s="2634">
        <f t="shared" si="41"/>
        <v>65</v>
      </c>
      <c r="H74" s="2634">
        <f t="shared" si="41"/>
        <v>65</v>
      </c>
      <c r="I74" s="2634">
        <f t="shared" si="41"/>
        <v>65</v>
      </c>
      <c r="J74" s="2604"/>
    </row>
    <row r="75" spans="1:10" ht="16.5" hidden="1" customHeight="1" outlineLevel="1" thickTop="1" x14ac:dyDescent="0.2">
      <c r="A75" s="2626"/>
      <c r="B75" s="2635" t="s">
        <v>227</v>
      </c>
      <c r="C75" s="2636">
        <v>3111</v>
      </c>
      <c r="D75" s="2637">
        <f>+'Souhrn příjmů a výdajů 2024'!D75/1000</f>
        <v>0</v>
      </c>
      <c r="E75" s="2638"/>
      <c r="F75" s="2638"/>
      <c r="G75" s="2638">
        <v>0</v>
      </c>
      <c r="H75" s="2638">
        <v>0</v>
      </c>
      <c r="I75" s="2638">
        <v>0</v>
      </c>
      <c r="J75" s="2604"/>
    </row>
    <row r="76" spans="1:10" ht="16.5" hidden="1" customHeight="1" outlineLevel="1" x14ac:dyDescent="0.2">
      <c r="A76" s="2626"/>
      <c r="B76" s="2639" t="s">
        <v>59</v>
      </c>
      <c r="C76" s="2640" t="s">
        <v>58</v>
      </c>
      <c r="D76" s="2641">
        <f>+'Souhrn příjmů a výdajů 2024'!D76/1000</f>
        <v>65</v>
      </c>
      <c r="E76" s="2642">
        <f>+D76</f>
        <v>65</v>
      </c>
      <c r="F76" s="2642">
        <f t="shared" ref="F76:I76" si="42">+E76</f>
        <v>65</v>
      </c>
      <c r="G76" s="2642">
        <f t="shared" si="42"/>
        <v>65</v>
      </c>
      <c r="H76" s="2642">
        <f t="shared" si="42"/>
        <v>65</v>
      </c>
      <c r="I76" s="2642">
        <f t="shared" si="42"/>
        <v>65</v>
      </c>
      <c r="J76" s="2604"/>
    </row>
    <row r="77" spans="1:10" ht="16.5" hidden="1" customHeight="1" outlineLevel="1" x14ac:dyDescent="0.2">
      <c r="A77" s="2626"/>
      <c r="B77" s="2639" t="s">
        <v>228</v>
      </c>
      <c r="C77" s="2640">
        <v>2132</v>
      </c>
      <c r="D77" s="2641"/>
      <c r="E77" s="2642"/>
      <c r="F77" s="2642"/>
      <c r="G77" s="2642"/>
      <c r="H77" s="2642"/>
      <c r="I77" s="2642"/>
      <c r="J77" s="2604"/>
    </row>
    <row r="78" spans="1:10" ht="13.5" hidden="1" customHeight="1" outlineLevel="1" x14ac:dyDescent="0.25">
      <c r="A78" s="2626"/>
      <c r="B78" s="2639"/>
      <c r="C78" s="2648"/>
      <c r="D78" s="2628"/>
      <c r="E78" s="2629"/>
      <c r="F78" s="2629"/>
      <c r="G78" s="2629"/>
      <c r="H78" s="2629"/>
      <c r="I78" s="2629"/>
      <c r="J78" s="2604"/>
    </row>
    <row r="79" spans="1:10" s="2611" customFormat="1" ht="18.75" customHeight="1" collapsed="1" thickTop="1" thickBot="1" x14ac:dyDescent="0.3">
      <c r="A79" s="2630" t="s">
        <v>229</v>
      </c>
      <c r="B79" s="2631" t="s">
        <v>230</v>
      </c>
      <c r="C79" s="2632"/>
      <c r="D79" s="2633">
        <f>SUM(D80:D107)</f>
        <v>14555.897000000001</v>
      </c>
      <c r="E79" s="2634">
        <f t="shared" ref="E79:I79" si="43">SUM(E80:E107)</f>
        <v>14495.897000000001</v>
      </c>
      <c r="F79" s="2634">
        <f t="shared" si="43"/>
        <v>14495.897000000001</v>
      </c>
      <c r="G79" s="2634">
        <f t="shared" si="43"/>
        <v>14495.897000000001</v>
      </c>
      <c r="H79" s="2634">
        <f t="shared" si="43"/>
        <v>14495.897000000001</v>
      </c>
      <c r="I79" s="2634">
        <f t="shared" si="43"/>
        <v>14495.897000000001</v>
      </c>
      <c r="J79" s="2604"/>
    </row>
    <row r="80" spans="1:10" ht="19.5" hidden="1" customHeight="1" outlineLevel="1" thickTop="1" x14ac:dyDescent="0.2">
      <c r="A80" s="2626"/>
      <c r="B80" s="2639" t="s">
        <v>2137</v>
      </c>
      <c r="C80" s="2649">
        <v>4111</v>
      </c>
      <c r="D80" s="2637">
        <f>+'Souhrn příjmů a výdajů 2024'!H80/1000</f>
        <v>327.697</v>
      </c>
      <c r="E80" s="2638">
        <f>+D80</f>
        <v>327.697</v>
      </c>
      <c r="F80" s="2638">
        <f t="shared" ref="F80:I80" si="44">+E80</f>
        <v>327.697</v>
      </c>
      <c r="G80" s="2638">
        <f t="shared" si="44"/>
        <v>327.697</v>
      </c>
      <c r="H80" s="2638">
        <f t="shared" si="44"/>
        <v>327.697</v>
      </c>
      <c r="I80" s="2638">
        <f t="shared" si="44"/>
        <v>327.697</v>
      </c>
      <c r="J80" s="2604"/>
    </row>
    <row r="81" spans="1:10" ht="19.5" hidden="1" customHeight="1" outlineLevel="1" x14ac:dyDescent="0.2">
      <c r="A81" s="2626"/>
      <c r="B81" s="2639" t="s">
        <v>672</v>
      </c>
      <c r="C81" s="2649">
        <v>4116</v>
      </c>
      <c r="D81" s="2641">
        <f>+'Souhrn příjmů a výdajů 2024'!H81/1000</f>
        <v>60</v>
      </c>
      <c r="E81" s="2642"/>
      <c r="F81" s="2642"/>
      <c r="G81" s="2642"/>
      <c r="H81" s="2642"/>
      <c r="I81" s="2642"/>
      <c r="J81" s="2604"/>
    </row>
    <row r="82" spans="1:10" ht="19.5" hidden="1" customHeight="1" outlineLevel="1" x14ac:dyDescent="0.2">
      <c r="A82" s="2626"/>
      <c r="B82" s="2639" t="s">
        <v>2153</v>
      </c>
      <c r="C82" s="2650">
        <v>4121</v>
      </c>
      <c r="D82" s="2641">
        <f>+'Souhrn příjmů a výdajů 2024'!H83/1000</f>
        <v>0</v>
      </c>
      <c r="E82" s="2642">
        <f>+D82</f>
        <v>0</v>
      </c>
      <c r="F82" s="2642">
        <f t="shared" ref="F82:I82" si="45">+E82</f>
        <v>0</v>
      </c>
      <c r="G82" s="2642">
        <f t="shared" si="45"/>
        <v>0</v>
      </c>
      <c r="H82" s="2642">
        <f t="shared" si="45"/>
        <v>0</v>
      </c>
      <c r="I82" s="2642">
        <f t="shared" si="45"/>
        <v>0</v>
      </c>
      <c r="J82" s="2604"/>
    </row>
    <row r="83" spans="1:10" ht="19.5" hidden="1" customHeight="1" outlineLevel="1" x14ac:dyDescent="0.2">
      <c r="A83" s="2626"/>
      <c r="B83" s="2651" t="s">
        <v>2112</v>
      </c>
      <c r="C83" s="2650" t="s">
        <v>34</v>
      </c>
      <c r="D83" s="2641">
        <f>+'Souhrn příjmů a výdajů 2024'!H84/1000</f>
        <v>0</v>
      </c>
      <c r="E83" s="2642">
        <f>+D83</f>
        <v>0</v>
      </c>
      <c r="F83" s="2642">
        <f t="shared" ref="F83:I83" si="46">+E83</f>
        <v>0</v>
      </c>
      <c r="G83" s="2642">
        <f t="shared" si="46"/>
        <v>0</v>
      </c>
      <c r="H83" s="2642">
        <f t="shared" si="46"/>
        <v>0</v>
      </c>
      <c r="I83" s="2642">
        <f t="shared" si="46"/>
        <v>0</v>
      </c>
      <c r="J83" s="2604"/>
    </row>
    <row r="84" spans="1:10" ht="19.5" hidden="1" customHeight="1" outlineLevel="1" x14ac:dyDescent="0.2">
      <c r="A84" s="2626"/>
      <c r="B84" s="2639" t="s">
        <v>2113</v>
      </c>
      <c r="C84" s="2649">
        <v>4121</v>
      </c>
      <c r="D84" s="2641">
        <f>+'Souhrn příjmů a výdajů 2024'!H85/1000</f>
        <v>0</v>
      </c>
      <c r="E84" s="2642"/>
      <c r="F84" s="2642"/>
      <c r="G84" s="2642"/>
      <c r="H84" s="2642"/>
      <c r="I84" s="2642"/>
      <c r="J84" s="2604"/>
    </row>
    <row r="85" spans="1:10" ht="19.5" hidden="1" customHeight="1" outlineLevel="1" x14ac:dyDescent="0.2">
      <c r="A85" s="2626"/>
      <c r="B85" s="2651" t="s">
        <v>2114</v>
      </c>
      <c r="C85" s="2650">
        <v>4121</v>
      </c>
      <c r="D85" s="2641">
        <f>+'Souhrn příjmů a výdajů 2024'!H86/1000</f>
        <v>0</v>
      </c>
      <c r="E85" s="2642"/>
      <c r="F85" s="2642"/>
      <c r="G85" s="2642"/>
      <c r="H85" s="2642"/>
      <c r="I85" s="2642"/>
      <c r="J85" s="2604"/>
    </row>
    <row r="86" spans="1:10" ht="19.5" hidden="1" customHeight="1" outlineLevel="1" x14ac:dyDescent="0.2">
      <c r="A86" s="2626"/>
      <c r="B86" s="2651" t="s">
        <v>2115</v>
      </c>
      <c r="C86" s="2650">
        <v>4122</v>
      </c>
      <c r="D86" s="2641">
        <f>+'Souhrn příjmů a výdajů 2024'!H87/1000</f>
        <v>0</v>
      </c>
      <c r="E86" s="2642"/>
      <c r="F86" s="2642"/>
      <c r="G86" s="2642"/>
      <c r="H86" s="2642"/>
      <c r="I86" s="2642"/>
      <c r="J86" s="2604"/>
    </row>
    <row r="87" spans="1:10" ht="19.5" hidden="1" customHeight="1" outlineLevel="1" x14ac:dyDescent="0.2">
      <c r="A87" s="2626"/>
      <c r="B87" s="2651" t="s">
        <v>35</v>
      </c>
      <c r="C87" s="2650">
        <v>4112</v>
      </c>
      <c r="D87" s="2641">
        <f>+'Souhrn příjmů a výdajů 2024'!H88/1000</f>
        <v>10095.200000000001</v>
      </c>
      <c r="E87" s="2642">
        <f>+D87</f>
        <v>10095.200000000001</v>
      </c>
      <c r="F87" s="2642">
        <f>+E87</f>
        <v>10095.200000000001</v>
      </c>
      <c r="G87" s="2642">
        <f t="shared" ref="G87:I87" si="47">+F87</f>
        <v>10095.200000000001</v>
      </c>
      <c r="H87" s="2642">
        <f t="shared" si="47"/>
        <v>10095.200000000001</v>
      </c>
      <c r="I87" s="2642">
        <f t="shared" si="47"/>
        <v>10095.200000000001</v>
      </c>
      <c r="J87" s="2604"/>
    </row>
    <row r="88" spans="1:10" ht="19.5" hidden="1" customHeight="1" outlineLevel="1" x14ac:dyDescent="0.2">
      <c r="A88" s="2626"/>
      <c r="B88" s="2651" t="s">
        <v>2119</v>
      </c>
      <c r="C88" s="2650">
        <v>4222</v>
      </c>
      <c r="D88" s="2641">
        <f>+'Souhrn příjmů a výdajů 2024'!H89/1000</f>
        <v>0</v>
      </c>
      <c r="E88" s="2642"/>
      <c r="F88" s="2642"/>
      <c r="G88" s="2642"/>
      <c r="H88" s="2642"/>
      <c r="I88" s="2642"/>
      <c r="J88" s="2604"/>
    </row>
    <row r="89" spans="1:10" ht="19.5" hidden="1" customHeight="1" outlineLevel="1" x14ac:dyDescent="0.2">
      <c r="A89" s="2626"/>
      <c r="B89" s="2651" t="s">
        <v>2169</v>
      </c>
      <c r="C89" s="2650">
        <v>4216</v>
      </c>
      <c r="D89" s="2641">
        <f>+'Souhrn příjmů a výdajů 2024'!H90/1000</f>
        <v>0</v>
      </c>
      <c r="E89" s="2642"/>
      <c r="F89" s="2642"/>
      <c r="G89" s="2642"/>
      <c r="H89" s="2642"/>
      <c r="I89" s="2642"/>
      <c r="J89" s="2604"/>
    </row>
    <row r="90" spans="1:10" ht="19.5" hidden="1" customHeight="1" outlineLevel="1" x14ac:dyDescent="0.2">
      <c r="A90" s="2626"/>
      <c r="B90" s="2651" t="s">
        <v>2116</v>
      </c>
      <c r="C90" s="2650" t="s">
        <v>36</v>
      </c>
      <c r="D90" s="2641">
        <f>+'Souhrn příjmů a výdajů 2024'!H91/1000</f>
        <v>0</v>
      </c>
      <c r="E90" s="2642"/>
      <c r="F90" s="2642"/>
      <c r="G90" s="2642"/>
      <c r="H90" s="2642"/>
      <c r="I90" s="2642"/>
      <c r="J90" s="2604"/>
    </row>
    <row r="91" spans="1:10" ht="12" hidden="1" outlineLevel="1" x14ac:dyDescent="0.2">
      <c r="A91" s="2626"/>
      <c r="B91" s="2651" t="s">
        <v>2117</v>
      </c>
      <c r="C91" s="2650">
        <v>4216</v>
      </c>
      <c r="D91" s="2641">
        <f>+'Souhrn příjmů a výdajů 2024'!H92/1000</f>
        <v>0</v>
      </c>
      <c r="E91" s="2642"/>
      <c r="F91" s="2642"/>
      <c r="G91" s="2642"/>
      <c r="H91" s="2642"/>
      <c r="I91" s="2642"/>
      <c r="J91" s="2604"/>
    </row>
    <row r="92" spans="1:10" ht="19.5" hidden="1" customHeight="1" outlineLevel="1" x14ac:dyDescent="0.2">
      <c r="A92" s="2626"/>
      <c r="B92" s="2639" t="s">
        <v>1965</v>
      </c>
      <c r="C92" s="2649">
        <v>4117</v>
      </c>
      <c r="D92" s="2641">
        <f>+'Souhrn příjmů a výdajů 2024'!H93/1000</f>
        <v>0</v>
      </c>
      <c r="E92" s="2642"/>
      <c r="F92" s="2642"/>
      <c r="G92" s="2642"/>
      <c r="H92" s="2642"/>
      <c r="I92" s="2642"/>
      <c r="J92" s="2604"/>
    </row>
    <row r="93" spans="1:10" ht="19.5" hidden="1" customHeight="1" outlineLevel="1" x14ac:dyDescent="0.2">
      <c r="A93" s="2626"/>
      <c r="B93" s="2639" t="s">
        <v>348</v>
      </c>
      <c r="C93" s="2649">
        <v>4121</v>
      </c>
      <c r="D93" s="2641">
        <f>+'Souhrn příjmů a výdajů 2024'!H94/1000</f>
        <v>100</v>
      </c>
      <c r="E93" s="2642">
        <f>+D93</f>
        <v>100</v>
      </c>
      <c r="F93" s="2642">
        <f t="shared" ref="F93:I94" si="48">+E93</f>
        <v>100</v>
      </c>
      <c r="G93" s="2642">
        <f t="shared" si="48"/>
        <v>100</v>
      </c>
      <c r="H93" s="2642">
        <f t="shared" si="48"/>
        <v>100</v>
      </c>
      <c r="I93" s="2642">
        <f t="shared" si="48"/>
        <v>100</v>
      </c>
      <c r="J93" s="2604"/>
    </row>
    <row r="94" spans="1:10" ht="19.5" hidden="1" customHeight="1" outlineLevel="1" x14ac:dyDescent="0.2">
      <c r="A94" s="2626"/>
      <c r="B94" s="2639" t="s">
        <v>349</v>
      </c>
      <c r="C94" s="2649">
        <v>4121</v>
      </c>
      <c r="D94" s="2628">
        <f>+'Souhrn příjmů a výdajů 2024'!H95/1000</f>
        <v>2229</v>
      </c>
      <c r="E94" s="2629">
        <f>+D94</f>
        <v>2229</v>
      </c>
      <c r="F94" s="2629">
        <f>+E94</f>
        <v>2229</v>
      </c>
      <c r="G94" s="2629">
        <f t="shared" si="48"/>
        <v>2229</v>
      </c>
      <c r="H94" s="2629">
        <f t="shared" si="48"/>
        <v>2229</v>
      </c>
      <c r="I94" s="2629">
        <f t="shared" si="48"/>
        <v>2229</v>
      </c>
      <c r="J94" s="2604"/>
    </row>
    <row r="95" spans="1:10" ht="19.5" hidden="1" customHeight="1" outlineLevel="1" x14ac:dyDescent="0.2">
      <c r="A95" s="2626"/>
      <c r="B95" s="2639" t="s">
        <v>961</v>
      </c>
      <c r="C95" s="2649">
        <v>4216</v>
      </c>
      <c r="D95" s="2628">
        <f>+'Souhrn příjmů a výdajů 2024'!H96/1000</f>
        <v>0</v>
      </c>
      <c r="E95" s="2629"/>
      <c r="F95" s="2629"/>
      <c r="G95" s="2629"/>
      <c r="H95" s="2629"/>
      <c r="I95" s="2629"/>
      <c r="J95" s="2604"/>
    </row>
    <row r="96" spans="1:10" ht="19.5" hidden="1" customHeight="1" outlineLevel="1" x14ac:dyDescent="0.2">
      <c r="A96" s="2626"/>
      <c r="B96" s="2651" t="s">
        <v>2118</v>
      </c>
      <c r="C96" s="2650">
        <v>4216</v>
      </c>
      <c r="D96" s="2628">
        <f>+'Souhrn příjmů a výdajů 2024'!H97/1000</f>
        <v>0</v>
      </c>
      <c r="E96" s="2629"/>
      <c r="F96" s="2629"/>
      <c r="G96" s="2629"/>
      <c r="H96" s="2629"/>
      <c r="I96" s="2629"/>
      <c r="J96" s="2604"/>
    </row>
    <row r="97" spans="1:10" ht="19.5" hidden="1" customHeight="1" outlineLevel="1" x14ac:dyDescent="0.2">
      <c r="A97" s="2626"/>
      <c r="B97" s="2639" t="s">
        <v>1241</v>
      </c>
      <c r="C97" s="2649">
        <v>4222</v>
      </c>
      <c r="D97" s="2628">
        <f>+'Souhrn příjmů a výdajů 2024'!H98/1000</f>
        <v>0</v>
      </c>
      <c r="E97" s="2629"/>
      <c r="F97" s="2629"/>
      <c r="G97" s="2629"/>
      <c r="H97" s="2629"/>
      <c r="I97" s="2629"/>
      <c r="J97" s="2604"/>
    </row>
    <row r="98" spans="1:10" ht="19.5" hidden="1" customHeight="1" outlineLevel="1" x14ac:dyDescent="0.2">
      <c r="A98" s="2626"/>
      <c r="B98" s="2639" t="s">
        <v>2384</v>
      </c>
      <c r="C98" s="2649">
        <v>4216</v>
      </c>
      <c r="D98" s="2628">
        <f>+'Souhrn příjmů a výdajů 2024'!H99/1000</f>
        <v>0</v>
      </c>
      <c r="E98" s="2629"/>
      <c r="F98" s="2629"/>
      <c r="G98" s="2629"/>
      <c r="H98" s="2629"/>
      <c r="I98" s="2629"/>
      <c r="J98" s="2604"/>
    </row>
    <row r="99" spans="1:10" ht="19.5" hidden="1" customHeight="1" outlineLevel="1" x14ac:dyDescent="0.2">
      <c r="A99" s="2626"/>
      <c r="B99" s="2639" t="s">
        <v>1974</v>
      </c>
      <c r="C99" s="2649">
        <v>4216</v>
      </c>
      <c r="D99" s="2628">
        <f>+'Souhrn příjmů a výdajů 2024'!H101/1000</f>
        <v>0</v>
      </c>
      <c r="E99" s="2629"/>
      <c r="F99" s="2629"/>
      <c r="G99" s="2629"/>
      <c r="H99" s="2629"/>
      <c r="I99" s="2629"/>
      <c r="J99" s="2604"/>
    </row>
    <row r="100" spans="1:10" ht="19.5" hidden="1" customHeight="1" outlineLevel="1" x14ac:dyDescent="0.2">
      <c r="A100" s="2626"/>
      <c r="B100" s="2639" t="s">
        <v>1153</v>
      </c>
      <c r="C100" s="2649" t="s">
        <v>36</v>
      </c>
      <c r="D100" s="2628">
        <f>+'Souhrn příjmů a výdajů 2024'!H103/1000</f>
        <v>0</v>
      </c>
      <c r="E100" s="2629"/>
      <c r="F100" s="2629"/>
      <c r="G100" s="2629"/>
      <c r="H100" s="2629"/>
      <c r="I100" s="2629"/>
      <c r="J100" s="2604"/>
    </row>
    <row r="101" spans="1:10" ht="19.5" hidden="1" customHeight="1" outlineLevel="1" x14ac:dyDescent="0.2">
      <c r="A101" s="2626"/>
      <c r="B101" s="2639" t="s">
        <v>962</v>
      </c>
      <c r="C101" s="2649">
        <v>4216</v>
      </c>
      <c r="D101" s="2628">
        <f>+'Souhrn příjmů a výdajů 2024'!H105/1000</f>
        <v>0</v>
      </c>
      <c r="E101" s="2629"/>
      <c r="F101" s="2629"/>
      <c r="G101" s="2629"/>
      <c r="H101" s="2629"/>
      <c r="I101" s="2629"/>
      <c r="J101" s="2604"/>
    </row>
    <row r="102" spans="1:10" ht="19.5" hidden="1" customHeight="1" outlineLevel="1" x14ac:dyDescent="0.2">
      <c r="A102" s="2626"/>
      <c r="B102" s="2639" t="s">
        <v>1240</v>
      </c>
      <c r="C102" s="2649">
        <v>4216</v>
      </c>
      <c r="D102" s="2628">
        <f>+'Souhrn příjmů a výdajů 2024'!H106/1000</f>
        <v>0</v>
      </c>
      <c r="E102" s="2629"/>
      <c r="F102" s="2629"/>
      <c r="G102" s="2629"/>
      <c r="H102" s="2629"/>
      <c r="I102" s="2629"/>
      <c r="J102" s="2604"/>
    </row>
    <row r="103" spans="1:10" ht="19.5" hidden="1" customHeight="1" outlineLevel="1" x14ac:dyDescent="0.2">
      <c r="A103" s="2626"/>
      <c r="B103" s="2652" t="s">
        <v>1154</v>
      </c>
      <c r="C103" s="2649" t="s">
        <v>36</v>
      </c>
      <c r="D103" s="2628">
        <f>+'Souhrn příjmů a výdajů 2024'!H107/1000</f>
        <v>0</v>
      </c>
      <c r="E103" s="2629"/>
      <c r="F103" s="2629"/>
      <c r="G103" s="2629"/>
      <c r="H103" s="2629"/>
      <c r="I103" s="2629"/>
      <c r="J103" s="2604"/>
    </row>
    <row r="104" spans="1:10" ht="19.5" hidden="1" customHeight="1" outlineLevel="1" x14ac:dyDescent="0.2">
      <c r="A104" s="2626"/>
      <c r="B104" s="2639" t="s">
        <v>1155</v>
      </c>
      <c r="C104" s="2649" t="s">
        <v>36</v>
      </c>
      <c r="D104" s="2628">
        <f>+'Souhrn příjmů a výdajů 2024'!H108/1000</f>
        <v>0</v>
      </c>
      <c r="E104" s="2629"/>
      <c r="F104" s="2629"/>
      <c r="G104" s="2629"/>
      <c r="H104" s="2629"/>
      <c r="I104" s="2629"/>
      <c r="J104" s="2604"/>
    </row>
    <row r="105" spans="1:10" ht="19.5" hidden="1" customHeight="1" outlineLevel="1" x14ac:dyDescent="0.2">
      <c r="A105" s="2626"/>
      <c r="B105" s="2639" t="s">
        <v>2154</v>
      </c>
      <c r="C105" s="2649">
        <v>4122</v>
      </c>
      <c r="D105" s="2628">
        <f>+'Souhrn příjmů a výdajů 2024'!H109/1000</f>
        <v>1744</v>
      </c>
      <c r="E105" s="2629">
        <f>+D105</f>
        <v>1744</v>
      </c>
      <c r="F105" s="2629">
        <f>+E105</f>
        <v>1744</v>
      </c>
      <c r="G105" s="2629">
        <f t="shared" ref="G105:I105" si="49">+F105</f>
        <v>1744</v>
      </c>
      <c r="H105" s="2629">
        <f t="shared" si="49"/>
        <v>1744</v>
      </c>
      <c r="I105" s="2629">
        <f t="shared" si="49"/>
        <v>1744</v>
      </c>
      <c r="J105" s="2604"/>
    </row>
    <row r="106" spans="1:10" ht="19.5" hidden="1" customHeight="1" outlineLevel="1" x14ac:dyDescent="0.2">
      <c r="A106" s="2626"/>
      <c r="B106" s="2639"/>
      <c r="C106" s="2646"/>
      <c r="D106" s="2628"/>
      <c r="E106" s="2629"/>
      <c r="F106" s="2629"/>
      <c r="G106" s="2629"/>
      <c r="H106" s="2629"/>
      <c r="I106" s="2629"/>
      <c r="J106" s="2604"/>
    </row>
    <row r="107" spans="1:10" ht="21.75" hidden="1" customHeight="1" outlineLevel="1" x14ac:dyDescent="0.25">
      <c r="A107" s="2626"/>
      <c r="B107" s="2647"/>
      <c r="C107" s="2648"/>
      <c r="D107" s="2628"/>
      <c r="E107" s="2629"/>
      <c r="F107" s="2629"/>
      <c r="G107" s="2629"/>
      <c r="H107" s="2629"/>
      <c r="I107" s="2629"/>
      <c r="J107" s="2604"/>
    </row>
    <row r="108" spans="1:10" s="2611" customFormat="1" ht="14.25" collapsed="1" thickTop="1" thickBot="1" x14ac:dyDescent="0.3">
      <c r="A108" s="2630" t="s">
        <v>231</v>
      </c>
      <c r="B108" s="2631" t="s">
        <v>232</v>
      </c>
      <c r="C108" s="2632"/>
      <c r="D108" s="2633">
        <f>SUM(D109:D111)</f>
        <v>47317.506999999998</v>
      </c>
      <c r="E108" s="2634">
        <f t="shared" ref="E108:I108" si="50">SUM(E109:E111)</f>
        <v>15000</v>
      </c>
      <c r="F108" s="2634">
        <f t="shared" si="50"/>
        <v>75500</v>
      </c>
      <c r="G108" s="2634">
        <f t="shared" si="50"/>
        <v>7242</v>
      </c>
      <c r="H108" s="2634">
        <f t="shared" si="50"/>
        <v>3935</v>
      </c>
      <c r="I108" s="2634">
        <f t="shared" si="50"/>
        <v>3935</v>
      </c>
      <c r="J108" s="2604"/>
    </row>
    <row r="109" spans="1:10" ht="17.25" hidden="1" customHeight="1" outlineLevel="1" thickTop="1" x14ac:dyDescent="0.2">
      <c r="A109" s="1801"/>
      <c r="B109" s="2651" t="s">
        <v>233</v>
      </c>
      <c r="C109" s="2636" t="s">
        <v>38</v>
      </c>
      <c r="D109" s="2653">
        <f>+'Souhrn příjmů a výdajů 2024'!H112/1000</f>
        <v>13900</v>
      </c>
      <c r="E109" s="2654">
        <v>15000</v>
      </c>
      <c r="F109" s="2654">
        <f>+E109+500</f>
        <v>15500</v>
      </c>
      <c r="G109" s="2654">
        <f>+F109+500-8758</f>
        <v>7242</v>
      </c>
      <c r="H109" s="2654">
        <f>+G109+500-12565+8758</f>
        <v>3935</v>
      </c>
      <c r="I109" s="2638">
        <f>+H109</f>
        <v>3935</v>
      </c>
      <c r="J109" s="2604"/>
    </row>
    <row r="110" spans="1:10" ht="17.25" hidden="1" customHeight="1" outlineLevel="1" x14ac:dyDescent="0.2">
      <c r="A110" s="1801"/>
      <c r="B110" s="2639" t="s">
        <v>776</v>
      </c>
      <c r="C110" s="2640" t="s">
        <v>38</v>
      </c>
      <c r="D110" s="2655">
        <f>+'Příjmy kapitol celkem'!E109/1000</f>
        <v>0</v>
      </c>
      <c r="E110" s="2656"/>
      <c r="F110" s="2656"/>
      <c r="G110" s="2656"/>
      <c r="H110" s="2656"/>
      <c r="I110" s="2642"/>
      <c r="J110" s="2604"/>
    </row>
    <row r="111" spans="1:10" ht="17.25" hidden="1" customHeight="1" outlineLevel="1" x14ac:dyDescent="0.2">
      <c r="A111" s="1801"/>
      <c r="B111" s="2639" t="s">
        <v>774</v>
      </c>
      <c r="C111" s="2640" t="s">
        <v>60</v>
      </c>
      <c r="D111" s="2655">
        <f>+'Souhrn příjmů a výdajů 2024'!H114/1000</f>
        <v>33417.506999999998</v>
      </c>
      <c r="E111" s="2656"/>
      <c r="F111" s="2656">
        <v>60000</v>
      </c>
      <c r="G111" s="2656"/>
      <c r="H111" s="2656"/>
      <c r="I111" s="2642"/>
      <c r="J111" s="2604"/>
    </row>
    <row r="112" spans="1:10" hidden="1" outlineLevel="1" x14ac:dyDescent="0.25">
      <c r="A112" s="1801"/>
      <c r="B112" s="2647"/>
      <c r="C112" s="2657"/>
      <c r="D112" s="2655"/>
      <c r="E112" s="2656"/>
      <c r="F112" s="2656"/>
      <c r="G112" s="2656"/>
      <c r="H112" s="2656"/>
      <c r="I112" s="2642"/>
      <c r="J112" s="2604"/>
    </row>
    <row r="113" spans="1:11" s="2611" customFormat="1" ht="14.25" collapsed="1" thickTop="1" thickBot="1" x14ac:dyDescent="0.3">
      <c r="A113" s="2630" t="s">
        <v>234</v>
      </c>
      <c r="B113" s="2631"/>
      <c r="C113" s="2632"/>
      <c r="D113" s="2633">
        <f t="shared" ref="D113:I113" si="51">+D108+D79+D74+D27+D6</f>
        <v>308588.36200000002</v>
      </c>
      <c r="E113" s="2634">
        <f t="shared" si="51"/>
        <v>239910.47350000002</v>
      </c>
      <c r="F113" s="2634">
        <f t="shared" si="51"/>
        <v>300718.82785700005</v>
      </c>
      <c r="G113" s="2634">
        <f t="shared" si="51"/>
        <v>233598.59916951004</v>
      </c>
      <c r="H113" s="2634">
        <f t="shared" si="51"/>
        <v>231459.8001006821</v>
      </c>
      <c r="I113" s="2634">
        <f t="shared" si="51"/>
        <v>237188.15811979599</v>
      </c>
      <c r="J113" s="2604"/>
    </row>
    <row r="114" spans="1:11" s="1871" customFormat="1" ht="12.75" hidden="1" customHeight="1" thickTop="1" x14ac:dyDescent="0.25">
      <c r="A114" s="1829"/>
      <c r="B114" s="1828" t="s">
        <v>235</v>
      </c>
      <c r="C114" s="1827"/>
      <c r="D114" s="2658">
        <f>+D113-'Příjmy kapitol celkem'!I113/1000</f>
        <v>-26610.885999999999</v>
      </c>
      <c r="E114" s="1764"/>
      <c r="F114" s="1764"/>
      <c r="G114" s="1764"/>
      <c r="H114" s="1764"/>
      <c r="I114" s="2659"/>
      <c r="J114" s="2604"/>
    </row>
    <row r="115" spans="1:11" ht="14.25" thickTop="1" thickBot="1" x14ac:dyDescent="0.3">
      <c r="A115" s="1801"/>
      <c r="B115" s="1801"/>
      <c r="C115" s="2597"/>
      <c r="D115" s="2660"/>
      <c r="E115" s="2661"/>
      <c r="F115" s="2661"/>
      <c r="G115" s="2661"/>
      <c r="H115" s="2661"/>
      <c r="I115" s="2662"/>
      <c r="J115" s="2604"/>
    </row>
    <row r="116" spans="1:11" ht="38.65" customHeight="1" thickBot="1" x14ac:dyDescent="0.25">
      <c r="A116" s="2663" t="s">
        <v>236</v>
      </c>
      <c r="B116" s="2664"/>
      <c r="C116" s="2665" t="s">
        <v>63</v>
      </c>
      <c r="D116" s="2666" t="str">
        <f t="shared" ref="D116:I116" si="52">D4</f>
        <v>Návrh rozpočtu 2024</v>
      </c>
      <c r="E116" s="2667" t="str">
        <f t="shared" si="52"/>
        <v>Výhled 2025</v>
      </c>
      <c r="F116" s="2667" t="str">
        <f t="shared" si="52"/>
        <v>Výhled 2026</v>
      </c>
      <c r="G116" s="2667" t="str">
        <f t="shared" si="52"/>
        <v>Výhled 2027</v>
      </c>
      <c r="H116" s="2667" t="str">
        <f t="shared" si="52"/>
        <v>Výhled 2028</v>
      </c>
      <c r="I116" s="2667" t="str">
        <f t="shared" si="52"/>
        <v>Výhled 2029</v>
      </c>
      <c r="J116" s="2604"/>
    </row>
    <row r="117" spans="1:11" ht="13.5" thickBot="1" x14ac:dyDescent="0.3">
      <c r="A117" s="1801"/>
      <c r="B117" s="1801"/>
      <c r="C117" s="2597"/>
      <c r="D117" s="2668"/>
      <c r="E117" s="1776"/>
      <c r="F117" s="1776"/>
      <c r="G117" s="1776"/>
      <c r="H117" s="1776"/>
      <c r="I117" s="2669"/>
      <c r="J117" s="2604"/>
    </row>
    <row r="118" spans="1:11" s="2611" customFormat="1" ht="13.5" thickBot="1" x14ac:dyDescent="0.3">
      <c r="A118" s="2670" t="s">
        <v>237</v>
      </c>
      <c r="B118" s="2671" t="s">
        <v>238</v>
      </c>
      <c r="C118" s="2672"/>
      <c r="D118" s="2673">
        <f>+D119+D129</f>
        <v>202094.65644123999</v>
      </c>
      <c r="E118" s="2674">
        <f t="shared" ref="E118:I118" si="53">+E119+E129</f>
        <v>203843.52840707664</v>
      </c>
      <c r="F118" s="2674">
        <f t="shared" si="53"/>
        <v>206858.34873569832</v>
      </c>
      <c r="G118" s="2674">
        <f t="shared" si="53"/>
        <v>209439.33016245835</v>
      </c>
      <c r="H118" s="2674">
        <f t="shared" si="53"/>
        <v>212675.85470189416</v>
      </c>
      <c r="I118" s="2674">
        <f t="shared" si="53"/>
        <v>216914.78888063878</v>
      </c>
      <c r="J118" s="2604"/>
      <c r="K118" s="1866"/>
    </row>
    <row r="119" spans="1:11" s="2611" customFormat="1" ht="13.5" thickBot="1" x14ac:dyDescent="0.3">
      <c r="A119" s="2675"/>
      <c r="B119" s="2676" t="s">
        <v>734</v>
      </c>
      <c r="C119" s="2677"/>
      <c r="D119" s="2678">
        <f>SUM(D120:D127)</f>
        <v>45691.301599999999</v>
      </c>
      <c r="E119" s="2679">
        <f t="shared" ref="E119:I119" si="54">SUM(E120:E127)</f>
        <v>45991.308651631603</v>
      </c>
      <c r="F119" s="2679">
        <f t="shared" si="54"/>
        <v>46394.916475713515</v>
      </c>
      <c r="G119" s="2679">
        <f t="shared" si="54"/>
        <v>46808.446436121267</v>
      </c>
      <c r="H119" s="2679">
        <f t="shared" si="54"/>
        <v>47232.231093144939</v>
      </c>
      <c r="I119" s="2679">
        <f t="shared" si="54"/>
        <v>47666.614595184103</v>
      </c>
      <c r="J119" s="2604"/>
    </row>
    <row r="120" spans="1:11" s="2686" customFormat="1" hidden="1" outlineLevel="1" thickTop="1" x14ac:dyDescent="0.2">
      <c r="A120" s="2680"/>
      <c r="B120" s="2681" t="s">
        <v>64</v>
      </c>
      <c r="C120" s="2682">
        <v>5011</v>
      </c>
      <c r="D120" s="2683">
        <f>'Výdaje kapitol celkem'!G8/1000</f>
        <v>28483</v>
      </c>
      <c r="E120" s="2684">
        <f>+D120*1.0035</f>
        <v>28582.690500000001</v>
      </c>
      <c r="F120" s="2684">
        <f>+E120*1.0035</f>
        <v>28682.729916750002</v>
      </c>
      <c r="G120" s="2684">
        <f>+F120*1.0035</f>
        <v>28783.119471458627</v>
      </c>
      <c r="H120" s="2684">
        <f>+G120*1.0035</f>
        <v>28883.860389608733</v>
      </c>
      <c r="I120" s="2684">
        <f>+H120*1.0035</f>
        <v>28984.953900972367</v>
      </c>
      <c r="J120" s="2685"/>
    </row>
    <row r="121" spans="1:11" s="2686" customFormat="1" ht="12" hidden="1" outlineLevel="1" x14ac:dyDescent="0.2">
      <c r="A121" s="2680"/>
      <c r="B121" s="2687" t="s">
        <v>65</v>
      </c>
      <c r="C121" s="2688">
        <v>5021</v>
      </c>
      <c r="D121" s="2689">
        <f>'Výdaje kapitol celkem'!G9/1000</f>
        <v>2257.2370000000001</v>
      </c>
      <c r="E121" s="2690">
        <f>+D121*1.035</f>
        <v>2336.2402950000001</v>
      </c>
      <c r="F121" s="2690">
        <f t="shared" ref="F121:I121" si="55">+E121*1.035</f>
        <v>2418.0087053249999</v>
      </c>
      <c r="G121" s="2690">
        <f t="shared" si="55"/>
        <v>2502.6390100113749</v>
      </c>
      <c r="H121" s="2690">
        <f t="shared" si="55"/>
        <v>2590.2313753617727</v>
      </c>
      <c r="I121" s="2690">
        <f t="shared" si="55"/>
        <v>2680.8894734994346</v>
      </c>
      <c r="J121" s="2685"/>
    </row>
    <row r="122" spans="1:11" ht="18" hidden="1" customHeight="1" outlineLevel="1" x14ac:dyDescent="0.2">
      <c r="A122" s="2626"/>
      <c r="B122" s="2639" t="s">
        <v>477</v>
      </c>
      <c r="C122" s="2640">
        <v>5023</v>
      </c>
      <c r="D122" s="2641">
        <f>'Výdaje kapitol celkem'!G10/1000</f>
        <v>3310</v>
      </c>
      <c r="E122" s="2690">
        <f>+D122*1.035</f>
        <v>3425.85</v>
      </c>
      <c r="F122" s="2690">
        <f t="shared" ref="F122:I122" si="56">+E122*1.035</f>
        <v>3545.7547499999996</v>
      </c>
      <c r="G122" s="2690">
        <f t="shared" si="56"/>
        <v>3669.8561662499992</v>
      </c>
      <c r="H122" s="2690">
        <f t="shared" si="56"/>
        <v>3798.3011320687488</v>
      </c>
      <c r="I122" s="2690">
        <f t="shared" si="56"/>
        <v>3931.2416716911548</v>
      </c>
      <c r="J122" s="2691"/>
    </row>
    <row r="123" spans="1:11" ht="18" hidden="1" customHeight="1" outlineLevel="1" x14ac:dyDescent="0.2">
      <c r="A123" s="2626"/>
      <c r="B123" s="2617" t="s">
        <v>733</v>
      </c>
      <c r="C123" s="2618">
        <v>5024</v>
      </c>
      <c r="D123" s="2619">
        <f>'Výdaje kapitol celkem'!G11/1000</f>
        <v>94</v>
      </c>
      <c r="E123" s="2620"/>
      <c r="F123" s="2620"/>
      <c r="G123" s="2620"/>
      <c r="H123" s="2620"/>
      <c r="I123" s="2620"/>
      <c r="J123" s="2604"/>
    </row>
    <row r="124" spans="1:11" ht="18" hidden="1" customHeight="1" outlineLevel="1" x14ac:dyDescent="0.2">
      <c r="A124" s="2626"/>
      <c r="B124" s="2639" t="s">
        <v>66</v>
      </c>
      <c r="C124" s="2640">
        <v>5029</v>
      </c>
      <c r="D124" s="2641">
        <f>'Výdaje kapitol celkem'!G12/1000</f>
        <v>30</v>
      </c>
      <c r="E124" s="2642">
        <f>+D124*1.035</f>
        <v>31.049999999999997</v>
      </c>
      <c r="F124" s="2642">
        <f t="shared" ref="F124:I124" si="57">+E124*1.035</f>
        <v>32.136749999999992</v>
      </c>
      <c r="G124" s="2642">
        <f t="shared" si="57"/>
        <v>33.261536249999992</v>
      </c>
      <c r="H124" s="2642">
        <f t="shared" si="57"/>
        <v>34.425690018749989</v>
      </c>
      <c r="I124" s="2642">
        <f t="shared" si="57"/>
        <v>35.630589169406235</v>
      </c>
      <c r="J124" s="2604"/>
    </row>
    <row r="125" spans="1:11" ht="18" hidden="1" customHeight="1" outlineLevel="1" x14ac:dyDescent="0.2">
      <c r="A125" s="2626"/>
      <c r="B125" s="2639" t="s">
        <v>67</v>
      </c>
      <c r="C125" s="2640">
        <v>5031</v>
      </c>
      <c r="D125" s="2641">
        <f>'Výdaje kapitol celkem'!G13/1000</f>
        <v>8365.32</v>
      </c>
      <c r="E125" s="2642">
        <f>+D125/(D120+D121+D122)*(E120+E121+E122)</f>
        <v>8437.6822892606997</v>
      </c>
      <c r="F125" s="2642">
        <f t="shared" ref="F125:I125" si="58">+E125/(E120+E121+E122)*(F120+F121+F122)</f>
        <v>8511.8057749579366</v>
      </c>
      <c r="G125" s="2642">
        <f t="shared" si="58"/>
        <v>8587.7493987740836</v>
      </c>
      <c r="H125" s="2642">
        <f t="shared" si="58"/>
        <v>8665.5741558997197</v>
      </c>
      <c r="I125" s="2642">
        <f t="shared" si="58"/>
        <v>8745.3431668733429</v>
      </c>
      <c r="J125" s="2604"/>
    </row>
    <row r="126" spans="1:11" ht="18" hidden="1" customHeight="1" outlineLevel="1" x14ac:dyDescent="0.2">
      <c r="A126" s="2626"/>
      <c r="B126" s="2639" t="s">
        <v>68</v>
      </c>
      <c r="C126" s="2640">
        <v>5032</v>
      </c>
      <c r="D126" s="2641">
        <f>'Výdaje kapitol celkem'!G14/1000</f>
        <v>3011.578</v>
      </c>
      <c r="E126" s="2642">
        <f>+D126/(D120+D121+D122)*(E120+E121+E122)</f>
        <v>3037.628967370903</v>
      </c>
      <c r="F126" s="2642">
        <f t="shared" ref="F126:I126" si="59">+E126/(E120+E121+E122)*(F120+F121+F122)</f>
        <v>3064.3139786805855</v>
      </c>
      <c r="G126" s="2642">
        <f t="shared" si="59"/>
        <v>3091.6542533771881</v>
      </c>
      <c r="H126" s="2642">
        <f t="shared" si="59"/>
        <v>3119.6717501872217</v>
      </c>
      <c r="I126" s="2642">
        <f t="shared" si="59"/>
        <v>3148.3891929784031</v>
      </c>
      <c r="J126" s="2604"/>
    </row>
    <row r="127" spans="1:11" ht="18" hidden="1" customHeight="1" outlineLevel="1" x14ac:dyDescent="0.2">
      <c r="A127" s="2626"/>
      <c r="B127" s="2639" t="s">
        <v>69</v>
      </c>
      <c r="C127" s="2640">
        <v>5038</v>
      </c>
      <c r="D127" s="2641">
        <f>'Výdaje kapitol celkem'!G15/1000</f>
        <v>140.16660000000002</v>
      </c>
      <c r="E127" s="2642">
        <f>+D127</f>
        <v>140.16660000000002</v>
      </c>
      <c r="F127" s="2642">
        <f t="shared" ref="F127:I127" si="60">+E127</f>
        <v>140.16660000000002</v>
      </c>
      <c r="G127" s="2642">
        <f t="shared" si="60"/>
        <v>140.16660000000002</v>
      </c>
      <c r="H127" s="2642">
        <f t="shared" si="60"/>
        <v>140.16660000000002</v>
      </c>
      <c r="I127" s="2642">
        <f t="shared" si="60"/>
        <v>140.16660000000002</v>
      </c>
      <c r="J127" s="2604"/>
    </row>
    <row r="128" spans="1:11" ht="12" hidden="1" outlineLevel="1" x14ac:dyDescent="0.2">
      <c r="A128" s="2626"/>
      <c r="B128" s="2692"/>
      <c r="C128" s="1877"/>
      <c r="D128" s="2693"/>
      <c r="E128" s="2669"/>
      <c r="F128" s="2669"/>
      <c r="G128" s="2669"/>
      <c r="H128" s="2669"/>
      <c r="I128" s="2669"/>
      <c r="J128" s="2604"/>
    </row>
    <row r="129" spans="1:12" s="2611" customFormat="1" ht="14.25" collapsed="1" thickTop="1" thickBot="1" x14ac:dyDescent="0.3">
      <c r="A129" s="2675"/>
      <c r="B129" s="2694" t="s">
        <v>239</v>
      </c>
      <c r="C129" s="2695"/>
      <c r="D129" s="2633">
        <f>SUM(D130:D166)</f>
        <v>156403.35484123998</v>
      </c>
      <c r="E129" s="2634">
        <f t="shared" ref="E129:I129" si="61">SUM(E130:E166)</f>
        <v>157852.21975544502</v>
      </c>
      <c r="F129" s="2634">
        <f t="shared" si="61"/>
        <v>160463.43225998481</v>
      </c>
      <c r="G129" s="2634">
        <f t="shared" si="61"/>
        <v>162630.88372633708</v>
      </c>
      <c r="H129" s="2634">
        <f t="shared" si="61"/>
        <v>165443.62360874921</v>
      </c>
      <c r="I129" s="2634">
        <f t="shared" si="61"/>
        <v>169248.17428545468</v>
      </c>
      <c r="J129" s="2604"/>
      <c r="K129" s="1866"/>
      <c r="L129" s="1866"/>
    </row>
    <row r="130" spans="1:12" ht="18" hidden="1" customHeight="1" outlineLevel="1" thickTop="1" x14ac:dyDescent="0.2">
      <c r="A130" s="2626"/>
      <c r="B130" s="2651" t="s">
        <v>71</v>
      </c>
      <c r="C130" s="2636">
        <v>5178</v>
      </c>
      <c r="D130" s="2637">
        <f>'Výdaje kapitol celkem'!N17/1000</f>
        <v>0</v>
      </c>
      <c r="E130" s="2638">
        <f>'Výdaje kapitol celkem'!O17</f>
        <v>0</v>
      </c>
      <c r="F130" s="2638">
        <f>'Výdaje kapitol celkem'!Q17</f>
        <v>0</v>
      </c>
      <c r="G130" s="2638">
        <f>'Výdaje kapitol celkem'!R17</f>
        <v>0</v>
      </c>
      <c r="H130" s="2638">
        <f>'Výdaje kapitol celkem'!S17</f>
        <v>0</v>
      </c>
      <c r="I130" s="2638">
        <f>'Výdaje kapitol celkem'!T17</f>
        <v>0</v>
      </c>
      <c r="J130" s="2604"/>
    </row>
    <row r="131" spans="1:12" ht="18" hidden="1" customHeight="1" outlineLevel="1" x14ac:dyDescent="0.2">
      <c r="A131" s="2626"/>
      <c r="B131" s="2639" t="s">
        <v>72</v>
      </c>
      <c r="C131" s="2640">
        <v>5132</v>
      </c>
      <c r="D131" s="2641">
        <f>'Výdaje kapitol celkem'!N18/1000</f>
        <v>0</v>
      </c>
      <c r="E131" s="2642">
        <f>'Výdaje kapitol celkem'!O18</f>
        <v>0</v>
      </c>
      <c r="F131" s="2642">
        <f>'Výdaje kapitol celkem'!Q18</f>
        <v>0</v>
      </c>
      <c r="G131" s="2642">
        <f>'Výdaje kapitol celkem'!R18</f>
        <v>0</v>
      </c>
      <c r="H131" s="2642">
        <f>'Výdaje kapitol celkem'!S18</f>
        <v>0</v>
      </c>
      <c r="I131" s="2642">
        <f>'Výdaje kapitol celkem'!T18</f>
        <v>0</v>
      </c>
      <c r="J131" s="2604"/>
    </row>
    <row r="132" spans="1:12" ht="18" hidden="1" customHeight="1" outlineLevel="1" x14ac:dyDescent="0.2">
      <c r="A132" s="2626"/>
      <c r="B132" s="2639" t="s">
        <v>73</v>
      </c>
      <c r="C132" s="2640">
        <v>5134</v>
      </c>
      <c r="D132" s="2641">
        <f>'Výdaje kapitol celkem'!G19/1000</f>
        <v>210</v>
      </c>
      <c r="E132" s="2642">
        <f>+D132*1.03</f>
        <v>216.3</v>
      </c>
      <c r="F132" s="2642">
        <f t="shared" ref="F132:I132" si="62">+E132*1.03</f>
        <v>222.78900000000002</v>
      </c>
      <c r="G132" s="2642">
        <f t="shared" si="62"/>
        <v>229.47267000000002</v>
      </c>
      <c r="H132" s="2642">
        <f t="shared" si="62"/>
        <v>236.35685010000003</v>
      </c>
      <c r="I132" s="2642">
        <f t="shared" si="62"/>
        <v>243.44755560300004</v>
      </c>
      <c r="J132" s="2604"/>
    </row>
    <row r="133" spans="1:12" ht="18" hidden="1" customHeight="1" outlineLevel="1" x14ac:dyDescent="0.2">
      <c r="A133" s="2626"/>
      <c r="B133" s="2639" t="s">
        <v>74</v>
      </c>
      <c r="C133" s="2640">
        <v>5136</v>
      </c>
      <c r="D133" s="2641">
        <f>'Výdaje kapitol celkem'!G20/1000</f>
        <v>343</v>
      </c>
      <c r="E133" s="2642">
        <f t="shared" ref="E133:I164" si="63">+D133*1.03</f>
        <v>353.29</v>
      </c>
      <c r="F133" s="2642">
        <f t="shared" si="63"/>
        <v>363.88870000000003</v>
      </c>
      <c r="G133" s="2642">
        <f t="shared" si="63"/>
        <v>374.80536100000006</v>
      </c>
      <c r="H133" s="2642">
        <f t="shared" si="63"/>
        <v>386.04952183000006</v>
      </c>
      <c r="I133" s="2642">
        <f t="shared" si="63"/>
        <v>397.63100748490007</v>
      </c>
      <c r="J133" s="2604"/>
    </row>
    <row r="134" spans="1:12" ht="12" hidden="1" outlineLevel="1" x14ac:dyDescent="0.2">
      <c r="A134" s="2680"/>
      <c r="B134" s="2687" t="s">
        <v>75</v>
      </c>
      <c r="C134" s="2688">
        <v>5137</v>
      </c>
      <c r="D134" s="2689">
        <f>'Výdaje kapitol celkem'!G21/1000</f>
        <v>1999</v>
      </c>
      <c r="E134" s="2642">
        <f t="shared" si="63"/>
        <v>2058.9700000000003</v>
      </c>
      <c r="F134" s="2642">
        <f t="shared" si="63"/>
        <v>2120.7391000000002</v>
      </c>
      <c r="G134" s="2642">
        <f t="shared" si="63"/>
        <v>2184.3612730000004</v>
      </c>
      <c r="H134" s="2642">
        <f t="shared" si="63"/>
        <v>2249.8921111900004</v>
      </c>
      <c r="I134" s="2642">
        <f t="shared" si="63"/>
        <v>2317.3888745257004</v>
      </c>
      <c r="J134" s="2604"/>
    </row>
    <row r="135" spans="1:12" ht="18" hidden="1" customHeight="1" outlineLevel="1" x14ac:dyDescent="0.2">
      <c r="A135" s="2626"/>
      <c r="B135" s="2639" t="s">
        <v>76</v>
      </c>
      <c r="C135" s="2640">
        <v>5139</v>
      </c>
      <c r="D135" s="2641">
        <f>'Výdaje kapitol celkem'!G22/1000</f>
        <v>3041.6871700000002</v>
      </c>
      <c r="E135" s="2642">
        <f t="shared" si="63"/>
        <v>3132.9377851000004</v>
      </c>
      <c r="F135" s="2642">
        <f t="shared" si="63"/>
        <v>3226.9259186530003</v>
      </c>
      <c r="G135" s="2642">
        <f t="shared" si="63"/>
        <v>3323.7336962125905</v>
      </c>
      <c r="H135" s="2642">
        <f t="shared" si="63"/>
        <v>3423.4457070989683</v>
      </c>
      <c r="I135" s="2642">
        <f t="shared" si="63"/>
        <v>3526.1490783119375</v>
      </c>
      <c r="J135" s="2604"/>
    </row>
    <row r="136" spans="1:12" ht="18" hidden="1" customHeight="1" outlineLevel="1" x14ac:dyDescent="0.2">
      <c r="A136" s="2626"/>
      <c r="B136" s="2639" t="s">
        <v>77</v>
      </c>
      <c r="C136" s="2640">
        <v>5151</v>
      </c>
      <c r="D136" s="2641">
        <f>'Výdaje kapitol celkem'!G23/1000</f>
        <v>720</v>
      </c>
      <c r="E136" s="2642">
        <f t="shared" si="63"/>
        <v>741.6</v>
      </c>
      <c r="F136" s="2642">
        <f t="shared" si="63"/>
        <v>763.84800000000007</v>
      </c>
      <c r="G136" s="2642">
        <f t="shared" si="63"/>
        <v>786.76344000000006</v>
      </c>
      <c r="H136" s="2642">
        <f t="shared" si="63"/>
        <v>810.36634320000007</v>
      </c>
      <c r="I136" s="2642">
        <f t="shared" si="63"/>
        <v>834.67733349600007</v>
      </c>
      <c r="J136" s="2604"/>
    </row>
    <row r="137" spans="1:12" ht="18" hidden="1" customHeight="1" outlineLevel="1" x14ac:dyDescent="0.2">
      <c r="A137" s="2626"/>
      <c r="B137" s="2639" t="s">
        <v>78</v>
      </c>
      <c r="C137" s="2640">
        <v>5153</v>
      </c>
      <c r="D137" s="2641">
        <f>'Výdaje kapitol celkem'!G24/1000</f>
        <v>4377.95</v>
      </c>
      <c r="E137" s="2642">
        <f t="shared" si="63"/>
        <v>4509.2884999999997</v>
      </c>
      <c r="F137" s="2642">
        <f t="shared" si="63"/>
        <v>4644.5671549999997</v>
      </c>
      <c r="G137" s="2642">
        <f>+F137</f>
        <v>4644.5671549999997</v>
      </c>
      <c r="H137" s="2642">
        <f>+G137</f>
        <v>4644.5671549999997</v>
      </c>
      <c r="I137" s="2642">
        <f t="shared" si="63"/>
        <v>4783.9041696499999</v>
      </c>
      <c r="J137" s="2604"/>
    </row>
    <row r="138" spans="1:12" ht="18" hidden="1" customHeight="1" outlineLevel="1" x14ac:dyDescent="0.2">
      <c r="A138" s="2626"/>
      <c r="B138" s="2639" t="s">
        <v>79</v>
      </c>
      <c r="C138" s="2640">
        <v>5154</v>
      </c>
      <c r="D138" s="2641">
        <f>'Výdaje kapitol celkem'!G25/1000</f>
        <v>5916.3</v>
      </c>
      <c r="E138" s="2642">
        <f t="shared" si="63"/>
        <v>6093.7890000000007</v>
      </c>
      <c r="F138" s="2642">
        <f t="shared" si="63"/>
        <v>6276.6026700000011</v>
      </c>
      <c r="G138" s="2642">
        <f t="shared" si="63"/>
        <v>6464.9007501000015</v>
      </c>
      <c r="H138" s="2642">
        <f>+G138</f>
        <v>6464.9007501000015</v>
      </c>
      <c r="I138" s="2642">
        <f>+H138</f>
        <v>6464.9007501000015</v>
      </c>
      <c r="J138" s="2604"/>
    </row>
    <row r="139" spans="1:12" ht="18" hidden="1" customHeight="1" outlineLevel="1" x14ac:dyDescent="0.2">
      <c r="A139" s="2626"/>
      <c r="B139" s="2639" t="s">
        <v>80</v>
      </c>
      <c r="C139" s="2640">
        <v>5156</v>
      </c>
      <c r="D139" s="2641">
        <f>'Výdaje kapitol celkem'!G26/1000</f>
        <v>610</v>
      </c>
      <c r="E139" s="2642">
        <f t="shared" si="63"/>
        <v>628.30000000000007</v>
      </c>
      <c r="F139" s="2642">
        <f t="shared" si="63"/>
        <v>647.14900000000011</v>
      </c>
      <c r="G139" s="2642">
        <f t="shared" si="63"/>
        <v>666.56347000000017</v>
      </c>
      <c r="H139" s="2642">
        <f t="shared" si="63"/>
        <v>686.56037410000022</v>
      </c>
      <c r="I139" s="2642">
        <f t="shared" si="63"/>
        <v>707.15718532300025</v>
      </c>
      <c r="J139" s="2604"/>
    </row>
    <row r="140" spans="1:12" ht="18" hidden="1" customHeight="1" outlineLevel="1" x14ac:dyDescent="0.2">
      <c r="A140" s="2626"/>
      <c r="B140" s="2639" t="s">
        <v>81</v>
      </c>
      <c r="C140" s="2640">
        <v>5161</v>
      </c>
      <c r="D140" s="2641">
        <f>'Výdaje kapitol celkem'!G27/1000</f>
        <v>695</v>
      </c>
      <c r="E140" s="2642">
        <f t="shared" si="63"/>
        <v>715.85</v>
      </c>
      <c r="F140" s="2642">
        <f t="shared" si="63"/>
        <v>737.32550000000003</v>
      </c>
      <c r="G140" s="2642">
        <f t="shared" si="63"/>
        <v>759.44526500000006</v>
      </c>
      <c r="H140" s="2642">
        <f t="shared" si="63"/>
        <v>782.22862295000004</v>
      </c>
      <c r="I140" s="2642">
        <f t="shared" si="63"/>
        <v>805.69548163850004</v>
      </c>
      <c r="J140" s="2604"/>
    </row>
    <row r="141" spans="1:12" ht="18" hidden="1" customHeight="1" outlineLevel="1" x14ac:dyDescent="0.2">
      <c r="A141" s="2626"/>
      <c r="B141" s="2639" t="s">
        <v>82</v>
      </c>
      <c r="C141" s="2640">
        <v>5162</v>
      </c>
      <c r="D141" s="2641">
        <f>'Výdaje kapitol celkem'!G28/1000</f>
        <v>614</v>
      </c>
      <c r="E141" s="2642">
        <f t="shared" si="63"/>
        <v>632.42000000000007</v>
      </c>
      <c r="F141" s="2642">
        <f t="shared" si="63"/>
        <v>651.39260000000013</v>
      </c>
      <c r="G141" s="2642">
        <f t="shared" si="63"/>
        <v>670.93437800000015</v>
      </c>
      <c r="H141" s="2642">
        <f t="shared" si="63"/>
        <v>691.06240934000016</v>
      </c>
      <c r="I141" s="2642">
        <f t="shared" si="63"/>
        <v>711.79428162020019</v>
      </c>
      <c r="J141" s="2604"/>
    </row>
    <row r="142" spans="1:12" ht="18" hidden="1" customHeight="1" outlineLevel="1" x14ac:dyDescent="0.2">
      <c r="A142" s="2626"/>
      <c r="B142" s="2639" t="s">
        <v>83</v>
      </c>
      <c r="C142" s="2640">
        <v>5163</v>
      </c>
      <c r="D142" s="2641">
        <f>'Výdaje kapitol celkem'!G29/1000</f>
        <v>1210</v>
      </c>
      <c r="E142" s="2642">
        <f t="shared" si="63"/>
        <v>1246.3</v>
      </c>
      <c r="F142" s="2642">
        <f t="shared" si="63"/>
        <v>1283.6890000000001</v>
      </c>
      <c r="G142" s="2642">
        <f t="shared" si="63"/>
        <v>1322.1996700000002</v>
      </c>
      <c r="H142" s="2642">
        <f t="shared" si="63"/>
        <v>1361.8656601000002</v>
      </c>
      <c r="I142" s="2642">
        <f t="shared" si="63"/>
        <v>1402.7216299030003</v>
      </c>
      <c r="J142" s="2604"/>
    </row>
    <row r="143" spans="1:12" ht="18" hidden="1" customHeight="1" outlineLevel="1" x14ac:dyDescent="0.2">
      <c r="A143" s="2626"/>
      <c r="B143" s="2639" t="s">
        <v>84</v>
      </c>
      <c r="C143" s="2640">
        <v>5164</v>
      </c>
      <c r="D143" s="2641">
        <f>'Výdaje kapitol celkem'!G30/1000</f>
        <v>1599.6130000000001</v>
      </c>
      <c r="E143" s="2642">
        <f t="shared" si="63"/>
        <v>1647.60139</v>
      </c>
      <c r="F143" s="2642">
        <f t="shared" si="63"/>
        <v>1697.0294317</v>
      </c>
      <c r="G143" s="2642">
        <f t="shared" si="63"/>
        <v>1747.9403146510001</v>
      </c>
      <c r="H143" s="2642">
        <f t="shared" si="63"/>
        <v>1800.3785240905302</v>
      </c>
      <c r="I143" s="2642">
        <f t="shared" si="63"/>
        <v>1854.3898798132461</v>
      </c>
      <c r="J143" s="2604"/>
      <c r="K143" s="1777"/>
    </row>
    <row r="144" spans="1:12" ht="18" hidden="1" customHeight="1" outlineLevel="1" x14ac:dyDescent="0.2">
      <c r="A144" s="2626"/>
      <c r="B144" s="2639" t="s">
        <v>85</v>
      </c>
      <c r="C144" s="2640">
        <v>5166</v>
      </c>
      <c r="D144" s="2641">
        <f>'Výdaje kapitol celkem'!G31/1000</f>
        <v>750</v>
      </c>
      <c r="E144" s="2642">
        <f t="shared" si="63"/>
        <v>772.5</v>
      </c>
      <c r="F144" s="2642">
        <f t="shared" si="63"/>
        <v>795.67500000000007</v>
      </c>
      <c r="G144" s="2642">
        <f t="shared" si="63"/>
        <v>819.54525000000012</v>
      </c>
      <c r="H144" s="2642">
        <f t="shared" si="63"/>
        <v>844.1316075000002</v>
      </c>
      <c r="I144" s="2642">
        <f t="shared" si="63"/>
        <v>869.45555572500018</v>
      </c>
      <c r="J144" s="2604"/>
    </row>
    <row r="145" spans="1:11" ht="18" hidden="1" customHeight="1" outlineLevel="1" x14ac:dyDescent="0.2">
      <c r="A145" s="2626"/>
      <c r="B145" s="2639" t="s">
        <v>86</v>
      </c>
      <c r="C145" s="2640">
        <v>5167</v>
      </c>
      <c r="D145" s="2641">
        <f>'Výdaje kapitol celkem'!G32/1000</f>
        <v>415</v>
      </c>
      <c r="E145" s="2642">
        <f t="shared" si="63"/>
        <v>427.45</v>
      </c>
      <c r="F145" s="2642">
        <f t="shared" si="63"/>
        <v>440.27350000000001</v>
      </c>
      <c r="G145" s="2642">
        <f t="shared" si="63"/>
        <v>453.48170500000003</v>
      </c>
      <c r="H145" s="2642">
        <f t="shared" si="63"/>
        <v>467.08615615000002</v>
      </c>
      <c r="I145" s="2642">
        <f t="shared" si="63"/>
        <v>481.09874083450006</v>
      </c>
      <c r="J145" s="2604"/>
    </row>
    <row r="146" spans="1:11" ht="18" hidden="1" customHeight="1" outlineLevel="1" x14ac:dyDescent="0.2">
      <c r="A146" s="2626"/>
      <c r="B146" s="2639" t="s">
        <v>87</v>
      </c>
      <c r="C146" s="2640">
        <v>5168</v>
      </c>
      <c r="D146" s="2641">
        <f>'Výdaje kapitol celkem'!G33/1000</f>
        <v>915</v>
      </c>
      <c r="E146" s="2642">
        <f t="shared" si="63"/>
        <v>942.45</v>
      </c>
      <c r="F146" s="2642">
        <f t="shared" si="63"/>
        <v>970.72350000000006</v>
      </c>
      <c r="G146" s="2642">
        <f t="shared" si="63"/>
        <v>999.84520500000008</v>
      </c>
      <c r="H146" s="2642">
        <f t="shared" si="63"/>
        <v>1029.8405611500002</v>
      </c>
      <c r="I146" s="2642">
        <f t="shared" si="63"/>
        <v>1060.7357779845001</v>
      </c>
      <c r="J146" s="2604"/>
    </row>
    <row r="147" spans="1:11" ht="12" hidden="1" outlineLevel="1" x14ac:dyDescent="0.2">
      <c r="A147" s="2680"/>
      <c r="B147" s="2687" t="s">
        <v>88</v>
      </c>
      <c r="C147" s="2688">
        <v>5169</v>
      </c>
      <c r="D147" s="2689">
        <f>'Výdaje kapitol celkem'!G34/1000</f>
        <v>19651.807000000001</v>
      </c>
      <c r="E147" s="2642">
        <f>+D147*1.01</f>
        <v>19848.325070000003</v>
      </c>
      <c r="F147" s="2642">
        <f t="shared" si="63"/>
        <v>20443.774822100004</v>
      </c>
      <c r="G147" s="2642">
        <f t="shared" si="63"/>
        <v>21057.088066763004</v>
      </c>
      <c r="H147" s="2642">
        <f t="shared" si="63"/>
        <v>21688.800708765895</v>
      </c>
      <c r="I147" s="2642">
        <f t="shared" si="63"/>
        <v>22339.464730028874</v>
      </c>
      <c r="J147" s="2604"/>
      <c r="K147" s="1777"/>
    </row>
    <row r="148" spans="1:11" s="2686" customFormat="1" ht="12" hidden="1" outlineLevel="1" x14ac:dyDescent="0.2">
      <c r="A148" s="2680"/>
      <c r="B148" s="2687" t="s">
        <v>89</v>
      </c>
      <c r="C148" s="2688">
        <v>5171</v>
      </c>
      <c r="D148" s="2689">
        <f>'Výdaje kapitol celkem'!G35/1000</f>
        <v>40199.108</v>
      </c>
      <c r="E148" s="2642">
        <f>+D148*1.01</f>
        <v>40601.09908</v>
      </c>
      <c r="F148" s="2642">
        <f>+E148*1.01</f>
        <v>41007.110070800001</v>
      </c>
      <c r="G148" s="2642">
        <f>+F148*1.01</f>
        <v>41417.181171508004</v>
      </c>
      <c r="H148" s="2642">
        <f t="shared" si="63"/>
        <v>42659.696606653248</v>
      </c>
      <c r="I148" s="2642">
        <f t="shared" si="63"/>
        <v>43939.487504852848</v>
      </c>
      <c r="J148" s="2696"/>
    </row>
    <row r="149" spans="1:11" ht="18" hidden="1" customHeight="1" outlineLevel="1" x14ac:dyDescent="0.2">
      <c r="A149" s="2626"/>
      <c r="B149" s="2639" t="s">
        <v>90</v>
      </c>
      <c r="C149" s="2640">
        <v>5172</v>
      </c>
      <c r="D149" s="2641">
        <f>'Výdaje kapitol celkem'!G36/1000</f>
        <v>3378</v>
      </c>
      <c r="E149" s="2642">
        <f t="shared" si="63"/>
        <v>3479.34</v>
      </c>
      <c r="F149" s="2642">
        <f t="shared" si="63"/>
        <v>3583.7202000000002</v>
      </c>
      <c r="G149" s="2642">
        <f t="shared" si="63"/>
        <v>3691.2318060000002</v>
      </c>
      <c r="H149" s="2642">
        <f t="shared" si="63"/>
        <v>3801.9687601800001</v>
      </c>
      <c r="I149" s="2642">
        <f t="shared" si="63"/>
        <v>3916.0278229854002</v>
      </c>
      <c r="J149" s="2604"/>
    </row>
    <row r="150" spans="1:11" ht="18" hidden="1" customHeight="1" outlineLevel="1" x14ac:dyDescent="0.2">
      <c r="A150" s="2626"/>
      <c r="B150" s="2639" t="s">
        <v>91</v>
      </c>
      <c r="C150" s="2640">
        <v>5173</v>
      </c>
      <c r="D150" s="2641">
        <f>'Výdaje kapitol celkem'!G37/1000</f>
        <v>62</v>
      </c>
      <c r="E150" s="2642">
        <f t="shared" si="63"/>
        <v>63.86</v>
      </c>
      <c r="F150" s="2642">
        <f t="shared" si="63"/>
        <v>65.775800000000004</v>
      </c>
      <c r="G150" s="2642">
        <f t="shared" si="63"/>
        <v>67.749074000000007</v>
      </c>
      <c r="H150" s="2642">
        <f t="shared" si="63"/>
        <v>69.78154622000001</v>
      </c>
      <c r="I150" s="2642">
        <f t="shared" si="63"/>
        <v>71.874992606600017</v>
      </c>
      <c r="J150" s="2604"/>
    </row>
    <row r="151" spans="1:11" ht="18" hidden="1" customHeight="1" outlineLevel="1" x14ac:dyDescent="0.2">
      <c r="A151" s="2626"/>
      <c r="B151" s="2639" t="s">
        <v>92</v>
      </c>
      <c r="C151" s="2640">
        <v>5175</v>
      </c>
      <c r="D151" s="2641">
        <f>'Výdaje kapitol celkem'!G38/1000</f>
        <v>458.822</v>
      </c>
      <c r="E151" s="2642">
        <f t="shared" si="63"/>
        <v>472.58665999999999</v>
      </c>
      <c r="F151" s="2642">
        <f t="shared" si="63"/>
        <v>486.76425979999999</v>
      </c>
      <c r="G151" s="2642">
        <f t="shared" si="63"/>
        <v>501.36718759400003</v>
      </c>
      <c r="H151" s="2642">
        <f t="shared" si="63"/>
        <v>516.40820322182003</v>
      </c>
      <c r="I151" s="2642">
        <f t="shared" si="63"/>
        <v>531.90044931847467</v>
      </c>
      <c r="J151" s="2604"/>
    </row>
    <row r="152" spans="1:11" ht="18" hidden="1" customHeight="1" outlineLevel="1" x14ac:dyDescent="0.2">
      <c r="A152" s="2626"/>
      <c r="B152" s="2639" t="s">
        <v>93</v>
      </c>
      <c r="C152" s="2640">
        <v>5179</v>
      </c>
      <c r="D152" s="2641">
        <f>'Výdaje kapitol celkem'!G39/1000</f>
        <v>0</v>
      </c>
      <c r="E152" s="2642">
        <f t="shared" si="63"/>
        <v>0</v>
      </c>
      <c r="F152" s="2642">
        <f t="shared" si="63"/>
        <v>0</v>
      </c>
      <c r="G152" s="2642">
        <f t="shared" si="63"/>
        <v>0</v>
      </c>
      <c r="H152" s="2642">
        <f t="shared" si="63"/>
        <v>0</v>
      </c>
      <c r="I152" s="2642">
        <f t="shared" si="63"/>
        <v>0</v>
      </c>
      <c r="J152" s="2604"/>
    </row>
    <row r="153" spans="1:11" ht="18" hidden="1" customHeight="1" outlineLevel="1" x14ac:dyDescent="0.2">
      <c r="A153" s="2626"/>
      <c r="B153" s="2639" t="s">
        <v>357</v>
      </c>
      <c r="C153" s="2640">
        <v>5192</v>
      </c>
      <c r="D153" s="2641">
        <f>'Výdaje kapitol celkem'!G40/1000</f>
        <v>0</v>
      </c>
      <c r="E153" s="2642">
        <f t="shared" si="63"/>
        <v>0</v>
      </c>
      <c r="F153" s="2642">
        <f t="shared" si="63"/>
        <v>0</v>
      </c>
      <c r="G153" s="2642">
        <f t="shared" si="63"/>
        <v>0</v>
      </c>
      <c r="H153" s="2642">
        <f t="shared" si="63"/>
        <v>0</v>
      </c>
      <c r="I153" s="2642">
        <f t="shared" si="63"/>
        <v>0</v>
      </c>
      <c r="J153" s="2604"/>
    </row>
    <row r="154" spans="1:11" ht="18" hidden="1" customHeight="1" outlineLevel="1" x14ac:dyDescent="0.2">
      <c r="A154" s="2626"/>
      <c r="B154" s="2639" t="s">
        <v>94</v>
      </c>
      <c r="C154" s="2640">
        <v>5193</v>
      </c>
      <c r="D154" s="2641">
        <f>'Výdaje kapitol celkem'!G41/1000</f>
        <v>3178.5749999999998</v>
      </c>
      <c r="E154" s="2642">
        <f t="shared" si="63"/>
        <v>3273.9322499999998</v>
      </c>
      <c r="F154" s="2642">
        <f t="shared" si="63"/>
        <v>3372.1502175000001</v>
      </c>
      <c r="G154" s="2642">
        <f t="shared" si="63"/>
        <v>3473.314724025</v>
      </c>
      <c r="H154" s="2642">
        <f t="shared" si="63"/>
        <v>3577.5141657457502</v>
      </c>
      <c r="I154" s="2642">
        <f t="shared" si="63"/>
        <v>3684.839590718123</v>
      </c>
      <c r="J154" s="2604"/>
    </row>
    <row r="155" spans="1:11" ht="18" hidden="1" customHeight="1" outlineLevel="1" x14ac:dyDescent="0.2">
      <c r="A155" s="2626"/>
      <c r="B155" s="2639" t="s">
        <v>95</v>
      </c>
      <c r="C155" s="2640">
        <v>5194</v>
      </c>
      <c r="D155" s="2641">
        <f>'Výdaje kapitol celkem'!G42/1000</f>
        <v>333</v>
      </c>
      <c r="E155" s="2642">
        <f t="shared" si="63"/>
        <v>342.99</v>
      </c>
      <c r="F155" s="2642">
        <f t="shared" si="63"/>
        <v>353.27969999999999</v>
      </c>
      <c r="G155" s="2642">
        <f t="shared" si="63"/>
        <v>363.87809099999998</v>
      </c>
      <c r="H155" s="2642">
        <f t="shared" si="63"/>
        <v>374.79443372999998</v>
      </c>
      <c r="I155" s="2642">
        <f t="shared" si="63"/>
        <v>386.03826674189997</v>
      </c>
      <c r="J155" s="2604"/>
    </row>
    <row r="156" spans="1:11" ht="18" hidden="1" customHeight="1" outlineLevel="1" x14ac:dyDescent="0.2">
      <c r="A156" s="2626"/>
      <c r="B156" s="2639" t="s">
        <v>96</v>
      </c>
      <c r="C156" s="2640">
        <v>5329</v>
      </c>
      <c r="D156" s="2641">
        <f>'Výdaje kapitol celkem'!G43/1000</f>
        <v>7836.8083799999995</v>
      </c>
      <c r="E156" s="2642">
        <f t="shared" si="63"/>
        <v>8071.9126313999996</v>
      </c>
      <c r="F156" s="2642">
        <f t="shared" si="63"/>
        <v>8314.0700103420004</v>
      </c>
      <c r="G156" s="2642">
        <f t="shared" si="63"/>
        <v>8563.4921106522597</v>
      </c>
      <c r="H156" s="2642">
        <f t="shared" si="63"/>
        <v>8820.3968739718275</v>
      </c>
      <c r="I156" s="2642">
        <f t="shared" si="63"/>
        <v>9085.0087801909831</v>
      </c>
      <c r="J156" s="2604"/>
    </row>
    <row r="157" spans="1:11" s="2686" customFormat="1" ht="12" hidden="1" outlineLevel="1" x14ac:dyDescent="0.2">
      <c r="A157" s="2680"/>
      <c r="B157" s="2687" t="s">
        <v>97</v>
      </c>
      <c r="C157" s="2688">
        <v>5331</v>
      </c>
      <c r="D157" s="2689">
        <f>'Výdaje kapitol celkem'!G44/1000</f>
        <v>46821.803</v>
      </c>
      <c r="E157" s="2642">
        <f>+D157*1</f>
        <v>46821.803</v>
      </c>
      <c r="F157" s="2642">
        <f>+E157*1.01</f>
        <v>47290.021030000004</v>
      </c>
      <c r="G157" s="2642">
        <f>+F157*1.01</f>
        <v>47762.921240300006</v>
      </c>
      <c r="H157" s="2642">
        <f>+G157*1.01</f>
        <v>48240.550452703006</v>
      </c>
      <c r="I157" s="2642">
        <f>+H157*1.01</f>
        <v>48722.955957230035</v>
      </c>
      <c r="J157" s="2697"/>
    </row>
    <row r="158" spans="1:11" ht="18" hidden="1" customHeight="1" outlineLevel="1" x14ac:dyDescent="0.2">
      <c r="A158" s="2626"/>
      <c r="B158" s="2639" t="s">
        <v>98</v>
      </c>
      <c r="C158" s="2640">
        <v>5361</v>
      </c>
      <c r="D158" s="2641">
        <f>'Výdaje kapitol celkem'!G45/1000</f>
        <v>40</v>
      </c>
      <c r="E158" s="2642">
        <f t="shared" si="63"/>
        <v>41.2</v>
      </c>
      <c r="F158" s="2642">
        <f t="shared" si="63"/>
        <v>42.436000000000007</v>
      </c>
      <c r="G158" s="2642">
        <f t="shared" si="63"/>
        <v>43.709080000000007</v>
      </c>
      <c r="H158" s="2642">
        <f t="shared" si="63"/>
        <v>45.020352400000007</v>
      </c>
      <c r="I158" s="2642">
        <f t="shared" si="63"/>
        <v>46.370962972000008</v>
      </c>
      <c r="J158" s="2604"/>
    </row>
    <row r="159" spans="1:11" ht="18" hidden="1" customHeight="1" outlineLevel="1" x14ac:dyDescent="0.2">
      <c r="A159" s="2626"/>
      <c r="B159" s="2639" t="s">
        <v>99</v>
      </c>
      <c r="C159" s="2640">
        <v>5362</v>
      </c>
      <c r="D159" s="2641">
        <f>'Výdaje kapitol celkem'!G46/1000</f>
        <v>4990.97</v>
      </c>
      <c r="E159" s="2642">
        <f t="shared" si="63"/>
        <v>5140.6991000000007</v>
      </c>
      <c r="F159" s="2642">
        <f t="shared" si="63"/>
        <v>5294.9200730000011</v>
      </c>
      <c r="G159" s="2642">
        <f t="shared" si="63"/>
        <v>5453.7676751900017</v>
      </c>
      <c r="H159" s="2642">
        <f t="shared" si="63"/>
        <v>5617.380705445702</v>
      </c>
      <c r="I159" s="2642">
        <f t="shared" si="63"/>
        <v>5785.9021266090731</v>
      </c>
      <c r="J159" s="2604"/>
    </row>
    <row r="160" spans="1:11" ht="18" hidden="1" customHeight="1" outlineLevel="1" x14ac:dyDescent="0.2">
      <c r="A160" s="2626"/>
      <c r="B160" s="2639" t="s">
        <v>775</v>
      </c>
      <c r="C160" s="2640">
        <v>5363</v>
      </c>
      <c r="D160" s="2641">
        <f>'Výdaje kapitol celkem'!G47/1000</f>
        <v>0</v>
      </c>
      <c r="E160" s="2642">
        <f t="shared" si="63"/>
        <v>0</v>
      </c>
      <c r="F160" s="2642">
        <f t="shared" si="63"/>
        <v>0</v>
      </c>
      <c r="G160" s="2642">
        <f t="shared" si="63"/>
        <v>0</v>
      </c>
      <c r="H160" s="2642">
        <f t="shared" si="63"/>
        <v>0</v>
      </c>
      <c r="I160" s="2642">
        <f t="shared" si="63"/>
        <v>0</v>
      </c>
      <c r="J160" s="2604"/>
    </row>
    <row r="161" spans="1:10" ht="12" hidden="1" outlineLevel="1" x14ac:dyDescent="0.2">
      <c r="A161" s="2626"/>
      <c r="B161" s="2639" t="s">
        <v>100</v>
      </c>
      <c r="C161" s="2640">
        <v>5492</v>
      </c>
      <c r="D161" s="2641">
        <f>'Výdaje kapitol celkem'!G48/1000</f>
        <v>470</v>
      </c>
      <c r="E161" s="2642">
        <f t="shared" si="63"/>
        <v>484.1</v>
      </c>
      <c r="F161" s="2642">
        <f t="shared" si="63"/>
        <v>498.62300000000005</v>
      </c>
      <c r="G161" s="2642">
        <f t="shared" si="63"/>
        <v>513.58169000000009</v>
      </c>
      <c r="H161" s="2642">
        <f t="shared" si="63"/>
        <v>528.98914070000012</v>
      </c>
      <c r="I161" s="2642">
        <f t="shared" si="63"/>
        <v>544.85881492100009</v>
      </c>
      <c r="J161" s="2698"/>
    </row>
    <row r="162" spans="1:10" ht="18" hidden="1" customHeight="1" outlineLevel="1" x14ac:dyDescent="0.2">
      <c r="A162" s="2626"/>
      <c r="B162" s="2639" t="s">
        <v>735</v>
      </c>
      <c r="C162" s="2640">
        <v>5499</v>
      </c>
      <c r="D162" s="2641">
        <f>'Výdaje kapitol celkem'!G49/1000</f>
        <v>1980</v>
      </c>
      <c r="E162" s="2642">
        <f>+D162*1.01</f>
        <v>1999.8</v>
      </c>
      <c r="F162" s="2642">
        <f t="shared" si="63"/>
        <v>2059.7939999999999</v>
      </c>
      <c r="G162" s="2642">
        <f t="shared" si="63"/>
        <v>2121.5878199999997</v>
      </c>
      <c r="H162" s="2642">
        <f t="shared" si="63"/>
        <v>2185.2354545999997</v>
      </c>
      <c r="I162" s="2642">
        <f t="shared" si="63"/>
        <v>2250.792518238</v>
      </c>
      <c r="J162" s="2604"/>
    </row>
    <row r="163" spans="1:10" ht="18" hidden="1" customHeight="1" outlineLevel="1" x14ac:dyDescent="0.2">
      <c r="A163" s="2626"/>
      <c r="B163" s="2639" t="s">
        <v>101</v>
      </c>
      <c r="C163" s="2640">
        <v>5222</v>
      </c>
      <c r="D163" s="2641">
        <f>'Výdaje kapitol celkem'!G50/1000</f>
        <v>1200</v>
      </c>
      <c r="E163" s="2642">
        <f t="shared" si="63"/>
        <v>1236</v>
      </c>
      <c r="F163" s="2642">
        <f t="shared" si="63"/>
        <v>1273.08</v>
      </c>
      <c r="G163" s="2642">
        <f t="shared" si="63"/>
        <v>1311.2724000000001</v>
      </c>
      <c r="H163" s="2642">
        <f t="shared" si="63"/>
        <v>1350.610572</v>
      </c>
      <c r="I163" s="2642">
        <f t="shared" si="63"/>
        <v>1391.12888916</v>
      </c>
      <c r="J163" s="2604"/>
    </row>
    <row r="164" spans="1:10" ht="18" hidden="1" customHeight="1" outlineLevel="1" x14ac:dyDescent="0.2">
      <c r="A164" s="2626"/>
      <c r="B164" s="2639" t="s">
        <v>761</v>
      </c>
      <c r="C164" s="2640">
        <v>5903</v>
      </c>
      <c r="D164" s="2641">
        <f>'Výdaje kapitol celkem'!G51/1000</f>
        <v>77.958766499999996</v>
      </c>
      <c r="E164" s="2642">
        <f t="shared" si="63"/>
        <v>80.297529494999992</v>
      </c>
      <c r="F164" s="2642">
        <f t="shared" si="63"/>
        <v>82.706455379849999</v>
      </c>
      <c r="G164" s="2642">
        <f t="shared" si="63"/>
        <v>85.187649041245507</v>
      </c>
      <c r="H164" s="2642">
        <f t="shared" si="63"/>
        <v>87.743278512482874</v>
      </c>
      <c r="I164" s="2642">
        <f t="shared" si="63"/>
        <v>90.375576867857362</v>
      </c>
      <c r="J164" s="2604"/>
    </row>
    <row r="165" spans="1:10" s="1871" customFormat="1" ht="18" hidden="1" customHeight="1" outlineLevel="1" x14ac:dyDescent="0.2">
      <c r="A165" s="2612"/>
      <c r="B165" s="2617" t="s">
        <v>128</v>
      </c>
      <c r="C165" s="2618">
        <v>5141</v>
      </c>
      <c r="D165" s="2619">
        <f>'Výdaje kapitol celkem'!G53/1000</f>
        <v>2307.9525247400002</v>
      </c>
      <c r="E165" s="2620">
        <f>+('plán - úvěrů a úroků'!J12+'plán - úvěrů a úroků'!J14+'plán - úvěrů a úroků'!J17+'plán - úvěrů a úroků'!J19+'plán - úvěrů a úroků'!J21)/1000</f>
        <v>1775.2277594500001</v>
      </c>
      <c r="F165" s="2620">
        <f>+('plán - úvěrů a úroků'!K12+'plán - úvěrů a úroků'!K14+'plán - úvěrů a úroků'!K17+'plán - úvěrů a úroků'!K19+'plán - úvěrů a úroků'!K21)/1000</f>
        <v>1452.5885457100001</v>
      </c>
      <c r="G165" s="2620">
        <f>+('plán - úvěrů a úroků'!L12+'plán - úvěrů a úroků'!L14+'plán - úvěrů a úroků'!L17+'plán - úvěrů a úroků'!L19+'plán - úvěrů a úroků'!L21)/1000</f>
        <v>754.99433729999976</v>
      </c>
      <c r="H165" s="2620">
        <f>+('plán - úvěrů a úroků'!M12+'plán - úvěrů a úroků'!M14+'plán - úvěrů a úroků'!M17+'plán - úvěrů a úroků'!M19+'plán - úvěrů a úroků'!M21)/1000</f>
        <v>0</v>
      </c>
      <c r="I165" s="2620">
        <f>+('plán - úvěrů a úroků'!N12+'plán - úvěrů a úroků'!N14+'plán - úvěrů a úroků'!N17+'plán - úvěrů a úroků'!N19+'plán - úvěrů a úroků'!N21)/1000</f>
        <v>0</v>
      </c>
      <c r="J165" s="2604"/>
    </row>
    <row r="166" spans="1:10" ht="12" hidden="1" outlineLevel="1" x14ac:dyDescent="0.2">
      <c r="A166" s="2626"/>
      <c r="B166" s="2639" t="s">
        <v>736</v>
      </c>
      <c r="C166" s="2646">
        <v>5144</v>
      </c>
      <c r="D166" s="2628">
        <f>'Výdaje kapitol celkem'!G54/1000</f>
        <v>0</v>
      </c>
      <c r="E166" s="2629"/>
      <c r="F166" s="2629"/>
      <c r="G166" s="2629"/>
      <c r="H166" s="2629"/>
      <c r="I166" s="2629"/>
      <c r="J166" s="2604"/>
    </row>
    <row r="167" spans="1:10" s="2611" customFormat="1" ht="14.25" collapsed="1" thickTop="1" thickBot="1" x14ac:dyDescent="0.3">
      <c r="A167" s="2630" t="s">
        <v>240</v>
      </c>
      <c r="B167" s="2699" t="s">
        <v>241</v>
      </c>
      <c r="C167" s="2695"/>
      <c r="D167" s="2633">
        <f>SUM(D168:D178)</f>
        <v>96832.091</v>
      </c>
      <c r="E167" s="2634">
        <f t="shared" ref="E167:I167" si="64">SUM(E168:E178)</f>
        <v>41144.413864855967</v>
      </c>
      <c r="F167" s="2634">
        <f t="shared" si="64"/>
        <v>100452.19616276448</v>
      </c>
      <c r="G167" s="2634">
        <f t="shared" si="64"/>
        <v>30413.245203455597</v>
      </c>
      <c r="H167" s="2634">
        <f t="shared" si="64"/>
        <v>25561.537669546298</v>
      </c>
      <c r="I167" s="2634">
        <f t="shared" si="64"/>
        <v>27589.6839025917</v>
      </c>
      <c r="J167" s="2604"/>
    </row>
    <row r="168" spans="1:10" ht="21" hidden="1" customHeight="1" outlineLevel="1" thickTop="1" x14ac:dyDescent="0.2">
      <c r="A168" s="2626"/>
      <c r="B168" s="2635" t="s">
        <v>90</v>
      </c>
      <c r="C168" s="2636">
        <v>6111</v>
      </c>
      <c r="D168" s="2637">
        <f>'Výdaje kapitol celkem'!G57/1000</f>
        <v>0</v>
      </c>
      <c r="E168" s="2638">
        <f>'Výdaje kapitol celkem'!H57</f>
        <v>0</v>
      </c>
      <c r="F168" s="2638">
        <f>'Výdaje kapitol celkem'!I57</f>
        <v>0</v>
      </c>
      <c r="G168" s="2638">
        <f>'Výdaje kapitol celkem'!J57</f>
        <v>0</v>
      </c>
      <c r="H168" s="2638">
        <f>'Výdaje kapitol celkem'!K57</f>
        <v>0</v>
      </c>
      <c r="I168" s="2638">
        <f>'Výdaje kapitol celkem'!L57</f>
        <v>0</v>
      </c>
      <c r="J168" s="2604"/>
    </row>
    <row r="169" spans="1:10" s="2686" customFormat="1" ht="12" hidden="1" outlineLevel="1" x14ac:dyDescent="0.2">
      <c r="A169" s="2680"/>
      <c r="B169" s="2687" t="s">
        <v>105</v>
      </c>
      <c r="C169" s="2688">
        <v>6121</v>
      </c>
      <c r="D169" s="2689">
        <f>'Výdaje kapitol celkem'!G58/1000</f>
        <v>34312.94</v>
      </c>
      <c r="E169" s="2690">
        <f>750+550+25000-12+3141-792+200+2586</f>
        <v>31423</v>
      </c>
      <c r="F169" s="2690">
        <f>48000+2368+13980</f>
        <v>64348</v>
      </c>
      <c r="G169" s="2690">
        <f>60000-58010+11093</f>
        <v>13083</v>
      </c>
      <c r="H169" s="2690">
        <f>50000-48000-494+18447</f>
        <v>19953</v>
      </c>
      <c r="I169" s="2690">
        <f>45000-40171+19257</f>
        <v>24086</v>
      </c>
      <c r="J169" s="2696"/>
    </row>
    <row r="170" spans="1:10" s="2686" customFormat="1" ht="12" hidden="1" outlineLevel="1" x14ac:dyDescent="0.2">
      <c r="A170" s="2680"/>
      <c r="B170" s="2687" t="s">
        <v>106</v>
      </c>
      <c r="C170" s="2688">
        <v>6121</v>
      </c>
      <c r="D170" s="2641">
        <f>'Výdaje kapitol celkem'!G59/1000</f>
        <v>8535.3430000000008</v>
      </c>
      <c r="E170" s="2642">
        <v>7221.4138648559647</v>
      </c>
      <c r="F170" s="2642">
        <v>12104.196162764476</v>
      </c>
      <c r="G170" s="2642">
        <v>15130.245203455595</v>
      </c>
      <c r="H170" s="2642">
        <v>3608.5376695463001</v>
      </c>
      <c r="I170" s="2642">
        <v>1347.6839025917</v>
      </c>
      <c r="J170" s="2696"/>
    </row>
    <row r="171" spans="1:10" ht="12" hidden="1" outlineLevel="1" x14ac:dyDescent="0.2">
      <c r="A171" s="2680"/>
      <c r="B171" s="2687" t="s">
        <v>107</v>
      </c>
      <c r="C171" s="2688">
        <v>6122</v>
      </c>
      <c r="D171" s="2689">
        <f>'Výdaje kapitol celkem'!G60/1000</f>
        <v>0</v>
      </c>
      <c r="E171" s="2690"/>
      <c r="F171" s="2690"/>
      <c r="G171" s="2690"/>
      <c r="H171" s="2690"/>
      <c r="I171" s="2690"/>
      <c r="J171" s="2604"/>
    </row>
    <row r="172" spans="1:10" ht="18.75" hidden="1" customHeight="1" outlineLevel="1" x14ac:dyDescent="0.2">
      <c r="A172" s="2626"/>
      <c r="B172" s="2639" t="s">
        <v>108</v>
      </c>
      <c r="C172" s="2640">
        <v>6123</v>
      </c>
      <c r="D172" s="2641">
        <f>'Výdaje kapitol celkem'!G61/1000</f>
        <v>1600</v>
      </c>
      <c r="E172" s="2642"/>
      <c r="F172" s="2642"/>
      <c r="G172" s="2642"/>
      <c r="H172" s="2642"/>
      <c r="I172" s="2642"/>
      <c r="J172" s="2604"/>
    </row>
    <row r="173" spans="1:10" ht="18.75" hidden="1" customHeight="1" outlineLevel="1" x14ac:dyDescent="0.2">
      <c r="A173" s="2626"/>
      <c r="B173" s="2639" t="s">
        <v>109</v>
      </c>
      <c r="C173" s="2640">
        <v>6125</v>
      </c>
      <c r="D173" s="2641">
        <f>'Výdaje kapitol celkem'!G62/1000</f>
        <v>0</v>
      </c>
      <c r="E173" s="2642"/>
      <c r="F173" s="2642"/>
      <c r="G173" s="2642"/>
      <c r="H173" s="2642"/>
      <c r="I173" s="2642"/>
      <c r="J173" s="2604"/>
    </row>
    <row r="174" spans="1:10" ht="18.75" hidden="1" customHeight="1" outlineLevel="1" x14ac:dyDescent="0.2">
      <c r="A174" s="2626"/>
      <c r="B174" s="2639" t="s">
        <v>110</v>
      </c>
      <c r="C174" s="2640">
        <v>6129</v>
      </c>
      <c r="D174" s="2641">
        <f>'Výdaje kapitol celkem'!G63/1000</f>
        <v>0</v>
      </c>
      <c r="E174" s="2642"/>
      <c r="F174" s="2642"/>
      <c r="G174" s="2642"/>
      <c r="H174" s="2642"/>
      <c r="I174" s="2642"/>
      <c r="J174" s="2604"/>
    </row>
    <row r="175" spans="1:10" ht="12" hidden="1" outlineLevel="1" x14ac:dyDescent="0.2">
      <c r="A175" s="2626"/>
      <c r="B175" s="2639" t="s">
        <v>111</v>
      </c>
      <c r="C175" s="2640">
        <v>6130</v>
      </c>
      <c r="D175" s="2641">
        <f>'Výdaje kapitol celkem'!G64/1000</f>
        <v>8424.3809999999994</v>
      </c>
      <c r="E175" s="2642"/>
      <c r="F175" s="2642"/>
      <c r="G175" s="2642"/>
      <c r="H175" s="2642"/>
      <c r="I175" s="2642"/>
      <c r="J175" s="2696"/>
    </row>
    <row r="176" spans="1:10" ht="18.75" hidden="1" customHeight="1" outlineLevel="1" x14ac:dyDescent="0.2">
      <c r="A176" s="2626"/>
      <c r="B176" s="2639" t="s">
        <v>1147</v>
      </c>
      <c r="C176" s="2640">
        <v>6349</v>
      </c>
      <c r="D176" s="2641">
        <f>'Výdaje kapitol celkem'!G65/1000</f>
        <v>33417.506999999998</v>
      </c>
      <c r="E176" s="2642"/>
      <c r="F176" s="2642"/>
      <c r="G176" s="2642"/>
      <c r="H176" s="2642"/>
      <c r="I176" s="2642"/>
      <c r="J176" s="2604"/>
    </row>
    <row r="177" spans="1:10" ht="18.75" hidden="1" customHeight="1" outlineLevel="1" x14ac:dyDescent="0.2">
      <c r="A177" s="2626"/>
      <c r="B177" s="2639" t="s">
        <v>294</v>
      </c>
      <c r="C177" s="2640">
        <v>6351</v>
      </c>
      <c r="D177" s="2641">
        <f>'Výdaje kapitol celkem'!G66/1000</f>
        <v>10541.92</v>
      </c>
      <c r="E177" s="2642">
        <v>2500</v>
      </c>
      <c r="F177" s="2642">
        <v>24000</v>
      </c>
      <c r="G177" s="2642">
        <v>2200</v>
      </c>
      <c r="H177" s="2642">
        <v>2000</v>
      </c>
      <c r="I177" s="2642">
        <v>2156</v>
      </c>
      <c r="J177" s="2604"/>
    </row>
    <row r="178" spans="1:10" ht="18.75" hidden="1" customHeight="1" outlineLevel="1" x14ac:dyDescent="0.2">
      <c r="A178" s="2626" t="s">
        <v>581</v>
      </c>
      <c r="B178" s="2639" t="s">
        <v>294</v>
      </c>
      <c r="C178" s="2640">
        <v>6349</v>
      </c>
      <c r="D178" s="2641">
        <f>'Výdaje kapitol celkem'!G68/1000</f>
        <v>0</v>
      </c>
      <c r="E178" s="2642"/>
      <c r="F178" s="2642"/>
      <c r="G178" s="2642"/>
      <c r="H178" s="2642"/>
      <c r="I178" s="2642"/>
      <c r="J178" s="2604"/>
    </row>
    <row r="179" spans="1:10" ht="12" hidden="1" outlineLevel="1" x14ac:dyDescent="0.2">
      <c r="A179" s="2626"/>
      <c r="B179" s="2647"/>
      <c r="C179" s="2646"/>
      <c r="D179" s="2628"/>
      <c r="E179" s="2629"/>
      <c r="F179" s="2629"/>
      <c r="G179" s="2629"/>
      <c r="H179" s="2629"/>
      <c r="I179" s="2629"/>
      <c r="J179" s="2604"/>
    </row>
    <row r="180" spans="1:10" s="2611" customFormat="1" ht="14.25" collapsed="1" thickTop="1" thickBot="1" x14ac:dyDescent="0.3">
      <c r="A180" s="2630" t="s">
        <v>231</v>
      </c>
      <c r="B180" s="2699" t="s">
        <v>232</v>
      </c>
      <c r="C180" s="2695"/>
      <c r="D180" s="2633">
        <f>SUM(D181:D183)</f>
        <v>27272.500558759988</v>
      </c>
      <c r="E180" s="2634">
        <f t="shared" ref="E180:I180" si="65">SUM(E181:E183)</f>
        <v>1401.2529999999997</v>
      </c>
      <c r="F180" s="2634">
        <f t="shared" si="65"/>
        <v>876.71200000000044</v>
      </c>
      <c r="G180" s="2634">
        <f t="shared" si="65"/>
        <v>830.71200000000044</v>
      </c>
      <c r="H180" s="2634">
        <f t="shared" si="65"/>
        <v>699.71200000000044</v>
      </c>
      <c r="I180" s="2634">
        <f t="shared" si="65"/>
        <v>565.71200000000044</v>
      </c>
      <c r="J180" s="2604"/>
    </row>
    <row r="181" spans="1:10" ht="20.25" hidden="1" customHeight="1" outlineLevel="1" thickTop="1" x14ac:dyDescent="0.2">
      <c r="A181" s="2626"/>
      <c r="B181" s="2635" t="s">
        <v>737</v>
      </c>
      <c r="C181" s="2636">
        <v>8115</v>
      </c>
      <c r="D181" s="2637">
        <f>'Výdaje kapitol celkem'!G67/1000</f>
        <v>7129.5295587599876</v>
      </c>
      <c r="E181" s="2638"/>
      <c r="F181" s="2638"/>
      <c r="G181" s="2638"/>
      <c r="H181" s="2638"/>
      <c r="I181" s="2638"/>
      <c r="J181" s="2604"/>
    </row>
    <row r="182" spans="1:10" ht="20.25" hidden="1" customHeight="1" outlineLevel="1" x14ac:dyDescent="0.2">
      <c r="A182" s="2626"/>
      <c r="B182" s="2639" t="s">
        <v>118</v>
      </c>
      <c r="C182" s="2640">
        <v>8115</v>
      </c>
      <c r="D182" s="2641">
        <v>-9000</v>
      </c>
      <c r="E182" s="2642">
        <v>-4371</v>
      </c>
      <c r="F182" s="2642">
        <v>-4469</v>
      </c>
      <c r="G182" s="2642">
        <v>-4515</v>
      </c>
      <c r="H182" s="2642">
        <v>-4646</v>
      </c>
      <c r="I182" s="2642">
        <v>-4780</v>
      </c>
      <c r="J182" s="2604"/>
    </row>
    <row r="183" spans="1:10" s="1832" customFormat="1" ht="20.25" hidden="1" customHeight="1" outlineLevel="1" x14ac:dyDescent="0.2">
      <c r="A183" s="2621"/>
      <c r="B183" s="2617" t="s">
        <v>738</v>
      </c>
      <c r="C183" s="2618" t="s">
        <v>115</v>
      </c>
      <c r="D183" s="2619">
        <f>'Výdaje kapitol celkem'!G71/1000</f>
        <v>29142.971000000001</v>
      </c>
      <c r="E183" s="2620">
        <f>+('plán - úvěrů a úroků'!J13+'plán - úvěrů a úroků'!J15+'plán - úvěrů a úroků'!J18+'plán - úvěrů a úroků'!J20+'plán - úvěrů a úroků'!J22)/1000</f>
        <v>5772.2529999999997</v>
      </c>
      <c r="F183" s="2620">
        <f>+('plán - úvěrů a úroků'!K13+'plán - úvěrů a úroků'!K15+'plán - úvěrů a úroků'!K18+'plán - úvěrů a úroků'!K20+'plán - úvěrů a úroků'!K22)/1000</f>
        <v>5345.7120000000004</v>
      </c>
      <c r="G183" s="2620">
        <f>+('plán - úvěrů a úroků'!L13+'plán - úvěrů a úroků'!L15+'plán - úvěrů a úroků'!L18+'plán - úvěrů a úroků'!L20+'plán - úvěrů a úroků'!L22)/1000</f>
        <v>5345.7120000000004</v>
      </c>
      <c r="H183" s="2620">
        <f>+('plán - úvěrů a úroků'!M13+'plán - úvěrů a úroků'!M15+'plán - úvěrů a úroků'!M18+'plán - úvěrů a úroků'!M20+'plán - úvěrů a úroků'!M22)/1000</f>
        <v>5345.7120000000004</v>
      </c>
      <c r="I183" s="2620">
        <f>+('plán - úvěrů a úroků'!N13+'plán - úvěrů a úroků'!N15+'plán - úvěrů a úroků'!N18+'plán - úvěrů a úroků'!N20+'plán - úvěrů a úroků'!N22)/1000</f>
        <v>5345.7120000000004</v>
      </c>
      <c r="J183" s="2604"/>
    </row>
    <row r="184" spans="1:10" hidden="1" outlineLevel="1" thickBot="1" x14ac:dyDescent="0.25">
      <c r="A184" s="2626"/>
      <c r="B184" s="2700"/>
      <c r="C184" s="2701"/>
      <c r="D184" s="2702"/>
      <c r="E184" s="2703"/>
      <c r="F184" s="2703"/>
      <c r="G184" s="2703"/>
      <c r="H184" s="2703"/>
      <c r="I184" s="2703"/>
      <c r="J184" s="2604"/>
    </row>
    <row r="185" spans="1:10" s="2611" customFormat="1" ht="14.25" collapsed="1" thickTop="1" thickBot="1" x14ac:dyDescent="0.3">
      <c r="A185" s="2670" t="s">
        <v>242</v>
      </c>
      <c r="B185" s="2671"/>
      <c r="C185" s="2704"/>
      <c r="D185" s="2673">
        <f>+D180+D167+D118</f>
        <v>326199.24799999996</v>
      </c>
      <c r="E185" s="2674">
        <f t="shared" ref="E185:I185" si="66">+E180+E167+E118</f>
        <v>246389.19527193261</v>
      </c>
      <c r="F185" s="2674">
        <f t="shared" si="66"/>
        <v>308187.25689846277</v>
      </c>
      <c r="G185" s="2674">
        <f t="shared" si="66"/>
        <v>240683.28736591394</v>
      </c>
      <c r="H185" s="2674">
        <f t="shared" si="66"/>
        <v>238937.10437144045</v>
      </c>
      <c r="I185" s="2674">
        <f t="shared" si="66"/>
        <v>245070.18478323048</v>
      </c>
      <c r="J185" s="2604"/>
    </row>
    <row r="186" spans="1:10" s="1871" customFormat="1" ht="12" hidden="1" x14ac:dyDescent="0.2">
      <c r="A186" s="1829"/>
      <c r="B186" s="1829" t="s">
        <v>243</v>
      </c>
      <c r="C186" s="1803"/>
      <c r="D186" s="1764">
        <f>+D185-'Výdaje kapitol celkem'!G74/1000</f>
        <v>-9000.0000000000582</v>
      </c>
      <c r="E186" s="1764"/>
      <c r="F186" s="1764"/>
      <c r="G186" s="1764"/>
      <c r="H186" s="1764"/>
      <c r="I186" s="1764"/>
      <c r="J186" s="2604"/>
    </row>
    <row r="187" spans="1:10" s="2611" customFormat="1" ht="13.5" thickBot="1" x14ac:dyDescent="0.3">
      <c r="A187" s="2705" t="s">
        <v>1588</v>
      </c>
      <c r="B187" s="2706"/>
      <c r="C187" s="2707"/>
      <c r="D187" s="2708">
        <f>+D113-D185</f>
        <v>-17610.88599999994</v>
      </c>
      <c r="E187" s="2708">
        <f>+E113-E185</f>
        <v>-6478.7217719325854</v>
      </c>
      <c r="F187" s="2708">
        <f t="shared" ref="F187:I187" si="67">+F113-F185</f>
        <v>-7468.4290414627176</v>
      </c>
      <c r="G187" s="2708">
        <f t="shared" si="67"/>
        <v>-7084.6881964039057</v>
      </c>
      <c r="H187" s="2708">
        <f t="shared" si="67"/>
        <v>-7477.3042707583518</v>
      </c>
      <c r="I187" s="2708">
        <f t="shared" si="67"/>
        <v>-7882.026663434488</v>
      </c>
      <c r="J187" s="2604"/>
    </row>
    <row r="188" spans="1:10" s="1871" customFormat="1" ht="13.5" thickTop="1" x14ac:dyDescent="0.25">
      <c r="A188" s="1829"/>
      <c r="B188" s="1829"/>
      <c r="C188" s="1827"/>
      <c r="D188" s="1764"/>
      <c r="E188" s="1764"/>
      <c r="F188" s="1764"/>
      <c r="G188" s="1764"/>
      <c r="H188" s="1764"/>
      <c r="I188" s="1764"/>
      <c r="J188" s="2604"/>
    </row>
    <row r="189" spans="1:10" ht="15.75" hidden="1" customHeight="1" x14ac:dyDescent="0.25">
      <c r="A189" s="1801"/>
      <c r="B189" s="1801"/>
      <c r="C189" s="2597"/>
      <c r="D189" s="1776"/>
      <c r="E189" s="1776"/>
      <c r="F189" s="1776"/>
      <c r="G189" s="1776"/>
      <c r="H189" s="1776"/>
      <c r="I189" s="1776"/>
      <c r="J189" s="2604"/>
    </row>
    <row r="190" spans="1:10" ht="15.75" customHeight="1" x14ac:dyDescent="0.25">
      <c r="A190" s="1801"/>
      <c r="B190" s="1801" t="s">
        <v>785</v>
      </c>
      <c r="C190" s="2597"/>
      <c r="D190" s="2709">
        <f t="shared" ref="D190:I190" si="68">+D6+D27+D74+D80+D82+D84</f>
        <v>247042.65500000003</v>
      </c>
      <c r="E190" s="2709">
        <f t="shared" si="68"/>
        <v>210742.27350000001</v>
      </c>
      <c r="F190" s="2709">
        <f t="shared" si="68"/>
        <v>211050.62785700001</v>
      </c>
      <c r="G190" s="2709">
        <f t="shared" si="68"/>
        <v>212188.39916951003</v>
      </c>
      <c r="H190" s="2709">
        <f t="shared" si="68"/>
        <v>213356.60010068209</v>
      </c>
      <c r="I190" s="2709">
        <f t="shared" si="68"/>
        <v>219084.95811979598</v>
      </c>
      <c r="J190" s="2604"/>
    </row>
    <row r="191" spans="1:10" ht="15.75" customHeight="1" x14ac:dyDescent="0.25">
      <c r="A191" s="1801"/>
      <c r="B191" s="1801" t="s">
        <v>786</v>
      </c>
      <c r="C191" s="2597"/>
      <c r="D191" s="2709">
        <f>+D119+D129</f>
        <v>202094.65644123999</v>
      </c>
      <c r="E191" s="2709">
        <f t="shared" ref="E191:I191" si="69">+E119+E129</f>
        <v>203843.52840707664</v>
      </c>
      <c r="F191" s="2709">
        <f t="shared" si="69"/>
        <v>206858.34873569832</v>
      </c>
      <c r="G191" s="2709">
        <f t="shared" si="69"/>
        <v>209439.33016245835</v>
      </c>
      <c r="H191" s="2709">
        <f t="shared" si="69"/>
        <v>212675.85470189416</v>
      </c>
      <c r="I191" s="2709">
        <f t="shared" si="69"/>
        <v>216914.78888063878</v>
      </c>
      <c r="J191" s="2604"/>
    </row>
    <row r="192" spans="1:10" s="2714" customFormat="1" ht="15.75" customHeight="1" thickBot="1" x14ac:dyDescent="0.3">
      <c r="A192" s="2710"/>
      <c r="B192" s="2711" t="s">
        <v>787</v>
      </c>
      <c r="C192" s="2712"/>
      <c r="D192" s="2713">
        <f t="shared" ref="D192:I192" si="70">+D190-D191</f>
        <v>44947.998558760039</v>
      </c>
      <c r="E192" s="2713">
        <f t="shared" si="70"/>
        <v>6898.7450929233746</v>
      </c>
      <c r="F192" s="2713">
        <f t="shared" si="70"/>
        <v>4192.2791213016899</v>
      </c>
      <c r="G192" s="2713">
        <f t="shared" si="70"/>
        <v>2749.0690070516721</v>
      </c>
      <c r="H192" s="2713">
        <f t="shared" si="70"/>
        <v>680.74539878792712</v>
      </c>
      <c r="I192" s="2713">
        <f t="shared" si="70"/>
        <v>2170.1692391571996</v>
      </c>
      <c r="J192" s="2610"/>
    </row>
    <row r="193" spans="1:11" ht="15.75" customHeight="1" thickTop="1" x14ac:dyDescent="0.25">
      <c r="A193" s="1801"/>
      <c r="B193" s="1801"/>
      <c r="C193" s="2597"/>
      <c r="D193" s="1776"/>
      <c r="E193" s="1776"/>
      <c r="F193" s="1776"/>
      <c r="G193" s="1776"/>
      <c r="H193" s="1776"/>
      <c r="I193" s="1776"/>
      <c r="J193" s="2604"/>
    </row>
    <row r="194" spans="1:11" ht="15.75" customHeight="1" x14ac:dyDescent="0.25">
      <c r="A194" s="1801"/>
      <c r="B194" s="1801" t="s">
        <v>788</v>
      </c>
      <c r="C194" s="2597"/>
      <c r="D194" s="2709">
        <f t="shared" ref="D194:I194" si="71">+D183</f>
        <v>29142.971000000001</v>
      </c>
      <c r="E194" s="2709">
        <f t="shared" si="71"/>
        <v>5772.2529999999997</v>
      </c>
      <c r="F194" s="2709">
        <f t="shared" si="71"/>
        <v>5345.7120000000004</v>
      </c>
      <c r="G194" s="2709">
        <f t="shared" si="71"/>
        <v>5345.7120000000004</v>
      </c>
      <c r="H194" s="2709">
        <f t="shared" si="71"/>
        <v>5345.7120000000004</v>
      </c>
      <c r="I194" s="2709">
        <f t="shared" si="71"/>
        <v>5345.7120000000004</v>
      </c>
      <c r="J194" s="2604"/>
    </row>
    <row r="195" spans="1:11" s="2714" customFormat="1" ht="15.75" customHeight="1" thickBot="1" x14ac:dyDescent="0.3">
      <c r="A195" s="2710"/>
      <c r="B195" s="2711" t="s">
        <v>789</v>
      </c>
      <c r="C195" s="2712"/>
      <c r="D195" s="2713">
        <f t="shared" ref="D195:I195" si="72">+D192-D194</f>
        <v>15805.027558760037</v>
      </c>
      <c r="E195" s="2713">
        <f t="shared" si="72"/>
        <v>1126.4920929233749</v>
      </c>
      <c r="F195" s="2713">
        <f t="shared" si="72"/>
        <v>-1153.4328786983106</v>
      </c>
      <c r="G195" s="2713">
        <f t="shared" si="72"/>
        <v>-2596.6429929483284</v>
      </c>
      <c r="H195" s="2713">
        <f t="shared" si="72"/>
        <v>-4664.9666012120733</v>
      </c>
      <c r="I195" s="2713">
        <f t="shared" si="72"/>
        <v>-3175.5427608428008</v>
      </c>
      <c r="J195" s="2610"/>
    </row>
    <row r="196" spans="1:11" ht="15.75" customHeight="1" thickTop="1" x14ac:dyDescent="0.25">
      <c r="A196" s="1801"/>
      <c r="B196" s="1801"/>
      <c r="C196" s="2597"/>
      <c r="D196" s="1776"/>
      <c r="E196" s="1776"/>
      <c r="F196" s="1776"/>
      <c r="G196" s="1776"/>
      <c r="H196" s="1776"/>
      <c r="I196" s="1776"/>
      <c r="J196" s="2604"/>
    </row>
    <row r="197" spans="1:11" ht="15.75" customHeight="1" x14ac:dyDescent="0.25">
      <c r="A197" s="1801"/>
      <c r="B197" s="1801" t="s">
        <v>790</v>
      </c>
      <c r="C197" s="2597"/>
      <c r="D197" s="2709">
        <f t="shared" ref="D197:I197" si="73">+D79-D80-D82-D84</f>
        <v>14228.2</v>
      </c>
      <c r="E197" s="2709">
        <f t="shared" si="73"/>
        <v>14168.2</v>
      </c>
      <c r="F197" s="2709">
        <f t="shared" si="73"/>
        <v>14168.2</v>
      </c>
      <c r="G197" s="2709">
        <f t="shared" si="73"/>
        <v>14168.2</v>
      </c>
      <c r="H197" s="2709">
        <f t="shared" si="73"/>
        <v>14168.2</v>
      </c>
      <c r="I197" s="2709">
        <f t="shared" si="73"/>
        <v>14168.2</v>
      </c>
      <c r="J197" s="2604"/>
    </row>
    <row r="198" spans="1:11" ht="15.75" customHeight="1" x14ac:dyDescent="0.25">
      <c r="A198" s="1801"/>
      <c r="B198" s="1801" t="s">
        <v>3</v>
      </c>
      <c r="C198" s="2597"/>
      <c r="D198" s="2709">
        <f>+D167</f>
        <v>96832.091</v>
      </c>
      <c r="E198" s="2709">
        <f t="shared" ref="E198:I198" si="74">+E167</f>
        <v>41144.413864855967</v>
      </c>
      <c r="F198" s="2709">
        <f t="shared" si="74"/>
        <v>100452.19616276448</v>
      </c>
      <c r="G198" s="2709">
        <f t="shared" si="74"/>
        <v>30413.245203455597</v>
      </c>
      <c r="H198" s="2709">
        <f t="shared" si="74"/>
        <v>25561.537669546298</v>
      </c>
      <c r="I198" s="2709">
        <f t="shared" si="74"/>
        <v>27589.6839025917</v>
      </c>
      <c r="J198" s="2604"/>
    </row>
    <row r="199" spans="1:11" s="2714" customFormat="1" ht="15.75" customHeight="1" thickBot="1" x14ac:dyDescent="0.3">
      <c r="A199" s="2710"/>
      <c r="B199" s="2711" t="s">
        <v>791</v>
      </c>
      <c r="C199" s="2712"/>
      <c r="D199" s="2713">
        <f>+D195+D197-D198</f>
        <v>-66798.863441239955</v>
      </c>
      <c r="E199" s="2713">
        <f t="shared" ref="E199:I199" si="75">+E195+E197-E198</f>
        <v>-25849.721771932593</v>
      </c>
      <c r="F199" s="2713">
        <f t="shared" si="75"/>
        <v>-87437.42904146279</v>
      </c>
      <c r="G199" s="2713">
        <f t="shared" si="75"/>
        <v>-18841.688196403924</v>
      </c>
      <c r="H199" s="2713">
        <f t="shared" si="75"/>
        <v>-16058.30427075837</v>
      </c>
      <c r="I199" s="2713">
        <f t="shared" si="75"/>
        <v>-16597.026663434499</v>
      </c>
      <c r="J199" s="2610"/>
    </row>
    <row r="200" spans="1:11" ht="15.75" customHeight="1" thickTop="1" x14ac:dyDescent="0.25">
      <c r="A200" s="1801"/>
      <c r="B200" s="1801"/>
      <c r="C200" s="2597"/>
      <c r="D200" s="1776"/>
      <c r="E200" s="1776"/>
      <c r="F200" s="1776"/>
      <c r="G200" s="1776"/>
      <c r="H200" s="1776"/>
      <c r="I200" s="1776"/>
      <c r="J200" s="2604"/>
    </row>
    <row r="201" spans="1:11" s="2714" customFormat="1" ht="15.75" customHeight="1" thickBot="1" x14ac:dyDescent="0.3">
      <c r="A201" s="2710"/>
      <c r="B201" s="2711" t="s">
        <v>792</v>
      </c>
      <c r="C201" s="2712"/>
      <c r="D201" s="2713">
        <f>+D202+D203</f>
        <v>13900</v>
      </c>
      <c r="E201" s="2713">
        <f t="shared" ref="E201:I201" si="76">+E202+E203</f>
        <v>15000</v>
      </c>
      <c r="F201" s="2713">
        <f t="shared" si="76"/>
        <v>15500</v>
      </c>
      <c r="G201" s="2713">
        <f t="shared" si="76"/>
        <v>7242</v>
      </c>
      <c r="H201" s="2713">
        <f t="shared" si="76"/>
        <v>3935</v>
      </c>
      <c r="I201" s="2713">
        <f t="shared" si="76"/>
        <v>3935</v>
      </c>
      <c r="J201" s="2610"/>
    </row>
    <row r="202" spans="1:11" ht="15.75" customHeight="1" thickTop="1" x14ac:dyDescent="0.25">
      <c r="A202" s="1801"/>
      <c r="B202" s="1801" t="s">
        <v>793</v>
      </c>
      <c r="C202" s="2597"/>
      <c r="D202" s="2709">
        <f>+D109</f>
        <v>13900</v>
      </c>
      <c r="E202" s="2709">
        <f t="shared" ref="E202:I202" si="77">+E109</f>
        <v>15000</v>
      </c>
      <c r="F202" s="2709">
        <f t="shared" si="77"/>
        <v>15500</v>
      </c>
      <c r="G202" s="2709">
        <f t="shared" si="77"/>
        <v>7242</v>
      </c>
      <c r="H202" s="2709">
        <f t="shared" si="77"/>
        <v>3935</v>
      </c>
      <c r="I202" s="2709">
        <f t="shared" si="77"/>
        <v>3935</v>
      </c>
      <c r="J202" s="2604"/>
    </row>
    <row r="203" spans="1:11" ht="15.75" customHeight="1" x14ac:dyDescent="0.25">
      <c r="A203" s="1801"/>
      <c r="B203" s="1801" t="s">
        <v>794</v>
      </c>
      <c r="C203" s="2597"/>
      <c r="D203" s="2709"/>
      <c r="E203" s="2709"/>
      <c r="F203" s="2709"/>
      <c r="G203" s="2709"/>
      <c r="H203" s="2709"/>
      <c r="I203" s="2709"/>
      <c r="J203" s="2604"/>
    </row>
    <row r="204" spans="1:11" ht="15.75" customHeight="1" x14ac:dyDescent="0.25">
      <c r="A204" s="1801"/>
      <c r="B204" s="1801"/>
      <c r="C204" s="2597"/>
      <c r="D204" s="1776"/>
      <c r="E204" s="1776"/>
      <c r="F204" s="1776"/>
      <c r="G204" s="1776"/>
      <c r="H204" s="1776"/>
      <c r="I204" s="1776"/>
      <c r="J204" s="2604"/>
    </row>
    <row r="205" spans="1:11" s="2714" customFormat="1" x14ac:dyDescent="0.25">
      <c r="A205" s="2710" t="s">
        <v>656</v>
      </c>
      <c r="B205" s="2710"/>
      <c r="C205" s="2715"/>
      <c r="D205" s="2716">
        <f>+D212/D207</f>
        <v>0.1218817089032129</v>
      </c>
      <c r="E205" s="2716">
        <f t="shared" ref="E205:I205" si="78">+E212/E207</f>
        <v>3.356741250763938E-2</v>
      </c>
      <c r="F205" s="2716">
        <f t="shared" si="78"/>
        <v>3.0194026059498068E-2</v>
      </c>
      <c r="G205" s="2716">
        <f t="shared" si="78"/>
        <v>2.6959491027018178E-2</v>
      </c>
      <c r="H205" s="2716">
        <f t="shared" si="78"/>
        <v>2.3501787997851888E-2</v>
      </c>
      <c r="I205" s="2716">
        <f t="shared" si="78"/>
        <v>2.2924457412857743E-2</v>
      </c>
      <c r="J205" s="2610"/>
    </row>
    <row r="206" spans="1:11" x14ac:dyDescent="0.25">
      <c r="A206" s="1801"/>
      <c r="B206" s="1801"/>
      <c r="C206" s="2597"/>
      <c r="D206" s="1776"/>
      <c r="E206" s="1776"/>
      <c r="F206" s="1776"/>
      <c r="G206" s="1776"/>
      <c r="H206" s="1776"/>
      <c r="I206" s="1776"/>
      <c r="J206" s="2604"/>
    </row>
    <row r="207" spans="1:11" s="2722" customFormat="1" ht="13.5" thickBot="1" x14ac:dyDescent="0.3">
      <c r="A207" s="2717"/>
      <c r="B207" s="2718" t="s">
        <v>651</v>
      </c>
      <c r="C207" s="2719"/>
      <c r="D207" s="2720">
        <f>SUM(D208:D210)</f>
        <v>258044.65500000003</v>
      </c>
      <c r="E207" s="2720">
        <f t="shared" ref="E207:I207" si="79">SUM(E208:E210)</f>
        <v>224845.47350000002</v>
      </c>
      <c r="F207" s="2720">
        <f t="shared" si="79"/>
        <v>225153.82785700003</v>
      </c>
      <c r="G207" s="2720">
        <f t="shared" si="79"/>
        <v>226291.59916951004</v>
      </c>
      <c r="H207" s="2720">
        <f t="shared" si="79"/>
        <v>227459.8001006821</v>
      </c>
      <c r="I207" s="2720">
        <f t="shared" si="79"/>
        <v>233188.15811979599</v>
      </c>
      <c r="J207" s="2610"/>
      <c r="K207" s="2721"/>
    </row>
    <row r="208" spans="1:11" ht="13.5" thickTop="1" x14ac:dyDescent="0.25">
      <c r="A208" s="1801"/>
      <c r="B208" s="1800" t="s">
        <v>653</v>
      </c>
      <c r="C208" s="2597"/>
      <c r="D208" s="1776">
        <f t="shared" ref="D208:I208" si="80">+D6-D21</f>
        <v>191429.35700000002</v>
      </c>
      <c r="E208" s="1776">
        <f t="shared" si="80"/>
        <v>181818.87050000002</v>
      </c>
      <c r="F208" s="1776">
        <f t="shared" si="80"/>
        <v>182152.22485700002</v>
      </c>
      <c r="G208" s="1776">
        <f t="shared" si="80"/>
        <v>183289.99616951004</v>
      </c>
      <c r="H208" s="1776">
        <f t="shared" si="80"/>
        <v>184458.1971006821</v>
      </c>
      <c r="I208" s="1776">
        <f t="shared" si="80"/>
        <v>190186.55511979599</v>
      </c>
      <c r="J208" s="2604"/>
    </row>
    <row r="209" spans="1:11" x14ac:dyDescent="0.25">
      <c r="A209" s="1801"/>
      <c r="B209" s="1800" t="s">
        <v>654</v>
      </c>
      <c r="C209" s="2597"/>
      <c r="D209" s="1776">
        <f t="shared" ref="D209:I209" si="81">+D27</f>
        <v>52059.401000000005</v>
      </c>
      <c r="E209" s="1776">
        <f t="shared" si="81"/>
        <v>28530.706000000002</v>
      </c>
      <c r="F209" s="1776">
        <f t="shared" si="81"/>
        <v>28505.706000000002</v>
      </c>
      <c r="G209" s="1776">
        <f t="shared" si="81"/>
        <v>28505.706000000002</v>
      </c>
      <c r="H209" s="1776">
        <f t="shared" si="81"/>
        <v>28505.706000000002</v>
      </c>
      <c r="I209" s="1776">
        <f t="shared" si="81"/>
        <v>28505.706000000002</v>
      </c>
      <c r="J209" s="2604"/>
    </row>
    <row r="210" spans="1:11" x14ac:dyDescent="0.25">
      <c r="A210" s="1801"/>
      <c r="B210" s="1800" t="s">
        <v>655</v>
      </c>
      <c r="C210" s="2597"/>
      <c r="D210" s="1776">
        <f t="shared" ref="D210:I210" si="82">+D79</f>
        <v>14555.897000000001</v>
      </c>
      <c r="E210" s="1776">
        <f t="shared" si="82"/>
        <v>14495.897000000001</v>
      </c>
      <c r="F210" s="1776">
        <f t="shared" si="82"/>
        <v>14495.897000000001</v>
      </c>
      <c r="G210" s="1776">
        <f t="shared" si="82"/>
        <v>14495.897000000001</v>
      </c>
      <c r="H210" s="1776">
        <f t="shared" si="82"/>
        <v>14495.897000000001</v>
      </c>
      <c r="I210" s="1776">
        <f t="shared" si="82"/>
        <v>14495.897000000001</v>
      </c>
      <c r="J210" s="2604"/>
    </row>
    <row r="211" spans="1:11" ht="12" x14ac:dyDescent="0.2">
      <c r="A211" s="1801"/>
      <c r="B211" s="1801"/>
      <c r="C211" s="1764"/>
      <c r="D211" s="1801"/>
      <c r="E211" s="1801"/>
      <c r="F211" s="1801"/>
      <c r="G211" s="1801"/>
      <c r="H211" s="1801"/>
      <c r="I211" s="1801"/>
      <c r="J211" s="2604"/>
    </row>
    <row r="212" spans="1:11" s="2722" customFormat="1" ht="13.5" thickBot="1" x14ac:dyDescent="0.3">
      <c r="A212" s="2717"/>
      <c r="B212" s="2718" t="s">
        <v>652</v>
      </c>
      <c r="C212" s="2719"/>
      <c r="D212" s="2720">
        <f>SUM(D213:D214)</f>
        <v>31450.923524740003</v>
      </c>
      <c r="E212" s="2720">
        <f t="shared" ref="E212:I212" si="83">SUM(E213:E214)</f>
        <v>7547.4807594499998</v>
      </c>
      <c r="F212" s="2720">
        <f t="shared" si="83"/>
        <v>6798.3005457100007</v>
      </c>
      <c r="G212" s="2720">
        <f t="shared" si="83"/>
        <v>6100.7063373000001</v>
      </c>
      <c r="H212" s="2720">
        <f t="shared" si="83"/>
        <v>5345.7120000000004</v>
      </c>
      <c r="I212" s="2720">
        <f t="shared" si="83"/>
        <v>5345.7120000000004</v>
      </c>
      <c r="J212" s="2610"/>
      <c r="K212" s="2721"/>
    </row>
    <row r="213" spans="1:11" ht="13.5" thickTop="1" x14ac:dyDescent="0.25">
      <c r="A213" s="1801"/>
      <c r="B213" s="1800" t="s">
        <v>128</v>
      </c>
      <c r="C213" s="2597"/>
      <c r="D213" s="1776">
        <f>+D165+D166</f>
        <v>2307.9525247400002</v>
      </c>
      <c r="E213" s="1776">
        <f>+('plán - úvěrů a úroků'!J12+'plán - úvěrů a úroků'!J14+'plán - úvěrů a úroků'!J17+'plán - úvěrů a úroků'!J19+'plán - úvěrů a úroků'!J21)/1000</f>
        <v>1775.2277594500001</v>
      </c>
      <c r="F213" s="1776">
        <f>+('plán - úvěrů a úroků'!K12+'plán - úvěrů a úroků'!K14+'plán - úvěrů a úroků'!K17+'plán - úvěrů a úroků'!K19+'plán - úvěrů a úroků'!K21)/1000</f>
        <v>1452.5885457100001</v>
      </c>
      <c r="G213" s="1776">
        <f>+('plán - úvěrů a úroků'!L12+'plán - úvěrů a úroků'!L14+'plán - úvěrů a úroků'!L17+'plán - úvěrů a úroků'!L19+'plán - úvěrů a úroků'!L21)/1000</f>
        <v>754.99433729999976</v>
      </c>
      <c r="H213" s="1776">
        <f>+('plán - úvěrů a úroků'!M12+'plán - úvěrů a úroků'!M14+'plán - úvěrů a úroků'!M17+'plán - úvěrů a úroků'!M19+'plán - úvěrů a úroků'!M21)/1000</f>
        <v>0</v>
      </c>
      <c r="I213" s="1776">
        <f>+('plán - úvěrů a úroků'!N12+'plán - úvěrů a úroků'!N14+'plán - úvěrů a úroků'!N17+'plán - úvěrů a úroků'!N19+'plán - úvěrů a úroků'!N21)/1000</f>
        <v>0</v>
      </c>
      <c r="J213" s="2604"/>
    </row>
    <row r="214" spans="1:11" x14ac:dyDescent="0.25">
      <c r="A214" s="1801"/>
      <c r="B214" s="1800" t="s">
        <v>738</v>
      </c>
      <c r="C214" s="2597"/>
      <c r="D214" s="1776">
        <f>+D183</f>
        <v>29142.971000000001</v>
      </c>
      <c r="E214" s="1776">
        <f>+('plán - úvěrů a úroků'!J13+'plán - úvěrů a úroků'!J15+'plán - úvěrů a úroků'!J18+'plán - úvěrů a úroků'!J20+'plán - úvěrů a úroků'!J22)/1000</f>
        <v>5772.2529999999997</v>
      </c>
      <c r="F214" s="1776">
        <f>+('plán - úvěrů a úroků'!K13+'plán - úvěrů a úroků'!K15+'plán - úvěrů a úroků'!K18+'plán - úvěrů a úroků'!K20+'plán - úvěrů a úroků'!K22)/1000</f>
        <v>5345.7120000000004</v>
      </c>
      <c r="G214" s="1776">
        <f>+('plán - úvěrů a úroků'!L13+'plán - úvěrů a úroků'!L15+'plán - úvěrů a úroků'!L18+'plán - úvěrů a úroků'!L20+'plán - úvěrů a úroků'!L22)/1000</f>
        <v>5345.7120000000004</v>
      </c>
      <c r="H214" s="1776">
        <f>+('plán - úvěrů a úroků'!M13+'plán - úvěrů a úroků'!M15+'plán - úvěrů a úroků'!M18+'plán - úvěrů a úroků'!M20+'plán - úvěrů a úroků'!M22)/1000</f>
        <v>5345.7120000000004</v>
      </c>
      <c r="I214" s="1776">
        <f>+('plán - úvěrů a úroků'!N13+'plán - úvěrů a úroků'!N15+'plán - úvěrů a úroků'!N18+'plán - úvěrů a úroků'!N20+'plán - úvěrů a úroků'!N22)/1000</f>
        <v>5345.7120000000004</v>
      </c>
      <c r="J214" s="2604"/>
    </row>
    <row r="215" spans="1:11" x14ac:dyDescent="0.25">
      <c r="A215" s="1801"/>
      <c r="B215" s="1801"/>
      <c r="C215" s="2597"/>
      <c r="D215" s="1776"/>
      <c r="E215" s="1776"/>
      <c r="F215" s="1776"/>
      <c r="G215" s="1776"/>
      <c r="H215" s="1776"/>
      <c r="I215" s="1776"/>
      <c r="J215" s="2604"/>
    </row>
    <row r="216" spans="1:11" x14ac:dyDescent="0.25">
      <c r="A216" s="2723" t="s">
        <v>244</v>
      </c>
      <c r="B216" s="1801"/>
      <c r="C216" s="2597"/>
      <c r="D216" s="1776"/>
      <c r="E216" s="1776"/>
      <c r="F216" s="1776"/>
      <c r="G216" s="1776"/>
      <c r="H216" s="1776"/>
      <c r="I216" s="1776"/>
      <c r="J216" s="2604"/>
    </row>
    <row r="217" spans="1:11" s="2611" customFormat="1" x14ac:dyDescent="0.25">
      <c r="A217" s="2723"/>
      <c r="B217" s="2723" t="s">
        <v>245</v>
      </c>
      <c r="C217" s="2597"/>
      <c r="D217" s="1757">
        <f t="shared" ref="D217:I217" si="84">+D6+D27+D80+D83-D118-D21</f>
        <v>41721.798558760041</v>
      </c>
      <c r="E217" s="1757">
        <f t="shared" si="84"/>
        <v>6833.7450929233746</v>
      </c>
      <c r="F217" s="1757">
        <f t="shared" si="84"/>
        <v>4127.2791213016899</v>
      </c>
      <c r="G217" s="1757">
        <f t="shared" si="84"/>
        <v>2684.0690070516721</v>
      </c>
      <c r="H217" s="1757">
        <f t="shared" si="84"/>
        <v>615.74539878792712</v>
      </c>
      <c r="I217" s="1757">
        <f t="shared" si="84"/>
        <v>2105.1692391571996</v>
      </c>
      <c r="J217" s="2604"/>
    </row>
    <row r="218" spans="1:11" s="2722" customFormat="1" ht="13.5" thickBot="1" x14ac:dyDescent="0.3">
      <c r="A218" s="2723"/>
      <c r="B218" s="2718" t="s">
        <v>246</v>
      </c>
      <c r="C218" s="2719"/>
      <c r="D218" s="2724">
        <f t="shared" ref="D218:I218" si="85">D217/(D6+D27+D80+D82+D74)</f>
        <v>0.16888499906528304</v>
      </c>
      <c r="E218" s="2724">
        <f t="shared" si="85"/>
        <v>3.2427025576922869E-2</v>
      </c>
      <c r="F218" s="2724">
        <f t="shared" si="85"/>
        <v>1.9555872272022708E-2</v>
      </c>
      <c r="G218" s="2724">
        <f t="shared" si="85"/>
        <v>1.2649461599017304E-2</v>
      </c>
      <c r="H218" s="2724">
        <f t="shared" si="85"/>
        <v>2.8859918019754696E-3</v>
      </c>
      <c r="I218" s="2724">
        <f t="shared" si="85"/>
        <v>9.6089172767675358E-3</v>
      </c>
      <c r="J218" s="2604"/>
    </row>
    <row r="219" spans="1:11" ht="13.5" thickTop="1" x14ac:dyDescent="0.25">
      <c r="A219" s="2723"/>
      <c r="B219" s="1801"/>
      <c r="C219" s="2597"/>
      <c r="D219" s="1776"/>
      <c r="E219" s="1776"/>
      <c r="F219" s="1776"/>
      <c r="G219" s="1776"/>
      <c r="H219" s="1776"/>
      <c r="I219" s="1776"/>
      <c r="J219" s="2604"/>
    </row>
    <row r="220" spans="1:11" s="2611" customFormat="1" x14ac:dyDescent="0.25">
      <c r="A220" s="2723"/>
      <c r="B220" s="2723" t="s">
        <v>676</v>
      </c>
      <c r="C220" s="1758"/>
      <c r="D220" s="2725">
        <f>+D221/D222</f>
        <v>3.5551510583684699E-5</v>
      </c>
      <c r="E220" s="2725">
        <f t="shared" ref="E220:I220" si="86">+E221/E222</f>
        <v>3.4283911931487027E-5</v>
      </c>
      <c r="F220" s="2725">
        <f t="shared" si="86"/>
        <v>3.3706123054314045E-5</v>
      </c>
      <c r="G220" s="2725">
        <f t="shared" si="86"/>
        <v>4.6706709885942215E-5</v>
      </c>
      <c r="H220" s="2725">
        <f t="shared" si="86"/>
        <v>5.5238852799505061E-5</v>
      </c>
      <c r="I220" s="2725">
        <f t="shared" si="86"/>
        <v>5.5238852799505061E-5</v>
      </c>
      <c r="J220" s="2610"/>
    </row>
    <row r="221" spans="1:11" x14ac:dyDescent="0.25">
      <c r="A221" s="2723"/>
      <c r="B221" s="1800" t="s">
        <v>760</v>
      </c>
      <c r="C221" s="2597"/>
      <c r="D221" s="2726">
        <f>+D212/(D202+D197)</f>
        <v>1.1181278405564523</v>
      </c>
      <c r="E221" s="2726">
        <f>+E212/(E202+E197)</f>
        <v>0.25875716566157664</v>
      </c>
      <c r="F221" s="2726">
        <f t="shared" ref="F221:I221" si="87">+F212/(F202+F197)</f>
        <v>0.22914435475391162</v>
      </c>
      <c r="G221" s="2726">
        <f t="shared" si="87"/>
        <v>0.28494392099560023</v>
      </c>
      <c r="H221" s="2726">
        <f t="shared" si="87"/>
        <v>0.29529099827654781</v>
      </c>
      <c r="I221" s="2726">
        <f t="shared" si="87"/>
        <v>0.29529099827654781</v>
      </c>
      <c r="J221" s="2604"/>
    </row>
    <row r="222" spans="1:11" x14ac:dyDescent="0.25">
      <c r="A222" s="2723"/>
      <c r="B222" s="1800"/>
      <c r="C222" s="2597"/>
      <c r="D222" s="2727">
        <f>+D212</f>
        <v>31450.923524740003</v>
      </c>
      <c r="E222" s="2727">
        <f t="shared" ref="E222:I222" si="88">+E212</f>
        <v>7547.4807594499998</v>
      </c>
      <c r="F222" s="2727">
        <f t="shared" si="88"/>
        <v>6798.3005457100007</v>
      </c>
      <c r="G222" s="2727">
        <f t="shared" si="88"/>
        <v>6100.7063373000001</v>
      </c>
      <c r="H222" s="2727">
        <f t="shared" si="88"/>
        <v>5345.7120000000004</v>
      </c>
      <c r="I222" s="2727">
        <f t="shared" si="88"/>
        <v>5345.7120000000004</v>
      </c>
      <c r="J222" s="2604"/>
    </row>
    <row r="223" spans="1:11" ht="24.75" x14ac:dyDescent="0.25">
      <c r="A223" s="1801"/>
      <c r="B223" s="1800"/>
      <c r="C223" s="2597"/>
      <c r="D223" s="2728" t="s">
        <v>1849</v>
      </c>
      <c r="E223" s="2728" t="s">
        <v>1850</v>
      </c>
      <c r="F223" s="2728" t="s">
        <v>1851</v>
      </c>
      <c r="G223" s="2728" t="s">
        <v>1852</v>
      </c>
      <c r="H223" s="2728" t="s">
        <v>1853</v>
      </c>
      <c r="I223" s="2728" t="s">
        <v>2492</v>
      </c>
      <c r="J223" s="2604"/>
    </row>
    <row r="224" spans="1:11" s="2611" customFormat="1" ht="13.5" thickBot="1" x14ac:dyDescent="0.3">
      <c r="A224" s="2723"/>
      <c r="B224" s="2729" t="s">
        <v>726</v>
      </c>
      <c r="C224" s="2730"/>
      <c r="D224" s="2731">
        <f t="shared" ref="D224:I224" si="89">SUM(D225:D229)</f>
        <v>155339.215</v>
      </c>
      <c r="E224" s="2731">
        <f t="shared" si="89"/>
        <v>0</v>
      </c>
      <c r="F224" s="2731">
        <f t="shared" si="89"/>
        <v>0</v>
      </c>
      <c r="G224" s="2731">
        <f t="shared" si="89"/>
        <v>0</v>
      </c>
      <c r="H224" s="2731">
        <f t="shared" si="89"/>
        <v>0</v>
      </c>
      <c r="I224" s="2731">
        <f t="shared" si="89"/>
        <v>0</v>
      </c>
      <c r="J224" s="2610"/>
      <c r="K224" s="2732"/>
    </row>
    <row r="225" spans="1:11" s="2611" customFormat="1" ht="13.5" thickTop="1" x14ac:dyDescent="0.25">
      <c r="A225" s="2723"/>
      <c r="B225" s="2733" t="s">
        <v>728</v>
      </c>
      <c r="C225" s="2597"/>
      <c r="D225" s="2734">
        <f>+'Souhrn příjmů a výdajů 2024'!D231/1000</f>
        <v>1818.171</v>
      </c>
      <c r="E225" s="2734">
        <v>0</v>
      </c>
      <c r="F225" s="2734"/>
      <c r="G225" s="2734"/>
      <c r="H225" s="2734"/>
      <c r="I225" s="2734"/>
      <c r="J225" s="2610"/>
      <c r="K225" s="2732"/>
    </row>
    <row r="226" spans="1:11" s="2611" customFormat="1" x14ac:dyDescent="0.25">
      <c r="A226" s="2723"/>
      <c r="B226" s="2733" t="s">
        <v>729</v>
      </c>
      <c r="C226" s="2597"/>
      <c r="D226" s="2734">
        <f>+'Souhrn příjmů a výdajů 2024'!D232/1000</f>
        <v>67819.868000000002</v>
      </c>
      <c r="E226" s="2734"/>
      <c r="F226" s="2734"/>
      <c r="G226" s="2734"/>
      <c r="H226" s="2734"/>
      <c r="I226" s="2734"/>
      <c r="J226" s="2610"/>
      <c r="K226" s="2732"/>
    </row>
    <row r="227" spans="1:11" s="2611" customFormat="1" x14ac:dyDescent="0.25">
      <c r="A227" s="2723"/>
      <c r="B227" s="2733" t="s">
        <v>765</v>
      </c>
      <c r="C227" s="2597"/>
      <c r="D227" s="2734">
        <f>+'Souhrn příjmů a výdajů 2024'!D233/1000</f>
        <v>23773.56</v>
      </c>
      <c r="E227" s="2734"/>
      <c r="F227" s="2734"/>
      <c r="G227" s="2734"/>
      <c r="H227" s="2734"/>
      <c r="I227" s="2734"/>
      <c r="J227" s="2610"/>
      <c r="K227" s="2732"/>
    </row>
    <row r="228" spans="1:11" s="2722" customFormat="1" x14ac:dyDescent="0.25">
      <c r="A228" s="2717"/>
      <c r="B228" s="2749" t="s">
        <v>1160</v>
      </c>
      <c r="C228" s="1758"/>
      <c r="D228" s="2750">
        <f>+'Souhrn příjmů a výdajů 2024'!D234/1000</f>
        <v>14542.045</v>
      </c>
      <c r="E228" s="2750"/>
      <c r="F228" s="2750"/>
      <c r="G228" s="2750"/>
      <c r="H228" s="2750"/>
      <c r="I228" s="2750"/>
      <c r="J228" s="2751"/>
    </row>
    <row r="229" spans="1:11" s="2714" customFormat="1" x14ac:dyDescent="0.25">
      <c r="A229" s="2735"/>
      <c r="B229" s="2736" t="s">
        <v>1587</v>
      </c>
      <c r="C229" s="2737"/>
      <c r="D229" s="2738">
        <f>+'Souhrn příjmů a výdajů 2024'!D235/1000</f>
        <v>47385.571000000004</v>
      </c>
      <c r="E229" s="2738"/>
      <c r="F229" s="2738"/>
      <c r="G229" s="2738"/>
      <c r="H229" s="2738"/>
      <c r="I229" s="2738"/>
      <c r="J229" s="2610"/>
    </row>
    <row r="230" spans="1:11" s="2714" customFormat="1" x14ac:dyDescent="0.25">
      <c r="A230" s="2739" t="s">
        <v>544</v>
      </c>
      <c r="B230" s="2740"/>
      <c r="C230" s="2741"/>
      <c r="D230" s="2741"/>
      <c r="E230" s="2742"/>
      <c r="F230" s="2743"/>
      <c r="G230" s="2743"/>
      <c r="H230" s="2744"/>
      <c r="I230" s="2744"/>
      <c r="J230" s="2744"/>
    </row>
  </sheetData>
  <sheetProtection algorithmName="SHA-512" hashValue="Ph6O8BxI6hhMvVmP8dGXo6ziGwUhzYyTBGmewigOLb6PoV/gD6UAriX+MWZACpK3qPys1lmw7wTI1Bl3xpeQAw==" saltValue="xsVRlk81Da0TBIxTFJfxgQ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opLeftCell="A4" workbookViewId="0">
      <selection activeCell="D8" sqref="D8"/>
    </sheetView>
  </sheetViews>
  <sheetFormatPr defaultColWidth="8.85546875" defaultRowHeight="12" zeroHeight="1" x14ac:dyDescent="0.2"/>
  <cols>
    <col min="1" max="1" width="52" style="2376" customWidth="1"/>
    <col min="2" max="2" width="17.28515625" style="2376" bestFit="1" customWidth="1"/>
    <col min="3" max="3" width="12" style="2376" customWidth="1"/>
    <col min="4" max="4" width="20" style="2376" customWidth="1"/>
    <col min="5" max="5" width="16" style="2376" customWidth="1"/>
    <col min="6" max="6" width="13" style="2376" bestFit="1" customWidth="1"/>
    <col min="7" max="7" width="16.28515625" style="2376" bestFit="1" customWidth="1"/>
    <col min="8" max="8" width="13" style="2376" bestFit="1" customWidth="1"/>
    <col min="9" max="9" width="5.85546875" style="2376" bestFit="1" customWidth="1"/>
    <col min="10" max="10" width="15" style="2376" bestFit="1" customWidth="1"/>
    <col min="11" max="11" width="13.85546875" style="2376" bestFit="1" customWidth="1"/>
    <col min="12" max="12" width="13" style="2376" bestFit="1" customWidth="1"/>
    <col min="13" max="13" width="11" style="2376" bestFit="1" customWidth="1"/>
    <col min="14" max="14" width="11" style="2376" customWidth="1"/>
    <col min="15" max="16" width="9.7109375" style="2376" customWidth="1"/>
    <col min="17" max="17" width="10" style="2376" customWidth="1"/>
    <col min="18" max="19" width="17" style="2376" customWidth="1"/>
    <col min="20" max="256" width="8.85546875" style="2376"/>
    <col min="257" max="257" width="118.5703125" style="2376" customWidth="1"/>
    <col min="258" max="258" width="26.85546875" style="2376" customWidth="1"/>
    <col min="259" max="259" width="20" style="2376" customWidth="1"/>
    <col min="260" max="260" width="29.7109375" style="2376" bestFit="1" customWidth="1"/>
    <col min="261" max="261" width="33.28515625" style="2376" customWidth="1"/>
    <col min="262" max="262" width="27.7109375" style="2376" customWidth="1"/>
    <col min="263" max="263" width="22.28515625" style="2376" customWidth="1"/>
    <col min="264" max="264" width="32" style="2376" customWidth="1"/>
    <col min="265" max="265" width="23.28515625" style="2376" customWidth="1"/>
    <col min="266" max="266" width="18" style="2376" customWidth="1"/>
    <col min="267" max="267" width="16.7109375" style="2376" customWidth="1"/>
    <col min="268" max="268" width="13.28515625" style="2376" customWidth="1"/>
    <col min="269" max="269" width="15.28515625" style="2376" customWidth="1"/>
    <col min="270" max="270" width="11" style="2376" customWidth="1"/>
    <col min="271" max="272" width="9.7109375" style="2376" customWidth="1"/>
    <col min="273" max="273" width="10" style="2376" customWidth="1"/>
    <col min="274" max="275" width="17" style="2376" customWidth="1"/>
    <col min="276" max="512" width="8.85546875" style="2376"/>
    <col min="513" max="513" width="118.5703125" style="2376" customWidth="1"/>
    <col min="514" max="514" width="26.85546875" style="2376" customWidth="1"/>
    <col min="515" max="515" width="20" style="2376" customWidth="1"/>
    <col min="516" max="516" width="29.7109375" style="2376" bestFit="1" customWidth="1"/>
    <col min="517" max="517" width="33.28515625" style="2376" customWidth="1"/>
    <col min="518" max="518" width="27.7109375" style="2376" customWidth="1"/>
    <col min="519" max="519" width="22.28515625" style="2376" customWidth="1"/>
    <col min="520" max="520" width="32" style="2376" customWidth="1"/>
    <col min="521" max="521" width="23.28515625" style="2376" customWidth="1"/>
    <col min="522" max="522" width="18" style="2376" customWidth="1"/>
    <col min="523" max="523" width="16.7109375" style="2376" customWidth="1"/>
    <col min="524" max="524" width="13.28515625" style="2376" customWidth="1"/>
    <col min="525" max="525" width="15.28515625" style="2376" customWidth="1"/>
    <col min="526" max="526" width="11" style="2376" customWidth="1"/>
    <col min="527" max="528" width="9.7109375" style="2376" customWidth="1"/>
    <col min="529" max="529" width="10" style="2376" customWidth="1"/>
    <col min="530" max="531" width="17" style="2376" customWidth="1"/>
    <col min="532" max="768" width="8.85546875" style="2376"/>
    <col min="769" max="769" width="118.5703125" style="2376" customWidth="1"/>
    <col min="770" max="770" width="26.85546875" style="2376" customWidth="1"/>
    <col min="771" max="771" width="20" style="2376" customWidth="1"/>
    <col min="772" max="772" width="29.7109375" style="2376" bestFit="1" customWidth="1"/>
    <col min="773" max="773" width="33.28515625" style="2376" customWidth="1"/>
    <col min="774" max="774" width="27.7109375" style="2376" customWidth="1"/>
    <col min="775" max="775" width="22.28515625" style="2376" customWidth="1"/>
    <col min="776" max="776" width="32" style="2376" customWidth="1"/>
    <col min="777" max="777" width="23.28515625" style="2376" customWidth="1"/>
    <col min="778" max="778" width="18" style="2376" customWidth="1"/>
    <col min="779" max="779" width="16.7109375" style="2376" customWidth="1"/>
    <col min="780" max="780" width="13.28515625" style="2376" customWidth="1"/>
    <col min="781" max="781" width="15.28515625" style="2376" customWidth="1"/>
    <col min="782" max="782" width="11" style="2376" customWidth="1"/>
    <col min="783" max="784" width="9.7109375" style="2376" customWidth="1"/>
    <col min="785" max="785" width="10" style="2376" customWidth="1"/>
    <col min="786" max="787" width="17" style="2376" customWidth="1"/>
    <col min="788" max="1024" width="8.85546875" style="2376"/>
    <col min="1025" max="1025" width="118.5703125" style="2376" customWidth="1"/>
    <col min="1026" max="1026" width="26.85546875" style="2376" customWidth="1"/>
    <col min="1027" max="1027" width="20" style="2376" customWidth="1"/>
    <col min="1028" max="1028" width="29.7109375" style="2376" bestFit="1" customWidth="1"/>
    <col min="1029" max="1029" width="33.28515625" style="2376" customWidth="1"/>
    <col min="1030" max="1030" width="27.7109375" style="2376" customWidth="1"/>
    <col min="1031" max="1031" width="22.28515625" style="2376" customWidth="1"/>
    <col min="1032" max="1032" width="32" style="2376" customWidth="1"/>
    <col min="1033" max="1033" width="23.28515625" style="2376" customWidth="1"/>
    <col min="1034" max="1034" width="18" style="2376" customWidth="1"/>
    <col min="1035" max="1035" width="16.7109375" style="2376" customWidth="1"/>
    <col min="1036" max="1036" width="13.28515625" style="2376" customWidth="1"/>
    <col min="1037" max="1037" width="15.28515625" style="2376" customWidth="1"/>
    <col min="1038" max="1038" width="11" style="2376" customWidth="1"/>
    <col min="1039" max="1040" width="9.7109375" style="2376" customWidth="1"/>
    <col min="1041" max="1041" width="10" style="2376" customWidth="1"/>
    <col min="1042" max="1043" width="17" style="2376" customWidth="1"/>
    <col min="1044" max="1280" width="8.85546875" style="2376"/>
    <col min="1281" max="1281" width="118.5703125" style="2376" customWidth="1"/>
    <col min="1282" max="1282" width="26.85546875" style="2376" customWidth="1"/>
    <col min="1283" max="1283" width="20" style="2376" customWidth="1"/>
    <col min="1284" max="1284" width="29.7109375" style="2376" bestFit="1" customWidth="1"/>
    <col min="1285" max="1285" width="33.28515625" style="2376" customWidth="1"/>
    <col min="1286" max="1286" width="27.7109375" style="2376" customWidth="1"/>
    <col min="1287" max="1287" width="22.28515625" style="2376" customWidth="1"/>
    <col min="1288" max="1288" width="32" style="2376" customWidth="1"/>
    <col min="1289" max="1289" width="23.28515625" style="2376" customWidth="1"/>
    <col min="1290" max="1290" width="18" style="2376" customWidth="1"/>
    <col min="1291" max="1291" width="16.7109375" style="2376" customWidth="1"/>
    <col min="1292" max="1292" width="13.28515625" style="2376" customWidth="1"/>
    <col min="1293" max="1293" width="15.28515625" style="2376" customWidth="1"/>
    <col min="1294" max="1294" width="11" style="2376" customWidth="1"/>
    <col min="1295" max="1296" width="9.7109375" style="2376" customWidth="1"/>
    <col min="1297" max="1297" width="10" style="2376" customWidth="1"/>
    <col min="1298" max="1299" width="17" style="2376" customWidth="1"/>
    <col min="1300" max="1536" width="8.85546875" style="2376"/>
    <col min="1537" max="1537" width="118.5703125" style="2376" customWidth="1"/>
    <col min="1538" max="1538" width="26.85546875" style="2376" customWidth="1"/>
    <col min="1539" max="1539" width="20" style="2376" customWidth="1"/>
    <col min="1540" max="1540" width="29.7109375" style="2376" bestFit="1" customWidth="1"/>
    <col min="1541" max="1541" width="33.28515625" style="2376" customWidth="1"/>
    <col min="1542" max="1542" width="27.7109375" style="2376" customWidth="1"/>
    <col min="1543" max="1543" width="22.28515625" style="2376" customWidth="1"/>
    <col min="1544" max="1544" width="32" style="2376" customWidth="1"/>
    <col min="1545" max="1545" width="23.28515625" style="2376" customWidth="1"/>
    <col min="1546" max="1546" width="18" style="2376" customWidth="1"/>
    <col min="1547" max="1547" width="16.7109375" style="2376" customWidth="1"/>
    <col min="1548" max="1548" width="13.28515625" style="2376" customWidth="1"/>
    <col min="1549" max="1549" width="15.28515625" style="2376" customWidth="1"/>
    <col min="1550" max="1550" width="11" style="2376" customWidth="1"/>
    <col min="1551" max="1552" width="9.7109375" style="2376" customWidth="1"/>
    <col min="1553" max="1553" width="10" style="2376" customWidth="1"/>
    <col min="1554" max="1555" width="17" style="2376" customWidth="1"/>
    <col min="1556" max="1792" width="8.85546875" style="2376"/>
    <col min="1793" max="1793" width="118.5703125" style="2376" customWidth="1"/>
    <col min="1794" max="1794" width="26.85546875" style="2376" customWidth="1"/>
    <col min="1795" max="1795" width="20" style="2376" customWidth="1"/>
    <col min="1796" max="1796" width="29.7109375" style="2376" bestFit="1" customWidth="1"/>
    <col min="1797" max="1797" width="33.28515625" style="2376" customWidth="1"/>
    <col min="1798" max="1798" width="27.7109375" style="2376" customWidth="1"/>
    <col min="1799" max="1799" width="22.28515625" style="2376" customWidth="1"/>
    <col min="1800" max="1800" width="32" style="2376" customWidth="1"/>
    <col min="1801" max="1801" width="23.28515625" style="2376" customWidth="1"/>
    <col min="1802" max="1802" width="18" style="2376" customWidth="1"/>
    <col min="1803" max="1803" width="16.7109375" style="2376" customWidth="1"/>
    <col min="1804" max="1804" width="13.28515625" style="2376" customWidth="1"/>
    <col min="1805" max="1805" width="15.28515625" style="2376" customWidth="1"/>
    <col min="1806" max="1806" width="11" style="2376" customWidth="1"/>
    <col min="1807" max="1808" width="9.7109375" style="2376" customWidth="1"/>
    <col min="1809" max="1809" width="10" style="2376" customWidth="1"/>
    <col min="1810" max="1811" width="17" style="2376" customWidth="1"/>
    <col min="1812" max="2048" width="8.85546875" style="2376"/>
    <col min="2049" max="2049" width="118.5703125" style="2376" customWidth="1"/>
    <col min="2050" max="2050" width="26.85546875" style="2376" customWidth="1"/>
    <col min="2051" max="2051" width="20" style="2376" customWidth="1"/>
    <col min="2052" max="2052" width="29.7109375" style="2376" bestFit="1" customWidth="1"/>
    <col min="2053" max="2053" width="33.28515625" style="2376" customWidth="1"/>
    <col min="2054" max="2054" width="27.7109375" style="2376" customWidth="1"/>
    <col min="2055" max="2055" width="22.28515625" style="2376" customWidth="1"/>
    <col min="2056" max="2056" width="32" style="2376" customWidth="1"/>
    <col min="2057" max="2057" width="23.28515625" style="2376" customWidth="1"/>
    <col min="2058" max="2058" width="18" style="2376" customWidth="1"/>
    <col min="2059" max="2059" width="16.7109375" style="2376" customWidth="1"/>
    <col min="2060" max="2060" width="13.28515625" style="2376" customWidth="1"/>
    <col min="2061" max="2061" width="15.28515625" style="2376" customWidth="1"/>
    <col min="2062" max="2062" width="11" style="2376" customWidth="1"/>
    <col min="2063" max="2064" width="9.7109375" style="2376" customWidth="1"/>
    <col min="2065" max="2065" width="10" style="2376" customWidth="1"/>
    <col min="2066" max="2067" width="17" style="2376" customWidth="1"/>
    <col min="2068" max="2304" width="8.85546875" style="2376"/>
    <col min="2305" max="2305" width="118.5703125" style="2376" customWidth="1"/>
    <col min="2306" max="2306" width="26.85546875" style="2376" customWidth="1"/>
    <col min="2307" max="2307" width="20" style="2376" customWidth="1"/>
    <col min="2308" max="2308" width="29.7109375" style="2376" bestFit="1" customWidth="1"/>
    <col min="2309" max="2309" width="33.28515625" style="2376" customWidth="1"/>
    <col min="2310" max="2310" width="27.7109375" style="2376" customWidth="1"/>
    <col min="2311" max="2311" width="22.28515625" style="2376" customWidth="1"/>
    <col min="2312" max="2312" width="32" style="2376" customWidth="1"/>
    <col min="2313" max="2313" width="23.28515625" style="2376" customWidth="1"/>
    <col min="2314" max="2314" width="18" style="2376" customWidth="1"/>
    <col min="2315" max="2315" width="16.7109375" style="2376" customWidth="1"/>
    <col min="2316" max="2316" width="13.28515625" style="2376" customWidth="1"/>
    <col min="2317" max="2317" width="15.28515625" style="2376" customWidth="1"/>
    <col min="2318" max="2318" width="11" style="2376" customWidth="1"/>
    <col min="2319" max="2320" width="9.7109375" style="2376" customWidth="1"/>
    <col min="2321" max="2321" width="10" style="2376" customWidth="1"/>
    <col min="2322" max="2323" width="17" style="2376" customWidth="1"/>
    <col min="2324" max="2560" width="8.85546875" style="2376"/>
    <col min="2561" max="2561" width="118.5703125" style="2376" customWidth="1"/>
    <col min="2562" max="2562" width="26.85546875" style="2376" customWidth="1"/>
    <col min="2563" max="2563" width="20" style="2376" customWidth="1"/>
    <col min="2564" max="2564" width="29.7109375" style="2376" bestFit="1" customWidth="1"/>
    <col min="2565" max="2565" width="33.28515625" style="2376" customWidth="1"/>
    <col min="2566" max="2566" width="27.7109375" style="2376" customWidth="1"/>
    <col min="2567" max="2567" width="22.28515625" style="2376" customWidth="1"/>
    <col min="2568" max="2568" width="32" style="2376" customWidth="1"/>
    <col min="2569" max="2569" width="23.28515625" style="2376" customWidth="1"/>
    <col min="2570" max="2570" width="18" style="2376" customWidth="1"/>
    <col min="2571" max="2571" width="16.7109375" style="2376" customWidth="1"/>
    <col min="2572" max="2572" width="13.28515625" style="2376" customWidth="1"/>
    <col min="2573" max="2573" width="15.28515625" style="2376" customWidth="1"/>
    <col min="2574" max="2574" width="11" style="2376" customWidth="1"/>
    <col min="2575" max="2576" width="9.7109375" style="2376" customWidth="1"/>
    <col min="2577" max="2577" width="10" style="2376" customWidth="1"/>
    <col min="2578" max="2579" width="17" style="2376" customWidth="1"/>
    <col min="2580" max="2816" width="8.85546875" style="2376"/>
    <col min="2817" max="2817" width="118.5703125" style="2376" customWidth="1"/>
    <col min="2818" max="2818" width="26.85546875" style="2376" customWidth="1"/>
    <col min="2819" max="2819" width="20" style="2376" customWidth="1"/>
    <col min="2820" max="2820" width="29.7109375" style="2376" bestFit="1" customWidth="1"/>
    <col min="2821" max="2821" width="33.28515625" style="2376" customWidth="1"/>
    <col min="2822" max="2822" width="27.7109375" style="2376" customWidth="1"/>
    <col min="2823" max="2823" width="22.28515625" style="2376" customWidth="1"/>
    <col min="2824" max="2824" width="32" style="2376" customWidth="1"/>
    <col min="2825" max="2825" width="23.28515625" style="2376" customWidth="1"/>
    <col min="2826" max="2826" width="18" style="2376" customWidth="1"/>
    <col min="2827" max="2827" width="16.7109375" style="2376" customWidth="1"/>
    <col min="2828" max="2828" width="13.28515625" style="2376" customWidth="1"/>
    <col min="2829" max="2829" width="15.28515625" style="2376" customWidth="1"/>
    <col min="2830" max="2830" width="11" style="2376" customWidth="1"/>
    <col min="2831" max="2832" width="9.7109375" style="2376" customWidth="1"/>
    <col min="2833" max="2833" width="10" style="2376" customWidth="1"/>
    <col min="2834" max="2835" width="17" style="2376" customWidth="1"/>
    <col min="2836" max="3072" width="8.85546875" style="2376"/>
    <col min="3073" max="3073" width="118.5703125" style="2376" customWidth="1"/>
    <col min="3074" max="3074" width="26.85546875" style="2376" customWidth="1"/>
    <col min="3075" max="3075" width="20" style="2376" customWidth="1"/>
    <col min="3076" max="3076" width="29.7109375" style="2376" bestFit="1" customWidth="1"/>
    <col min="3077" max="3077" width="33.28515625" style="2376" customWidth="1"/>
    <col min="3078" max="3078" width="27.7109375" style="2376" customWidth="1"/>
    <col min="3079" max="3079" width="22.28515625" style="2376" customWidth="1"/>
    <col min="3080" max="3080" width="32" style="2376" customWidth="1"/>
    <col min="3081" max="3081" width="23.28515625" style="2376" customWidth="1"/>
    <col min="3082" max="3082" width="18" style="2376" customWidth="1"/>
    <col min="3083" max="3083" width="16.7109375" style="2376" customWidth="1"/>
    <col min="3084" max="3084" width="13.28515625" style="2376" customWidth="1"/>
    <col min="3085" max="3085" width="15.28515625" style="2376" customWidth="1"/>
    <col min="3086" max="3086" width="11" style="2376" customWidth="1"/>
    <col min="3087" max="3088" width="9.7109375" style="2376" customWidth="1"/>
    <col min="3089" max="3089" width="10" style="2376" customWidth="1"/>
    <col min="3090" max="3091" width="17" style="2376" customWidth="1"/>
    <col min="3092" max="3328" width="8.85546875" style="2376"/>
    <col min="3329" max="3329" width="118.5703125" style="2376" customWidth="1"/>
    <col min="3330" max="3330" width="26.85546875" style="2376" customWidth="1"/>
    <col min="3331" max="3331" width="20" style="2376" customWidth="1"/>
    <col min="3332" max="3332" width="29.7109375" style="2376" bestFit="1" customWidth="1"/>
    <col min="3333" max="3333" width="33.28515625" style="2376" customWidth="1"/>
    <col min="3334" max="3334" width="27.7109375" style="2376" customWidth="1"/>
    <col min="3335" max="3335" width="22.28515625" style="2376" customWidth="1"/>
    <col min="3336" max="3336" width="32" style="2376" customWidth="1"/>
    <col min="3337" max="3337" width="23.28515625" style="2376" customWidth="1"/>
    <col min="3338" max="3338" width="18" style="2376" customWidth="1"/>
    <col min="3339" max="3339" width="16.7109375" style="2376" customWidth="1"/>
    <col min="3340" max="3340" width="13.28515625" style="2376" customWidth="1"/>
    <col min="3341" max="3341" width="15.28515625" style="2376" customWidth="1"/>
    <col min="3342" max="3342" width="11" style="2376" customWidth="1"/>
    <col min="3343" max="3344" width="9.7109375" style="2376" customWidth="1"/>
    <col min="3345" max="3345" width="10" style="2376" customWidth="1"/>
    <col min="3346" max="3347" width="17" style="2376" customWidth="1"/>
    <col min="3348" max="3584" width="8.85546875" style="2376"/>
    <col min="3585" max="3585" width="118.5703125" style="2376" customWidth="1"/>
    <col min="3586" max="3586" width="26.85546875" style="2376" customWidth="1"/>
    <col min="3587" max="3587" width="20" style="2376" customWidth="1"/>
    <col min="3588" max="3588" width="29.7109375" style="2376" bestFit="1" customWidth="1"/>
    <col min="3589" max="3589" width="33.28515625" style="2376" customWidth="1"/>
    <col min="3590" max="3590" width="27.7109375" style="2376" customWidth="1"/>
    <col min="3591" max="3591" width="22.28515625" style="2376" customWidth="1"/>
    <col min="3592" max="3592" width="32" style="2376" customWidth="1"/>
    <col min="3593" max="3593" width="23.28515625" style="2376" customWidth="1"/>
    <col min="3594" max="3594" width="18" style="2376" customWidth="1"/>
    <col min="3595" max="3595" width="16.7109375" style="2376" customWidth="1"/>
    <col min="3596" max="3596" width="13.28515625" style="2376" customWidth="1"/>
    <col min="3597" max="3597" width="15.28515625" style="2376" customWidth="1"/>
    <col min="3598" max="3598" width="11" style="2376" customWidth="1"/>
    <col min="3599" max="3600" width="9.7109375" style="2376" customWidth="1"/>
    <col min="3601" max="3601" width="10" style="2376" customWidth="1"/>
    <col min="3602" max="3603" width="17" style="2376" customWidth="1"/>
    <col min="3604" max="3840" width="8.85546875" style="2376"/>
    <col min="3841" max="3841" width="118.5703125" style="2376" customWidth="1"/>
    <col min="3842" max="3842" width="26.85546875" style="2376" customWidth="1"/>
    <col min="3843" max="3843" width="20" style="2376" customWidth="1"/>
    <col min="3844" max="3844" width="29.7109375" style="2376" bestFit="1" customWidth="1"/>
    <col min="3845" max="3845" width="33.28515625" style="2376" customWidth="1"/>
    <col min="3846" max="3846" width="27.7109375" style="2376" customWidth="1"/>
    <col min="3847" max="3847" width="22.28515625" style="2376" customWidth="1"/>
    <col min="3848" max="3848" width="32" style="2376" customWidth="1"/>
    <col min="3849" max="3849" width="23.28515625" style="2376" customWidth="1"/>
    <col min="3850" max="3850" width="18" style="2376" customWidth="1"/>
    <col min="3851" max="3851" width="16.7109375" style="2376" customWidth="1"/>
    <col min="3852" max="3852" width="13.28515625" style="2376" customWidth="1"/>
    <col min="3853" max="3853" width="15.28515625" style="2376" customWidth="1"/>
    <col min="3854" max="3854" width="11" style="2376" customWidth="1"/>
    <col min="3855" max="3856" width="9.7109375" style="2376" customWidth="1"/>
    <col min="3857" max="3857" width="10" style="2376" customWidth="1"/>
    <col min="3858" max="3859" width="17" style="2376" customWidth="1"/>
    <col min="3860" max="4096" width="8.85546875" style="2376"/>
    <col min="4097" max="4097" width="118.5703125" style="2376" customWidth="1"/>
    <col min="4098" max="4098" width="26.85546875" style="2376" customWidth="1"/>
    <col min="4099" max="4099" width="20" style="2376" customWidth="1"/>
    <col min="4100" max="4100" width="29.7109375" style="2376" bestFit="1" customWidth="1"/>
    <col min="4101" max="4101" width="33.28515625" style="2376" customWidth="1"/>
    <col min="4102" max="4102" width="27.7109375" style="2376" customWidth="1"/>
    <col min="4103" max="4103" width="22.28515625" style="2376" customWidth="1"/>
    <col min="4104" max="4104" width="32" style="2376" customWidth="1"/>
    <col min="4105" max="4105" width="23.28515625" style="2376" customWidth="1"/>
    <col min="4106" max="4106" width="18" style="2376" customWidth="1"/>
    <col min="4107" max="4107" width="16.7109375" style="2376" customWidth="1"/>
    <col min="4108" max="4108" width="13.28515625" style="2376" customWidth="1"/>
    <col min="4109" max="4109" width="15.28515625" style="2376" customWidth="1"/>
    <col min="4110" max="4110" width="11" style="2376" customWidth="1"/>
    <col min="4111" max="4112" width="9.7109375" style="2376" customWidth="1"/>
    <col min="4113" max="4113" width="10" style="2376" customWidth="1"/>
    <col min="4114" max="4115" width="17" style="2376" customWidth="1"/>
    <col min="4116" max="4352" width="8.85546875" style="2376"/>
    <col min="4353" max="4353" width="118.5703125" style="2376" customWidth="1"/>
    <col min="4354" max="4354" width="26.85546875" style="2376" customWidth="1"/>
    <col min="4355" max="4355" width="20" style="2376" customWidth="1"/>
    <col min="4356" max="4356" width="29.7109375" style="2376" bestFit="1" customWidth="1"/>
    <col min="4357" max="4357" width="33.28515625" style="2376" customWidth="1"/>
    <col min="4358" max="4358" width="27.7109375" style="2376" customWidth="1"/>
    <col min="4359" max="4359" width="22.28515625" style="2376" customWidth="1"/>
    <col min="4360" max="4360" width="32" style="2376" customWidth="1"/>
    <col min="4361" max="4361" width="23.28515625" style="2376" customWidth="1"/>
    <col min="4362" max="4362" width="18" style="2376" customWidth="1"/>
    <col min="4363" max="4363" width="16.7109375" style="2376" customWidth="1"/>
    <col min="4364" max="4364" width="13.28515625" style="2376" customWidth="1"/>
    <col min="4365" max="4365" width="15.28515625" style="2376" customWidth="1"/>
    <col min="4366" max="4366" width="11" style="2376" customWidth="1"/>
    <col min="4367" max="4368" width="9.7109375" style="2376" customWidth="1"/>
    <col min="4369" max="4369" width="10" style="2376" customWidth="1"/>
    <col min="4370" max="4371" width="17" style="2376" customWidth="1"/>
    <col min="4372" max="4608" width="8.85546875" style="2376"/>
    <col min="4609" max="4609" width="118.5703125" style="2376" customWidth="1"/>
    <col min="4610" max="4610" width="26.85546875" style="2376" customWidth="1"/>
    <col min="4611" max="4611" width="20" style="2376" customWidth="1"/>
    <col min="4612" max="4612" width="29.7109375" style="2376" bestFit="1" customWidth="1"/>
    <col min="4613" max="4613" width="33.28515625" style="2376" customWidth="1"/>
    <col min="4614" max="4614" width="27.7109375" style="2376" customWidth="1"/>
    <col min="4615" max="4615" width="22.28515625" style="2376" customWidth="1"/>
    <col min="4616" max="4616" width="32" style="2376" customWidth="1"/>
    <col min="4617" max="4617" width="23.28515625" style="2376" customWidth="1"/>
    <col min="4618" max="4618" width="18" style="2376" customWidth="1"/>
    <col min="4619" max="4619" width="16.7109375" style="2376" customWidth="1"/>
    <col min="4620" max="4620" width="13.28515625" style="2376" customWidth="1"/>
    <col min="4621" max="4621" width="15.28515625" style="2376" customWidth="1"/>
    <col min="4622" max="4622" width="11" style="2376" customWidth="1"/>
    <col min="4623" max="4624" width="9.7109375" style="2376" customWidth="1"/>
    <col min="4625" max="4625" width="10" style="2376" customWidth="1"/>
    <col min="4626" max="4627" width="17" style="2376" customWidth="1"/>
    <col min="4628" max="4864" width="8.85546875" style="2376"/>
    <col min="4865" max="4865" width="118.5703125" style="2376" customWidth="1"/>
    <col min="4866" max="4866" width="26.85546875" style="2376" customWidth="1"/>
    <col min="4867" max="4867" width="20" style="2376" customWidth="1"/>
    <col min="4868" max="4868" width="29.7109375" style="2376" bestFit="1" customWidth="1"/>
    <col min="4869" max="4869" width="33.28515625" style="2376" customWidth="1"/>
    <col min="4870" max="4870" width="27.7109375" style="2376" customWidth="1"/>
    <col min="4871" max="4871" width="22.28515625" style="2376" customWidth="1"/>
    <col min="4872" max="4872" width="32" style="2376" customWidth="1"/>
    <col min="4873" max="4873" width="23.28515625" style="2376" customWidth="1"/>
    <col min="4874" max="4874" width="18" style="2376" customWidth="1"/>
    <col min="4875" max="4875" width="16.7109375" style="2376" customWidth="1"/>
    <col min="4876" max="4876" width="13.28515625" style="2376" customWidth="1"/>
    <col min="4877" max="4877" width="15.28515625" style="2376" customWidth="1"/>
    <col min="4878" max="4878" width="11" style="2376" customWidth="1"/>
    <col min="4879" max="4880" width="9.7109375" style="2376" customWidth="1"/>
    <col min="4881" max="4881" width="10" style="2376" customWidth="1"/>
    <col min="4882" max="4883" width="17" style="2376" customWidth="1"/>
    <col min="4884" max="5120" width="8.85546875" style="2376"/>
    <col min="5121" max="5121" width="118.5703125" style="2376" customWidth="1"/>
    <col min="5122" max="5122" width="26.85546875" style="2376" customWidth="1"/>
    <col min="5123" max="5123" width="20" style="2376" customWidth="1"/>
    <col min="5124" max="5124" width="29.7109375" style="2376" bestFit="1" customWidth="1"/>
    <col min="5125" max="5125" width="33.28515625" style="2376" customWidth="1"/>
    <col min="5126" max="5126" width="27.7109375" style="2376" customWidth="1"/>
    <col min="5127" max="5127" width="22.28515625" style="2376" customWidth="1"/>
    <col min="5128" max="5128" width="32" style="2376" customWidth="1"/>
    <col min="5129" max="5129" width="23.28515625" style="2376" customWidth="1"/>
    <col min="5130" max="5130" width="18" style="2376" customWidth="1"/>
    <col min="5131" max="5131" width="16.7109375" style="2376" customWidth="1"/>
    <col min="5132" max="5132" width="13.28515625" style="2376" customWidth="1"/>
    <col min="5133" max="5133" width="15.28515625" style="2376" customWidth="1"/>
    <col min="5134" max="5134" width="11" style="2376" customWidth="1"/>
    <col min="5135" max="5136" width="9.7109375" style="2376" customWidth="1"/>
    <col min="5137" max="5137" width="10" style="2376" customWidth="1"/>
    <col min="5138" max="5139" width="17" style="2376" customWidth="1"/>
    <col min="5140" max="5376" width="8.85546875" style="2376"/>
    <col min="5377" max="5377" width="118.5703125" style="2376" customWidth="1"/>
    <col min="5378" max="5378" width="26.85546875" style="2376" customWidth="1"/>
    <col min="5379" max="5379" width="20" style="2376" customWidth="1"/>
    <col min="5380" max="5380" width="29.7109375" style="2376" bestFit="1" customWidth="1"/>
    <col min="5381" max="5381" width="33.28515625" style="2376" customWidth="1"/>
    <col min="5382" max="5382" width="27.7109375" style="2376" customWidth="1"/>
    <col min="5383" max="5383" width="22.28515625" style="2376" customWidth="1"/>
    <col min="5384" max="5384" width="32" style="2376" customWidth="1"/>
    <col min="5385" max="5385" width="23.28515625" style="2376" customWidth="1"/>
    <col min="5386" max="5386" width="18" style="2376" customWidth="1"/>
    <col min="5387" max="5387" width="16.7109375" style="2376" customWidth="1"/>
    <col min="5388" max="5388" width="13.28515625" style="2376" customWidth="1"/>
    <col min="5389" max="5389" width="15.28515625" style="2376" customWidth="1"/>
    <col min="5390" max="5390" width="11" style="2376" customWidth="1"/>
    <col min="5391" max="5392" width="9.7109375" style="2376" customWidth="1"/>
    <col min="5393" max="5393" width="10" style="2376" customWidth="1"/>
    <col min="5394" max="5395" width="17" style="2376" customWidth="1"/>
    <col min="5396" max="5632" width="8.85546875" style="2376"/>
    <col min="5633" max="5633" width="118.5703125" style="2376" customWidth="1"/>
    <col min="5634" max="5634" width="26.85546875" style="2376" customWidth="1"/>
    <col min="5635" max="5635" width="20" style="2376" customWidth="1"/>
    <col min="5636" max="5636" width="29.7109375" style="2376" bestFit="1" customWidth="1"/>
    <col min="5637" max="5637" width="33.28515625" style="2376" customWidth="1"/>
    <col min="5638" max="5638" width="27.7109375" style="2376" customWidth="1"/>
    <col min="5639" max="5639" width="22.28515625" style="2376" customWidth="1"/>
    <col min="5640" max="5640" width="32" style="2376" customWidth="1"/>
    <col min="5641" max="5641" width="23.28515625" style="2376" customWidth="1"/>
    <col min="5642" max="5642" width="18" style="2376" customWidth="1"/>
    <col min="5643" max="5643" width="16.7109375" style="2376" customWidth="1"/>
    <col min="5644" max="5644" width="13.28515625" style="2376" customWidth="1"/>
    <col min="5645" max="5645" width="15.28515625" style="2376" customWidth="1"/>
    <col min="5646" max="5646" width="11" style="2376" customWidth="1"/>
    <col min="5647" max="5648" width="9.7109375" style="2376" customWidth="1"/>
    <col min="5649" max="5649" width="10" style="2376" customWidth="1"/>
    <col min="5650" max="5651" width="17" style="2376" customWidth="1"/>
    <col min="5652" max="5888" width="8.85546875" style="2376"/>
    <col min="5889" max="5889" width="118.5703125" style="2376" customWidth="1"/>
    <col min="5890" max="5890" width="26.85546875" style="2376" customWidth="1"/>
    <col min="5891" max="5891" width="20" style="2376" customWidth="1"/>
    <col min="5892" max="5892" width="29.7109375" style="2376" bestFit="1" customWidth="1"/>
    <col min="5893" max="5893" width="33.28515625" style="2376" customWidth="1"/>
    <col min="5894" max="5894" width="27.7109375" style="2376" customWidth="1"/>
    <col min="5895" max="5895" width="22.28515625" style="2376" customWidth="1"/>
    <col min="5896" max="5896" width="32" style="2376" customWidth="1"/>
    <col min="5897" max="5897" width="23.28515625" style="2376" customWidth="1"/>
    <col min="5898" max="5898" width="18" style="2376" customWidth="1"/>
    <col min="5899" max="5899" width="16.7109375" style="2376" customWidth="1"/>
    <col min="5900" max="5900" width="13.28515625" style="2376" customWidth="1"/>
    <col min="5901" max="5901" width="15.28515625" style="2376" customWidth="1"/>
    <col min="5902" max="5902" width="11" style="2376" customWidth="1"/>
    <col min="5903" max="5904" width="9.7109375" style="2376" customWidth="1"/>
    <col min="5905" max="5905" width="10" style="2376" customWidth="1"/>
    <col min="5906" max="5907" width="17" style="2376" customWidth="1"/>
    <col min="5908" max="6144" width="8.85546875" style="2376"/>
    <col min="6145" max="6145" width="118.5703125" style="2376" customWidth="1"/>
    <col min="6146" max="6146" width="26.85546875" style="2376" customWidth="1"/>
    <col min="6147" max="6147" width="20" style="2376" customWidth="1"/>
    <col min="6148" max="6148" width="29.7109375" style="2376" bestFit="1" customWidth="1"/>
    <col min="6149" max="6149" width="33.28515625" style="2376" customWidth="1"/>
    <col min="6150" max="6150" width="27.7109375" style="2376" customWidth="1"/>
    <col min="6151" max="6151" width="22.28515625" style="2376" customWidth="1"/>
    <col min="6152" max="6152" width="32" style="2376" customWidth="1"/>
    <col min="6153" max="6153" width="23.28515625" style="2376" customWidth="1"/>
    <col min="6154" max="6154" width="18" style="2376" customWidth="1"/>
    <col min="6155" max="6155" width="16.7109375" style="2376" customWidth="1"/>
    <col min="6156" max="6156" width="13.28515625" style="2376" customWidth="1"/>
    <col min="6157" max="6157" width="15.28515625" style="2376" customWidth="1"/>
    <col min="6158" max="6158" width="11" style="2376" customWidth="1"/>
    <col min="6159" max="6160" width="9.7109375" style="2376" customWidth="1"/>
    <col min="6161" max="6161" width="10" style="2376" customWidth="1"/>
    <col min="6162" max="6163" width="17" style="2376" customWidth="1"/>
    <col min="6164" max="6400" width="8.85546875" style="2376"/>
    <col min="6401" max="6401" width="118.5703125" style="2376" customWidth="1"/>
    <col min="6402" max="6402" width="26.85546875" style="2376" customWidth="1"/>
    <col min="6403" max="6403" width="20" style="2376" customWidth="1"/>
    <col min="6404" max="6404" width="29.7109375" style="2376" bestFit="1" customWidth="1"/>
    <col min="6405" max="6405" width="33.28515625" style="2376" customWidth="1"/>
    <col min="6406" max="6406" width="27.7109375" style="2376" customWidth="1"/>
    <col min="6407" max="6407" width="22.28515625" style="2376" customWidth="1"/>
    <col min="6408" max="6408" width="32" style="2376" customWidth="1"/>
    <col min="6409" max="6409" width="23.28515625" style="2376" customWidth="1"/>
    <col min="6410" max="6410" width="18" style="2376" customWidth="1"/>
    <col min="6411" max="6411" width="16.7109375" style="2376" customWidth="1"/>
    <col min="6412" max="6412" width="13.28515625" style="2376" customWidth="1"/>
    <col min="6413" max="6413" width="15.28515625" style="2376" customWidth="1"/>
    <col min="6414" max="6414" width="11" style="2376" customWidth="1"/>
    <col min="6415" max="6416" width="9.7109375" style="2376" customWidth="1"/>
    <col min="6417" max="6417" width="10" style="2376" customWidth="1"/>
    <col min="6418" max="6419" width="17" style="2376" customWidth="1"/>
    <col min="6420" max="6656" width="8.85546875" style="2376"/>
    <col min="6657" max="6657" width="118.5703125" style="2376" customWidth="1"/>
    <col min="6658" max="6658" width="26.85546875" style="2376" customWidth="1"/>
    <col min="6659" max="6659" width="20" style="2376" customWidth="1"/>
    <col min="6660" max="6660" width="29.7109375" style="2376" bestFit="1" customWidth="1"/>
    <col min="6661" max="6661" width="33.28515625" style="2376" customWidth="1"/>
    <col min="6662" max="6662" width="27.7109375" style="2376" customWidth="1"/>
    <col min="6663" max="6663" width="22.28515625" style="2376" customWidth="1"/>
    <col min="6664" max="6664" width="32" style="2376" customWidth="1"/>
    <col min="6665" max="6665" width="23.28515625" style="2376" customWidth="1"/>
    <col min="6666" max="6666" width="18" style="2376" customWidth="1"/>
    <col min="6667" max="6667" width="16.7109375" style="2376" customWidth="1"/>
    <col min="6668" max="6668" width="13.28515625" style="2376" customWidth="1"/>
    <col min="6669" max="6669" width="15.28515625" style="2376" customWidth="1"/>
    <col min="6670" max="6670" width="11" style="2376" customWidth="1"/>
    <col min="6671" max="6672" width="9.7109375" style="2376" customWidth="1"/>
    <col min="6673" max="6673" width="10" style="2376" customWidth="1"/>
    <col min="6674" max="6675" width="17" style="2376" customWidth="1"/>
    <col min="6676" max="6912" width="8.85546875" style="2376"/>
    <col min="6913" max="6913" width="118.5703125" style="2376" customWidth="1"/>
    <col min="6914" max="6914" width="26.85546875" style="2376" customWidth="1"/>
    <col min="6915" max="6915" width="20" style="2376" customWidth="1"/>
    <col min="6916" max="6916" width="29.7109375" style="2376" bestFit="1" customWidth="1"/>
    <col min="6917" max="6917" width="33.28515625" style="2376" customWidth="1"/>
    <col min="6918" max="6918" width="27.7109375" style="2376" customWidth="1"/>
    <col min="6919" max="6919" width="22.28515625" style="2376" customWidth="1"/>
    <col min="6920" max="6920" width="32" style="2376" customWidth="1"/>
    <col min="6921" max="6921" width="23.28515625" style="2376" customWidth="1"/>
    <col min="6922" max="6922" width="18" style="2376" customWidth="1"/>
    <col min="6923" max="6923" width="16.7109375" style="2376" customWidth="1"/>
    <col min="6924" max="6924" width="13.28515625" style="2376" customWidth="1"/>
    <col min="6925" max="6925" width="15.28515625" style="2376" customWidth="1"/>
    <col min="6926" max="6926" width="11" style="2376" customWidth="1"/>
    <col min="6927" max="6928" width="9.7109375" style="2376" customWidth="1"/>
    <col min="6929" max="6929" width="10" style="2376" customWidth="1"/>
    <col min="6930" max="6931" width="17" style="2376" customWidth="1"/>
    <col min="6932" max="7168" width="8.85546875" style="2376"/>
    <col min="7169" max="7169" width="118.5703125" style="2376" customWidth="1"/>
    <col min="7170" max="7170" width="26.85546875" style="2376" customWidth="1"/>
    <col min="7171" max="7171" width="20" style="2376" customWidth="1"/>
    <col min="7172" max="7172" width="29.7109375" style="2376" bestFit="1" customWidth="1"/>
    <col min="7173" max="7173" width="33.28515625" style="2376" customWidth="1"/>
    <col min="7174" max="7174" width="27.7109375" style="2376" customWidth="1"/>
    <col min="7175" max="7175" width="22.28515625" style="2376" customWidth="1"/>
    <col min="7176" max="7176" width="32" style="2376" customWidth="1"/>
    <col min="7177" max="7177" width="23.28515625" style="2376" customWidth="1"/>
    <col min="7178" max="7178" width="18" style="2376" customWidth="1"/>
    <col min="7179" max="7179" width="16.7109375" style="2376" customWidth="1"/>
    <col min="7180" max="7180" width="13.28515625" style="2376" customWidth="1"/>
    <col min="7181" max="7181" width="15.28515625" style="2376" customWidth="1"/>
    <col min="7182" max="7182" width="11" style="2376" customWidth="1"/>
    <col min="7183" max="7184" width="9.7109375" style="2376" customWidth="1"/>
    <col min="7185" max="7185" width="10" style="2376" customWidth="1"/>
    <col min="7186" max="7187" width="17" style="2376" customWidth="1"/>
    <col min="7188" max="7424" width="8.85546875" style="2376"/>
    <col min="7425" max="7425" width="118.5703125" style="2376" customWidth="1"/>
    <col min="7426" max="7426" width="26.85546875" style="2376" customWidth="1"/>
    <col min="7427" max="7427" width="20" style="2376" customWidth="1"/>
    <col min="7428" max="7428" width="29.7109375" style="2376" bestFit="1" customWidth="1"/>
    <col min="7429" max="7429" width="33.28515625" style="2376" customWidth="1"/>
    <col min="7430" max="7430" width="27.7109375" style="2376" customWidth="1"/>
    <col min="7431" max="7431" width="22.28515625" style="2376" customWidth="1"/>
    <col min="7432" max="7432" width="32" style="2376" customWidth="1"/>
    <col min="7433" max="7433" width="23.28515625" style="2376" customWidth="1"/>
    <col min="7434" max="7434" width="18" style="2376" customWidth="1"/>
    <col min="7435" max="7435" width="16.7109375" style="2376" customWidth="1"/>
    <col min="7436" max="7436" width="13.28515625" style="2376" customWidth="1"/>
    <col min="7437" max="7437" width="15.28515625" style="2376" customWidth="1"/>
    <col min="7438" max="7438" width="11" style="2376" customWidth="1"/>
    <col min="7439" max="7440" width="9.7109375" style="2376" customWidth="1"/>
    <col min="7441" max="7441" width="10" style="2376" customWidth="1"/>
    <col min="7442" max="7443" width="17" style="2376" customWidth="1"/>
    <col min="7444" max="7680" width="8.85546875" style="2376"/>
    <col min="7681" max="7681" width="118.5703125" style="2376" customWidth="1"/>
    <col min="7682" max="7682" width="26.85546875" style="2376" customWidth="1"/>
    <col min="7683" max="7683" width="20" style="2376" customWidth="1"/>
    <col min="7684" max="7684" width="29.7109375" style="2376" bestFit="1" customWidth="1"/>
    <col min="7685" max="7685" width="33.28515625" style="2376" customWidth="1"/>
    <col min="7686" max="7686" width="27.7109375" style="2376" customWidth="1"/>
    <col min="7687" max="7687" width="22.28515625" style="2376" customWidth="1"/>
    <col min="7688" max="7688" width="32" style="2376" customWidth="1"/>
    <col min="7689" max="7689" width="23.28515625" style="2376" customWidth="1"/>
    <col min="7690" max="7690" width="18" style="2376" customWidth="1"/>
    <col min="7691" max="7691" width="16.7109375" style="2376" customWidth="1"/>
    <col min="7692" max="7692" width="13.28515625" style="2376" customWidth="1"/>
    <col min="7693" max="7693" width="15.28515625" style="2376" customWidth="1"/>
    <col min="7694" max="7694" width="11" style="2376" customWidth="1"/>
    <col min="7695" max="7696" width="9.7109375" style="2376" customWidth="1"/>
    <col min="7697" max="7697" width="10" style="2376" customWidth="1"/>
    <col min="7698" max="7699" width="17" style="2376" customWidth="1"/>
    <col min="7700" max="7936" width="8.85546875" style="2376"/>
    <col min="7937" max="7937" width="118.5703125" style="2376" customWidth="1"/>
    <col min="7938" max="7938" width="26.85546875" style="2376" customWidth="1"/>
    <col min="7939" max="7939" width="20" style="2376" customWidth="1"/>
    <col min="7940" max="7940" width="29.7109375" style="2376" bestFit="1" customWidth="1"/>
    <col min="7941" max="7941" width="33.28515625" style="2376" customWidth="1"/>
    <col min="7942" max="7942" width="27.7109375" style="2376" customWidth="1"/>
    <col min="7943" max="7943" width="22.28515625" style="2376" customWidth="1"/>
    <col min="7944" max="7944" width="32" style="2376" customWidth="1"/>
    <col min="7945" max="7945" width="23.28515625" style="2376" customWidth="1"/>
    <col min="7946" max="7946" width="18" style="2376" customWidth="1"/>
    <col min="7947" max="7947" width="16.7109375" style="2376" customWidth="1"/>
    <col min="7948" max="7948" width="13.28515625" style="2376" customWidth="1"/>
    <col min="7949" max="7949" width="15.28515625" style="2376" customWidth="1"/>
    <col min="7950" max="7950" width="11" style="2376" customWidth="1"/>
    <col min="7951" max="7952" width="9.7109375" style="2376" customWidth="1"/>
    <col min="7953" max="7953" width="10" style="2376" customWidth="1"/>
    <col min="7954" max="7955" width="17" style="2376" customWidth="1"/>
    <col min="7956" max="8192" width="8.85546875" style="2376"/>
    <col min="8193" max="8193" width="118.5703125" style="2376" customWidth="1"/>
    <col min="8194" max="8194" width="26.85546875" style="2376" customWidth="1"/>
    <col min="8195" max="8195" width="20" style="2376" customWidth="1"/>
    <col min="8196" max="8196" width="29.7109375" style="2376" bestFit="1" customWidth="1"/>
    <col min="8197" max="8197" width="33.28515625" style="2376" customWidth="1"/>
    <col min="8198" max="8198" width="27.7109375" style="2376" customWidth="1"/>
    <col min="8199" max="8199" width="22.28515625" style="2376" customWidth="1"/>
    <col min="8200" max="8200" width="32" style="2376" customWidth="1"/>
    <col min="8201" max="8201" width="23.28515625" style="2376" customWidth="1"/>
    <col min="8202" max="8202" width="18" style="2376" customWidth="1"/>
    <col min="8203" max="8203" width="16.7109375" style="2376" customWidth="1"/>
    <col min="8204" max="8204" width="13.28515625" style="2376" customWidth="1"/>
    <col min="8205" max="8205" width="15.28515625" style="2376" customWidth="1"/>
    <col min="8206" max="8206" width="11" style="2376" customWidth="1"/>
    <col min="8207" max="8208" width="9.7109375" style="2376" customWidth="1"/>
    <col min="8209" max="8209" width="10" style="2376" customWidth="1"/>
    <col min="8210" max="8211" width="17" style="2376" customWidth="1"/>
    <col min="8212" max="8448" width="8.85546875" style="2376"/>
    <col min="8449" max="8449" width="118.5703125" style="2376" customWidth="1"/>
    <col min="8450" max="8450" width="26.85546875" style="2376" customWidth="1"/>
    <col min="8451" max="8451" width="20" style="2376" customWidth="1"/>
    <col min="8452" max="8452" width="29.7109375" style="2376" bestFit="1" customWidth="1"/>
    <col min="8453" max="8453" width="33.28515625" style="2376" customWidth="1"/>
    <col min="8454" max="8454" width="27.7109375" style="2376" customWidth="1"/>
    <col min="8455" max="8455" width="22.28515625" style="2376" customWidth="1"/>
    <col min="8456" max="8456" width="32" style="2376" customWidth="1"/>
    <col min="8457" max="8457" width="23.28515625" style="2376" customWidth="1"/>
    <col min="8458" max="8458" width="18" style="2376" customWidth="1"/>
    <col min="8459" max="8459" width="16.7109375" style="2376" customWidth="1"/>
    <col min="8460" max="8460" width="13.28515625" style="2376" customWidth="1"/>
    <col min="8461" max="8461" width="15.28515625" style="2376" customWidth="1"/>
    <col min="8462" max="8462" width="11" style="2376" customWidth="1"/>
    <col min="8463" max="8464" width="9.7109375" style="2376" customWidth="1"/>
    <col min="8465" max="8465" width="10" style="2376" customWidth="1"/>
    <col min="8466" max="8467" width="17" style="2376" customWidth="1"/>
    <col min="8468" max="8704" width="8.85546875" style="2376"/>
    <col min="8705" max="8705" width="118.5703125" style="2376" customWidth="1"/>
    <col min="8706" max="8706" width="26.85546875" style="2376" customWidth="1"/>
    <col min="8707" max="8707" width="20" style="2376" customWidth="1"/>
    <col min="8708" max="8708" width="29.7109375" style="2376" bestFit="1" customWidth="1"/>
    <col min="8709" max="8709" width="33.28515625" style="2376" customWidth="1"/>
    <col min="8710" max="8710" width="27.7109375" style="2376" customWidth="1"/>
    <col min="8711" max="8711" width="22.28515625" style="2376" customWidth="1"/>
    <col min="8712" max="8712" width="32" style="2376" customWidth="1"/>
    <col min="8713" max="8713" width="23.28515625" style="2376" customWidth="1"/>
    <col min="8714" max="8714" width="18" style="2376" customWidth="1"/>
    <col min="8715" max="8715" width="16.7109375" style="2376" customWidth="1"/>
    <col min="8716" max="8716" width="13.28515625" style="2376" customWidth="1"/>
    <col min="8717" max="8717" width="15.28515625" style="2376" customWidth="1"/>
    <col min="8718" max="8718" width="11" style="2376" customWidth="1"/>
    <col min="8719" max="8720" width="9.7109375" style="2376" customWidth="1"/>
    <col min="8721" max="8721" width="10" style="2376" customWidth="1"/>
    <col min="8722" max="8723" width="17" style="2376" customWidth="1"/>
    <col min="8724" max="8960" width="8.85546875" style="2376"/>
    <col min="8961" max="8961" width="118.5703125" style="2376" customWidth="1"/>
    <col min="8962" max="8962" width="26.85546875" style="2376" customWidth="1"/>
    <col min="8963" max="8963" width="20" style="2376" customWidth="1"/>
    <col min="8964" max="8964" width="29.7109375" style="2376" bestFit="1" customWidth="1"/>
    <col min="8965" max="8965" width="33.28515625" style="2376" customWidth="1"/>
    <col min="8966" max="8966" width="27.7109375" style="2376" customWidth="1"/>
    <col min="8967" max="8967" width="22.28515625" style="2376" customWidth="1"/>
    <col min="8968" max="8968" width="32" style="2376" customWidth="1"/>
    <col min="8969" max="8969" width="23.28515625" style="2376" customWidth="1"/>
    <col min="8970" max="8970" width="18" style="2376" customWidth="1"/>
    <col min="8971" max="8971" width="16.7109375" style="2376" customWidth="1"/>
    <col min="8972" max="8972" width="13.28515625" style="2376" customWidth="1"/>
    <col min="8973" max="8973" width="15.28515625" style="2376" customWidth="1"/>
    <col min="8974" max="8974" width="11" style="2376" customWidth="1"/>
    <col min="8975" max="8976" width="9.7109375" style="2376" customWidth="1"/>
    <col min="8977" max="8977" width="10" style="2376" customWidth="1"/>
    <col min="8978" max="8979" width="17" style="2376" customWidth="1"/>
    <col min="8980" max="9216" width="8.85546875" style="2376"/>
    <col min="9217" max="9217" width="118.5703125" style="2376" customWidth="1"/>
    <col min="9218" max="9218" width="26.85546875" style="2376" customWidth="1"/>
    <col min="9219" max="9219" width="20" style="2376" customWidth="1"/>
    <col min="9220" max="9220" width="29.7109375" style="2376" bestFit="1" customWidth="1"/>
    <col min="9221" max="9221" width="33.28515625" style="2376" customWidth="1"/>
    <col min="9222" max="9222" width="27.7109375" style="2376" customWidth="1"/>
    <col min="9223" max="9223" width="22.28515625" style="2376" customWidth="1"/>
    <col min="9224" max="9224" width="32" style="2376" customWidth="1"/>
    <col min="9225" max="9225" width="23.28515625" style="2376" customWidth="1"/>
    <col min="9226" max="9226" width="18" style="2376" customWidth="1"/>
    <col min="9227" max="9227" width="16.7109375" style="2376" customWidth="1"/>
    <col min="9228" max="9228" width="13.28515625" style="2376" customWidth="1"/>
    <col min="9229" max="9229" width="15.28515625" style="2376" customWidth="1"/>
    <col min="9230" max="9230" width="11" style="2376" customWidth="1"/>
    <col min="9231" max="9232" width="9.7109375" style="2376" customWidth="1"/>
    <col min="9233" max="9233" width="10" style="2376" customWidth="1"/>
    <col min="9234" max="9235" width="17" style="2376" customWidth="1"/>
    <col min="9236" max="9472" width="8.85546875" style="2376"/>
    <col min="9473" max="9473" width="118.5703125" style="2376" customWidth="1"/>
    <col min="9474" max="9474" width="26.85546875" style="2376" customWidth="1"/>
    <col min="9475" max="9475" width="20" style="2376" customWidth="1"/>
    <col min="9476" max="9476" width="29.7109375" style="2376" bestFit="1" customWidth="1"/>
    <col min="9477" max="9477" width="33.28515625" style="2376" customWidth="1"/>
    <col min="9478" max="9478" width="27.7109375" style="2376" customWidth="1"/>
    <col min="9479" max="9479" width="22.28515625" style="2376" customWidth="1"/>
    <col min="9480" max="9480" width="32" style="2376" customWidth="1"/>
    <col min="9481" max="9481" width="23.28515625" style="2376" customWidth="1"/>
    <col min="9482" max="9482" width="18" style="2376" customWidth="1"/>
    <col min="9483" max="9483" width="16.7109375" style="2376" customWidth="1"/>
    <col min="9484" max="9484" width="13.28515625" style="2376" customWidth="1"/>
    <col min="9485" max="9485" width="15.28515625" style="2376" customWidth="1"/>
    <col min="9486" max="9486" width="11" style="2376" customWidth="1"/>
    <col min="9487" max="9488" width="9.7109375" style="2376" customWidth="1"/>
    <col min="9489" max="9489" width="10" style="2376" customWidth="1"/>
    <col min="9490" max="9491" width="17" style="2376" customWidth="1"/>
    <col min="9492" max="9728" width="8.85546875" style="2376"/>
    <col min="9729" max="9729" width="118.5703125" style="2376" customWidth="1"/>
    <col min="9730" max="9730" width="26.85546875" style="2376" customWidth="1"/>
    <col min="9731" max="9731" width="20" style="2376" customWidth="1"/>
    <col min="9732" max="9732" width="29.7109375" style="2376" bestFit="1" customWidth="1"/>
    <col min="9733" max="9733" width="33.28515625" style="2376" customWidth="1"/>
    <col min="9734" max="9734" width="27.7109375" style="2376" customWidth="1"/>
    <col min="9735" max="9735" width="22.28515625" style="2376" customWidth="1"/>
    <col min="9736" max="9736" width="32" style="2376" customWidth="1"/>
    <col min="9737" max="9737" width="23.28515625" style="2376" customWidth="1"/>
    <col min="9738" max="9738" width="18" style="2376" customWidth="1"/>
    <col min="9739" max="9739" width="16.7109375" style="2376" customWidth="1"/>
    <col min="9740" max="9740" width="13.28515625" style="2376" customWidth="1"/>
    <col min="9741" max="9741" width="15.28515625" style="2376" customWidth="1"/>
    <col min="9742" max="9742" width="11" style="2376" customWidth="1"/>
    <col min="9743" max="9744" width="9.7109375" style="2376" customWidth="1"/>
    <col min="9745" max="9745" width="10" style="2376" customWidth="1"/>
    <col min="9746" max="9747" width="17" style="2376" customWidth="1"/>
    <col min="9748" max="9984" width="8.85546875" style="2376"/>
    <col min="9985" max="9985" width="118.5703125" style="2376" customWidth="1"/>
    <col min="9986" max="9986" width="26.85546875" style="2376" customWidth="1"/>
    <col min="9987" max="9987" width="20" style="2376" customWidth="1"/>
    <col min="9988" max="9988" width="29.7109375" style="2376" bestFit="1" customWidth="1"/>
    <col min="9989" max="9989" width="33.28515625" style="2376" customWidth="1"/>
    <col min="9990" max="9990" width="27.7109375" style="2376" customWidth="1"/>
    <col min="9991" max="9991" width="22.28515625" style="2376" customWidth="1"/>
    <col min="9992" max="9992" width="32" style="2376" customWidth="1"/>
    <col min="9993" max="9993" width="23.28515625" style="2376" customWidth="1"/>
    <col min="9994" max="9994" width="18" style="2376" customWidth="1"/>
    <col min="9995" max="9995" width="16.7109375" style="2376" customWidth="1"/>
    <col min="9996" max="9996" width="13.28515625" style="2376" customWidth="1"/>
    <col min="9997" max="9997" width="15.28515625" style="2376" customWidth="1"/>
    <col min="9998" max="9998" width="11" style="2376" customWidth="1"/>
    <col min="9999" max="10000" width="9.7109375" style="2376" customWidth="1"/>
    <col min="10001" max="10001" width="10" style="2376" customWidth="1"/>
    <col min="10002" max="10003" width="17" style="2376" customWidth="1"/>
    <col min="10004" max="10240" width="8.85546875" style="2376"/>
    <col min="10241" max="10241" width="118.5703125" style="2376" customWidth="1"/>
    <col min="10242" max="10242" width="26.85546875" style="2376" customWidth="1"/>
    <col min="10243" max="10243" width="20" style="2376" customWidth="1"/>
    <col min="10244" max="10244" width="29.7109375" style="2376" bestFit="1" customWidth="1"/>
    <col min="10245" max="10245" width="33.28515625" style="2376" customWidth="1"/>
    <col min="10246" max="10246" width="27.7109375" style="2376" customWidth="1"/>
    <col min="10247" max="10247" width="22.28515625" style="2376" customWidth="1"/>
    <col min="10248" max="10248" width="32" style="2376" customWidth="1"/>
    <col min="10249" max="10249" width="23.28515625" style="2376" customWidth="1"/>
    <col min="10250" max="10250" width="18" style="2376" customWidth="1"/>
    <col min="10251" max="10251" width="16.7109375" style="2376" customWidth="1"/>
    <col min="10252" max="10252" width="13.28515625" style="2376" customWidth="1"/>
    <col min="10253" max="10253" width="15.28515625" style="2376" customWidth="1"/>
    <col min="10254" max="10254" width="11" style="2376" customWidth="1"/>
    <col min="10255" max="10256" width="9.7109375" style="2376" customWidth="1"/>
    <col min="10257" max="10257" width="10" style="2376" customWidth="1"/>
    <col min="10258" max="10259" width="17" style="2376" customWidth="1"/>
    <col min="10260" max="10496" width="8.85546875" style="2376"/>
    <col min="10497" max="10497" width="118.5703125" style="2376" customWidth="1"/>
    <col min="10498" max="10498" width="26.85546875" style="2376" customWidth="1"/>
    <col min="10499" max="10499" width="20" style="2376" customWidth="1"/>
    <col min="10500" max="10500" width="29.7109375" style="2376" bestFit="1" customWidth="1"/>
    <col min="10501" max="10501" width="33.28515625" style="2376" customWidth="1"/>
    <col min="10502" max="10502" width="27.7109375" style="2376" customWidth="1"/>
    <col min="10503" max="10503" width="22.28515625" style="2376" customWidth="1"/>
    <col min="10504" max="10504" width="32" style="2376" customWidth="1"/>
    <col min="10505" max="10505" width="23.28515625" style="2376" customWidth="1"/>
    <col min="10506" max="10506" width="18" style="2376" customWidth="1"/>
    <col min="10507" max="10507" width="16.7109375" style="2376" customWidth="1"/>
    <col min="10508" max="10508" width="13.28515625" style="2376" customWidth="1"/>
    <col min="10509" max="10509" width="15.28515625" style="2376" customWidth="1"/>
    <col min="10510" max="10510" width="11" style="2376" customWidth="1"/>
    <col min="10511" max="10512" width="9.7109375" style="2376" customWidth="1"/>
    <col min="10513" max="10513" width="10" style="2376" customWidth="1"/>
    <col min="10514" max="10515" width="17" style="2376" customWidth="1"/>
    <col min="10516" max="10752" width="8.85546875" style="2376"/>
    <col min="10753" max="10753" width="118.5703125" style="2376" customWidth="1"/>
    <col min="10754" max="10754" width="26.85546875" style="2376" customWidth="1"/>
    <col min="10755" max="10755" width="20" style="2376" customWidth="1"/>
    <col min="10756" max="10756" width="29.7109375" style="2376" bestFit="1" customWidth="1"/>
    <col min="10757" max="10757" width="33.28515625" style="2376" customWidth="1"/>
    <col min="10758" max="10758" width="27.7109375" style="2376" customWidth="1"/>
    <col min="10759" max="10759" width="22.28515625" style="2376" customWidth="1"/>
    <col min="10760" max="10760" width="32" style="2376" customWidth="1"/>
    <col min="10761" max="10761" width="23.28515625" style="2376" customWidth="1"/>
    <col min="10762" max="10762" width="18" style="2376" customWidth="1"/>
    <col min="10763" max="10763" width="16.7109375" style="2376" customWidth="1"/>
    <col min="10764" max="10764" width="13.28515625" style="2376" customWidth="1"/>
    <col min="10765" max="10765" width="15.28515625" style="2376" customWidth="1"/>
    <col min="10766" max="10766" width="11" style="2376" customWidth="1"/>
    <col min="10767" max="10768" width="9.7109375" style="2376" customWidth="1"/>
    <col min="10769" max="10769" width="10" style="2376" customWidth="1"/>
    <col min="10770" max="10771" width="17" style="2376" customWidth="1"/>
    <col min="10772" max="11008" width="8.85546875" style="2376"/>
    <col min="11009" max="11009" width="118.5703125" style="2376" customWidth="1"/>
    <col min="11010" max="11010" width="26.85546875" style="2376" customWidth="1"/>
    <col min="11011" max="11011" width="20" style="2376" customWidth="1"/>
    <col min="11012" max="11012" width="29.7109375" style="2376" bestFit="1" customWidth="1"/>
    <col min="11013" max="11013" width="33.28515625" style="2376" customWidth="1"/>
    <col min="11014" max="11014" width="27.7109375" style="2376" customWidth="1"/>
    <col min="11015" max="11015" width="22.28515625" style="2376" customWidth="1"/>
    <col min="11016" max="11016" width="32" style="2376" customWidth="1"/>
    <col min="11017" max="11017" width="23.28515625" style="2376" customWidth="1"/>
    <col min="11018" max="11018" width="18" style="2376" customWidth="1"/>
    <col min="11019" max="11019" width="16.7109375" style="2376" customWidth="1"/>
    <col min="11020" max="11020" width="13.28515625" style="2376" customWidth="1"/>
    <col min="11021" max="11021" width="15.28515625" style="2376" customWidth="1"/>
    <col min="11022" max="11022" width="11" style="2376" customWidth="1"/>
    <col min="11023" max="11024" width="9.7109375" style="2376" customWidth="1"/>
    <col min="11025" max="11025" width="10" style="2376" customWidth="1"/>
    <col min="11026" max="11027" width="17" style="2376" customWidth="1"/>
    <col min="11028" max="11264" width="8.85546875" style="2376"/>
    <col min="11265" max="11265" width="118.5703125" style="2376" customWidth="1"/>
    <col min="11266" max="11266" width="26.85546875" style="2376" customWidth="1"/>
    <col min="11267" max="11267" width="20" style="2376" customWidth="1"/>
    <col min="11268" max="11268" width="29.7109375" style="2376" bestFit="1" customWidth="1"/>
    <col min="11269" max="11269" width="33.28515625" style="2376" customWidth="1"/>
    <col min="11270" max="11270" width="27.7109375" style="2376" customWidth="1"/>
    <col min="11271" max="11271" width="22.28515625" style="2376" customWidth="1"/>
    <col min="11272" max="11272" width="32" style="2376" customWidth="1"/>
    <col min="11273" max="11273" width="23.28515625" style="2376" customWidth="1"/>
    <col min="11274" max="11274" width="18" style="2376" customWidth="1"/>
    <col min="11275" max="11275" width="16.7109375" style="2376" customWidth="1"/>
    <col min="11276" max="11276" width="13.28515625" style="2376" customWidth="1"/>
    <col min="11277" max="11277" width="15.28515625" style="2376" customWidth="1"/>
    <col min="11278" max="11278" width="11" style="2376" customWidth="1"/>
    <col min="11279" max="11280" width="9.7109375" style="2376" customWidth="1"/>
    <col min="11281" max="11281" width="10" style="2376" customWidth="1"/>
    <col min="11282" max="11283" width="17" style="2376" customWidth="1"/>
    <col min="11284" max="11520" width="8.85546875" style="2376"/>
    <col min="11521" max="11521" width="118.5703125" style="2376" customWidth="1"/>
    <col min="11522" max="11522" width="26.85546875" style="2376" customWidth="1"/>
    <col min="11523" max="11523" width="20" style="2376" customWidth="1"/>
    <col min="11524" max="11524" width="29.7109375" style="2376" bestFit="1" customWidth="1"/>
    <col min="11525" max="11525" width="33.28515625" style="2376" customWidth="1"/>
    <col min="11526" max="11526" width="27.7109375" style="2376" customWidth="1"/>
    <col min="11527" max="11527" width="22.28515625" style="2376" customWidth="1"/>
    <col min="11528" max="11528" width="32" style="2376" customWidth="1"/>
    <col min="11529" max="11529" width="23.28515625" style="2376" customWidth="1"/>
    <col min="11530" max="11530" width="18" style="2376" customWidth="1"/>
    <col min="11531" max="11531" width="16.7109375" style="2376" customWidth="1"/>
    <col min="11532" max="11532" width="13.28515625" style="2376" customWidth="1"/>
    <col min="11533" max="11533" width="15.28515625" style="2376" customWidth="1"/>
    <col min="11534" max="11534" width="11" style="2376" customWidth="1"/>
    <col min="11535" max="11536" width="9.7109375" style="2376" customWidth="1"/>
    <col min="11537" max="11537" width="10" style="2376" customWidth="1"/>
    <col min="11538" max="11539" width="17" style="2376" customWidth="1"/>
    <col min="11540" max="11776" width="8.85546875" style="2376"/>
    <col min="11777" max="11777" width="118.5703125" style="2376" customWidth="1"/>
    <col min="11778" max="11778" width="26.85546875" style="2376" customWidth="1"/>
    <col min="11779" max="11779" width="20" style="2376" customWidth="1"/>
    <col min="11780" max="11780" width="29.7109375" style="2376" bestFit="1" customWidth="1"/>
    <col min="11781" max="11781" width="33.28515625" style="2376" customWidth="1"/>
    <col min="11782" max="11782" width="27.7109375" style="2376" customWidth="1"/>
    <col min="11783" max="11783" width="22.28515625" style="2376" customWidth="1"/>
    <col min="11784" max="11784" width="32" style="2376" customWidth="1"/>
    <col min="11785" max="11785" width="23.28515625" style="2376" customWidth="1"/>
    <col min="11786" max="11786" width="18" style="2376" customWidth="1"/>
    <col min="11787" max="11787" width="16.7109375" style="2376" customWidth="1"/>
    <col min="11788" max="11788" width="13.28515625" style="2376" customWidth="1"/>
    <col min="11789" max="11789" width="15.28515625" style="2376" customWidth="1"/>
    <col min="11790" max="11790" width="11" style="2376" customWidth="1"/>
    <col min="11791" max="11792" width="9.7109375" style="2376" customWidth="1"/>
    <col min="11793" max="11793" width="10" style="2376" customWidth="1"/>
    <col min="11794" max="11795" width="17" style="2376" customWidth="1"/>
    <col min="11796" max="12032" width="8.85546875" style="2376"/>
    <col min="12033" max="12033" width="118.5703125" style="2376" customWidth="1"/>
    <col min="12034" max="12034" width="26.85546875" style="2376" customWidth="1"/>
    <col min="12035" max="12035" width="20" style="2376" customWidth="1"/>
    <col min="12036" max="12036" width="29.7109375" style="2376" bestFit="1" customWidth="1"/>
    <col min="12037" max="12037" width="33.28515625" style="2376" customWidth="1"/>
    <col min="12038" max="12038" width="27.7109375" style="2376" customWidth="1"/>
    <col min="12039" max="12039" width="22.28515625" style="2376" customWidth="1"/>
    <col min="12040" max="12040" width="32" style="2376" customWidth="1"/>
    <col min="12041" max="12041" width="23.28515625" style="2376" customWidth="1"/>
    <col min="12042" max="12042" width="18" style="2376" customWidth="1"/>
    <col min="12043" max="12043" width="16.7109375" style="2376" customWidth="1"/>
    <col min="12044" max="12044" width="13.28515625" style="2376" customWidth="1"/>
    <col min="12045" max="12045" width="15.28515625" style="2376" customWidth="1"/>
    <col min="12046" max="12046" width="11" style="2376" customWidth="1"/>
    <col min="12047" max="12048" width="9.7109375" style="2376" customWidth="1"/>
    <col min="12049" max="12049" width="10" style="2376" customWidth="1"/>
    <col min="12050" max="12051" width="17" style="2376" customWidth="1"/>
    <col min="12052" max="12288" width="8.85546875" style="2376"/>
    <col min="12289" max="12289" width="118.5703125" style="2376" customWidth="1"/>
    <col min="12290" max="12290" width="26.85546875" style="2376" customWidth="1"/>
    <col min="12291" max="12291" width="20" style="2376" customWidth="1"/>
    <col min="12292" max="12292" width="29.7109375" style="2376" bestFit="1" customWidth="1"/>
    <col min="12293" max="12293" width="33.28515625" style="2376" customWidth="1"/>
    <col min="12294" max="12294" width="27.7109375" style="2376" customWidth="1"/>
    <col min="12295" max="12295" width="22.28515625" style="2376" customWidth="1"/>
    <col min="12296" max="12296" width="32" style="2376" customWidth="1"/>
    <col min="12297" max="12297" width="23.28515625" style="2376" customWidth="1"/>
    <col min="12298" max="12298" width="18" style="2376" customWidth="1"/>
    <col min="12299" max="12299" width="16.7109375" style="2376" customWidth="1"/>
    <col min="12300" max="12300" width="13.28515625" style="2376" customWidth="1"/>
    <col min="12301" max="12301" width="15.28515625" style="2376" customWidth="1"/>
    <col min="12302" max="12302" width="11" style="2376" customWidth="1"/>
    <col min="12303" max="12304" width="9.7109375" style="2376" customWidth="1"/>
    <col min="12305" max="12305" width="10" style="2376" customWidth="1"/>
    <col min="12306" max="12307" width="17" style="2376" customWidth="1"/>
    <col min="12308" max="12544" width="8.85546875" style="2376"/>
    <col min="12545" max="12545" width="118.5703125" style="2376" customWidth="1"/>
    <col min="12546" max="12546" width="26.85546875" style="2376" customWidth="1"/>
    <col min="12547" max="12547" width="20" style="2376" customWidth="1"/>
    <col min="12548" max="12548" width="29.7109375" style="2376" bestFit="1" customWidth="1"/>
    <col min="12549" max="12549" width="33.28515625" style="2376" customWidth="1"/>
    <col min="12550" max="12550" width="27.7109375" style="2376" customWidth="1"/>
    <col min="12551" max="12551" width="22.28515625" style="2376" customWidth="1"/>
    <col min="12552" max="12552" width="32" style="2376" customWidth="1"/>
    <col min="12553" max="12553" width="23.28515625" style="2376" customWidth="1"/>
    <col min="12554" max="12554" width="18" style="2376" customWidth="1"/>
    <col min="12555" max="12555" width="16.7109375" style="2376" customWidth="1"/>
    <col min="12556" max="12556" width="13.28515625" style="2376" customWidth="1"/>
    <col min="12557" max="12557" width="15.28515625" style="2376" customWidth="1"/>
    <col min="12558" max="12558" width="11" style="2376" customWidth="1"/>
    <col min="12559" max="12560" width="9.7109375" style="2376" customWidth="1"/>
    <col min="12561" max="12561" width="10" style="2376" customWidth="1"/>
    <col min="12562" max="12563" width="17" style="2376" customWidth="1"/>
    <col min="12564" max="12800" width="8.85546875" style="2376"/>
    <col min="12801" max="12801" width="118.5703125" style="2376" customWidth="1"/>
    <col min="12802" max="12802" width="26.85546875" style="2376" customWidth="1"/>
    <col min="12803" max="12803" width="20" style="2376" customWidth="1"/>
    <col min="12804" max="12804" width="29.7109375" style="2376" bestFit="1" customWidth="1"/>
    <col min="12805" max="12805" width="33.28515625" style="2376" customWidth="1"/>
    <col min="12806" max="12806" width="27.7109375" style="2376" customWidth="1"/>
    <col min="12807" max="12807" width="22.28515625" style="2376" customWidth="1"/>
    <col min="12808" max="12808" width="32" style="2376" customWidth="1"/>
    <col min="12809" max="12809" width="23.28515625" style="2376" customWidth="1"/>
    <col min="12810" max="12810" width="18" style="2376" customWidth="1"/>
    <col min="12811" max="12811" width="16.7109375" style="2376" customWidth="1"/>
    <col min="12812" max="12812" width="13.28515625" style="2376" customWidth="1"/>
    <col min="12813" max="12813" width="15.28515625" style="2376" customWidth="1"/>
    <col min="12814" max="12814" width="11" style="2376" customWidth="1"/>
    <col min="12815" max="12816" width="9.7109375" style="2376" customWidth="1"/>
    <col min="12817" max="12817" width="10" style="2376" customWidth="1"/>
    <col min="12818" max="12819" width="17" style="2376" customWidth="1"/>
    <col min="12820" max="13056" width="8.85546875" style="2376"/>
    <col min="13057" max="13057" width="118.5703125" style="2376" customWidth="1"/>
    <col min="13058" max="13058" width="26.85546875" style="2376" customWidth="1"/>
    <col min="13059" max="13059" width="20" style="2376" customWidth="1"/>
    <col min="13060" max="13060" width="29.7109375" style="2376" bestFit="1" customWidth="1"/>
    <col min="13061" max="13061" width="33.28515625" style="2376" customWidth="1"/>
    <col min="13062" max="13062" width="27.7109375" style="2376" customWidth="1"/>
    <col min="13063" max="13063" width="22.28515625" style="2376" customWidth="1"/>
    <col min="13064" max="13064" width="32" style="2376" customWidth="1"/>
    <col min="13065" max="13065" width="23.28515625" style="2376" customWidth="1"/>
    <col min="13066" max="13066" width="18" style="2376" customWidth="1"/>
    <col min="13067" max="13067" width="16.7109375" style="2376" customWidth="1"/>
    <col min="13068" max="13068" width="13.28515625" style="2376" customWidth="1"/>
    <col min="13069" max="13069" width="15.28515625" style="2376" customWidth="1"/>
    <col min="13070" max="13070" width="11" style="2376" customWidth="1"/>
    <col min="13071" max="13072" width="9.7109375" style="2376" customWidth="1"/>
    <col min="13073" max="13073" width="10" style="2376" customWidth="1"/>
    <col min="13074" max="13075" width="17" style="2376" customWidth="1"/>
    <col min="13076" max="13312" width="8.85546875" style="2376"/>
    <col min="13313" max="13313" width="118.5703125" style="2376" customWidth="1"/>
    <col min="13314" max="13314" width="26.85546875" style="2376" customWidth="1"/>
    <col min="13315" max="13315" width="20" style="2376" customWidth="1"/>
    <col min="13316" max="13316" width="29.7109375" style="2376" bestFit="1" customWidth="1"/>
    <col min="13317" max="13317" width="33.28515625" style="2376" customWidth="1"/>
    <col min="13318" max="13318" width="27.7109375" style="2376" customWidth="1"/>
    <col min="13319" max="13319" width="22.28515625" style="2376" customWidth="1"/>
    <col min="13320" max="13320" width="32" style="2376" customWidth="1"/>
    <col min="13321" max="13321" width="23.28515625" style="2376" customWidth="1"/>
    <col min="13322" max="13322" width="18" style="2376" customWidth="1"/>
    <col min="13323" max="13323" width="16.7109375" style="2376" customWidth="1"/>
    <col min="13324" max="13324" width="13.28515625" style="2376" customWidth="1"/>
    <col min="13325" max="13325" width="15.28515625" style="2376" customWidth="1"/>
    <col min="13326" max="13326" width="11" style="2376" customWidth="1"/>
    <col min="13327" max="13328" width="9.7109375" style="2376" customWidth="1"/>
    <col min="13329" max="13329" width="10" style="2376" customWidth="1"/>
    <col min="13330" max="13331" width="17" style="2376" customWidth="1"/>
    <col min="13332" max="13568" width="8.85546875" style="2376"/>
    <col min="13569" max="13569" width="118.5703125" style="2376" customWidth="1"/>
    <col min="13570" max="13570" width="26.85546875" style="2376" customWidth="1"/>
    <col min="13571" max="13571" width="20" style="2376" customWidth="1"/>
    <col min="13572" max="13572" width="29.7109375" style="2376" bestFit="1" customWidth="1"/>
    <col min="13573" max="13573" width="33.28515625" style="2376" customWidth="1"/>
    <col min="13574" max="13574" width="27.7109375" style="2376" customWidth="1"/>
    <col min="13575" max="13575" width="22.28515625" style="2376" customWidth="1"/>
    <col min="13576" max="13576" width="32" style="2376" customWidth="1"/>
    <col min="13577" max="13577" width="23.28515625" style="2376" customWidth="1"/>
    <col min="13578" max="13578" width="18" style="2376" customWidth="1"/>
    <col min="13579" max="13579" width="16.7109375" style="2376" customWidth="1"/>
    <col min="13580" max="13580" width="13.28515625" style="2376" customWidth="1"/>
    <col min="13581" max="13581" width="15.28515625" style="2376" customWidth="1"/>
    <col min="13582" max="13582" width="11" style="2376" customWidth="1"/>
    <col min="13583" max="13584" width="9.7109375" style="2376" customWidth="1"/>
    <col min="13585" max="13585" width="10" style="2376" customWidth="1"/>
    <col min="13586" max="13587" width="17" style="2376" customWidth="1"/>
    <col min="13588" max="13824" width="8.85546875" style="2376"/>
    <col min="13825" max="13825" width="118.5703125" style="2376" customWidth="1"/>
    <col min="13826" max="13826" width="26.85546875" style="2376" customWidth="1"/>
    <col min="13827" max="13827" width="20" style="2376" customWidth="1"/>
    <col min="13828" max="13828" width="29.7109375" style="2376" bestFit="1" customWidth="1"/>
    <col min="13829" max="13829" width="33.28515625" style="2376" customWidth="1"/>
    <col min="13830" max="13830" width="27.7109375" style="2376" customWidth="1"/>
    <col min="13831" max="13831" width="22.28515625" style="2376" customWidth="1"/>
    <col min="13832" max="13832" width="32" style="2376" customWidth="1"/>
    <col min="13833" max="13833" width="23.28515625" style="2376" customWidth="1"/>
    <col min="13834" max="13834" width="18" style="2376" customWidth="1"/>
    <col min="13835" max="13835" width="16.7109375" style="2376" customWidth="1"/>
    <col min="13836" max="13836" width="13.28515625" style="2376" customWidth="1"/>
    <col min="13837" max="13837" width="15.28515625" style="2376" customWidth="1"/>
    <col min="13838" max="13838" width="11" style="2376" customWidth="1"/>
    <col min="13839" max="13840" width="9.7109375" style="2376" customWidth="1"/>
    <col min="13841" max="13841" width="10" style="2376" customWidth="1"/>
    <col min="13842" max="13843" width="17" style="2376" customWidth="1"/>
    <col min="13844" max="14080" width="8.85546875" style="2376"/>
    <col min="14081" max="14081" width="118.5703125" style="2376" customWidth="1"/>
    <col min="14082" max="14082" width="26.85546875" style="2376" customWidth="1"/>
    <col min="14083" max="14083" width="20" style="2376" customWidth="1"/>
    <col min="14084" max="14084" width="29.7109375" style="2376" bestFit="1" customWidth="1"/>
    <col min="14085" max="14085" width="33.28515625" style="2376" customWidth="1"/>
    <col min="14086" max="14086" width="27.7109375" style="2376" customWidth="1"/>
    <col min="14087" max="14087" width="22.28515625" style="2376" customWidth="1"/>
    <col min="14088" max="14088" width="32" style="2376" customWidth="1"/>
    <col min="14089" max="14089" width="23.28515625" style="2376" customWidth="1"/>
    <col min="14090" max="14090" width="18" style="2376" customWidth="1"/>
    <col min="14091" max="14091" width="16.7109375" style="2376" customWidth="1"/>
    <col min="14092" max="14092" width="13.28515625" style="2376" customWidth="1"/>
    <col min="14093" max="14093" width="15.28515625" style="2376" customWidth="1"/>
    <col min="14094" max="14094" width="11" style="2376" customWidth="1"/>
    <col min="14095" max="14096" width="9.7109375" style="2376" customWidth="1"/>
    <col min="14097" max="14097" width="10" style="2376" customWidth="1"/>
    <col min="14098" max="14099" width="17" style="2376" customWidth="1"/>
    <col min="14100" max="14336" width="8.85546875" style="2376"/>
    <col min="14337" max="14337" width="118.5703125" style="2376" customWidth="1"/>
    <col min="14338" max="14338" width="26.85546875" style="2376" customWidth="1"/>
    <col min="14339" max="14339" width="20" style="2376" customWidth="1"/>
    <col min="14340" max="14340" width="29.7109375" style="2376" bestFit="1" customWidth="1"/>
    <col min="14341" max="14341" width="33.28515625" style="2376" customWidth="1"/>
    <col min="14342" max="14342" width="27.7109375" style="2376" customWidth="1"/>
    <col min="14343" max="14343" width="22.28515625" style="2376" customWidth="1"/>
    <col min="14344" max="14344" width="32" style="2376" customWidth="1"/>
    <col min="14345" max="14345" width="23.28515625" style="2376" customWidth="1"/>
    <col min="14346" max="14346" width="18" style="2376" customWidth="1"/>
    <col min="14347" max="14347" width="16.7109375" style="2376" customWidth="1"/>
    <col min="14348" max="14348" width="13.28515625" style="2376" customWidth="1"/>
    <col min="14349" max="14349" width="15.28515625" style="2376" customWidth="1"/>
    <col min="14350" max="14350" width="11" style="2376" customWidth="1"/>
    <col min="14351" max="14352" width="9.7109375" style="2376" customWidth="1"/>
    <col min="14353" max="14353" width="10" style="2376" customWidth="1"/>
    <col min="14354" max="14355" width="17" style="2376" customWidth="1"/>
    <col min="14356" max="14592" width="8.85546875" style="2376"/>
    <col min="14593" max="14593" width="118.5703125" style="2376" customWidth="1"/>
    <col min="14594" max="14594" width="26.85546875" style="2376" customWidth="1"/>
    <col min="14595" max="14595" width="20" style="2376" customWidth="1"/>
    <col min="14596" max="14596" width="29.7109375" style="2376" bestFit="1" customWidth="1"/>
    <col min="14597" max="14597" width="33.28515625" style="2376" customWidth="1"/>
    <col min="14598" max="14598" width="27.7109375" style="2376" customWidth="1"/>
    <col min="14599" max="14599" width="22.28515625" style="2376" customWidth="1"/>
    <col min="14600" max="14600" width="32" style="2376" customWidth="1"/>
    <col min="14601" max="14601" width="23.28515625" style="2376" customWidth="1"/>
    <col min="14602" max="14602" width="18" style="2376" customWidth="1"/>
    <col min="14603" max="14603" width="16.7109375" style="2376" customWidth="1"/>
    <col min="14604" max="14604" width="13.28515625" style="2376" customWidth="1"/>
    <col min="14605" max="14605" width="15.28515625" style="2376" customWidth="1"/>
    <col min="14606" max="14606" width="11" style="2376" customWidth="1"/>
    <col min="14607" max="14608" width="9.7109375" style="2376" customWidth="1"/>
    <col min="14609" max="14609" width="10" style="2376" customWidth="1"/>
    <col min="14610" max="14611" width="17" style="2376" customWidth="1"/>
    <col min="14612" max="14848" width="8.85546875" style="2376"/>
    <col min="14849" max="14849" width="118.5703125" style="2376" customWidth="1"/>
    <col min="14850" max="14850" width="26.85546875" style="2376" customWidth="1"/>
    <col min="14851" max="14851" width="20" style="2376" customWidth="1"/>
    <col min="14852" max="14852" width="29.7109375" style="2376" bestFit="1" customWidth="1"/>
    <col min="14853" max="14853" width="33.28515625" style="2376" customWidth="1"/>
    <col min="14854" max="14854" width="27.7109375" style="2376" customWidth="1"/>
    <col min="14855" max="14855" width="22.28515625" style="2376" customWidth="1"/>
    <col min="14856" max="14856" width="32" style="2376" customWidth="1"/>
    <col min="14857" max="14857" width="23.28515625" style="2376" customWidth="1"/>
    <col min="14858" max="14858" width="18" style="2376" customWidth="1"/>
    <col min="14859" max="14859" width="16.7109375" style="2376" customWidth="1"/>
    <col min="14860" max="14860" width="13.28515625" style="2376" customWidth="1"/>
    <col min="14861" max="14861" width="15.28515625" style="2376" customWidth="1"/>
    <col min="14862" max="14862" width="11" style="2376" customWidth="1"/>
    <col min="14863" max="14864" width="9.7109375" style="2376" customWidth="1"/>
    <col min="14865" max="14865" width="10" style="2376" customWidth="1"/>
    <col min="14866" max="14867" width="17" style="2376" customWidth="1"/>
    <col min="14868" max="15104" width="8.85546875" style="2376"/>
    <col min="15105" max="15105" width="118.5703125" style="2376" customWidth="1"/>
    <col min="15106" max="15106" width="26.85546875" style="2376" customWidth="1"/>
    <col min="15107" max="15107" width="20" style="2376" customWidth="1"/>
    <col min="15108" max="15108" width="29.7109375" style="2376" bestFit="1" customWidth="1"/>
    <col min="15109" max="15109" width="33.28515625" style="2376" customWidth="1"/>
    <col min="15110" max="15110" width="27.7109375" style="2376" customWidth="1"/>
    <col min="15111" max="15111" width="22.28515625" style="2376" customWidth="1"/>
    <col min="15112" max="15112" width="32" style="2376" customWidth="1"/>
    <col min="15113" max="15113" width="23.28515625" style="2376" customWidth="1"/>
    <col min="15114" max="15114" width="18" style="2376" customWidth="1"/>
    <col min="15115" max="15115" width="16.7109375" style="2376" customWidth="1"/>
    <col min="15116" max="15116" width="13.28515625" style="2376" customWidth="1"/>
    <col min="15117" max="15117" width="15.28515625" style="2376" customWidth="1"/>
    <col min="15118" max="15118" width="11" style="2376" customWidth="1"/>
    <col min="15119" max="15120" width="9.7109375" style="2376" customWidth="1"/>
    <col min="15121" max="15121" width="10" style="2376" customWidth="1"/>
    <col min="15122" max="15123" width="17" style="2376" customWidth="1"/>
    <col min="15124" max="15360" width="8.85546875" style="2376"/>
    <col min="15361" max="15361" width="118.5703125" style="2376" customWidth="1"/>
    <col min="15362" max="15362" width="26.85546875" style="2376" customWidth="1"/>
    <col min="15363" max="15363" width="20" style="2376" customWidth="1"/>
    <col min="15364" max="15364" width="29.7109375" style="2376" bestFit="1" customWidth="1"/>
    <col min="15365" max="15365" width="33.28515625" style="2376" customWidth="1"/>
    <col min="15366" max="15366" width="27.7109375" style="2376" customWidth="1"/>
    <col min="15367" max="15367" width="22.28515625" style="2376" customWidth="1"/>
    <col min="15368" max="15368" width="32" style="2376" customWidth="1"/>
    <col min="15369" max="15369" width="23.28515625" style="2376" customWidth="1"/>
    <col min="15370" max="15370" width="18" style="2376" customWidth="1"/>
    <col min="15371" max="15371" width="16.7109375" style="2376" customWidth="1"/>
    <col min="15372" max="15372" width="13.28515625" style="2376" customWidth="1"/>
    <col min="15373" max="15373" width="15.28515625" style="2376" customWidth="1"/>
    <col min="15374" max="15374" width="11" style="2376" customWidth="1"/>
    <col min="15375" max="15376" width="9.7109375" style="2376" customWidth="1"/>
    <col min="15377" max="15377" width="10" style="2376" customWidth="1"/>
    <col min="15378" max="15379" width="17" style="2376" customWidth="1"/>
    <col min="15380" max="15616" width="8.85546875" style="2376"/>
    <col min="15617" max="15617" width="118.5703125" style="2376" customWidth="1"/>
    <col min="15618" max="15618" width="26.85546875" style="2376" customWidth="1"/>
    <col min="15619" max="15619" width="20" style="2376" customWidth="1"/>
    <col min="15620" max="15620" width="29.7109375" style="2376" bestFit="1" customWidth="1"/>
    <col min="15621" max="15621" width="33.28515625" style="2376" customWidth="1"/>
    <col min="15622" max="15622" width="27.7109375" style="2376" customWidth="1"/>
    <col min="15623" max="15623" width="22.28515625" style="2376" customWidth="1"/>
    <col min="15624" max="15624" width="32" style="2376" customWidth="1"/>
    <col min="15625" max="15625" width="23.28515625" style="2376" customWidth="1"/>
    <col min="15626" max="15626" width="18" style="2376" customWidth="1"/>
    <col min="15627" max="15627" width="16.7109375" style="2376" customWidth="1"/>
    <col min="15628" max="15628" width="13.28515625" style="2376" customWidth="1"/>
    <col min="15629" max="15629" width="15.28515625" style="2376" customWidth="1"/>
    <col min="15630" max="15630" width="11" style="2376" customWidth="1"/>
    <col min="15631" max="15632" width="9.7109375" style="2376" customWidth="1"/>
    <col min="15633" max="15633" width="10" style="2376" customWidth="1"/>
    <col min="15634" max="15635" width="17" style="2376" customWidth="1"/>
    <col min="15636" max="15872" width="8.85546875" style="2376"/>
    <col min="15873" max="15873" width="118.5703125" style="2376" customWidth="1"/>
    <col min="15874" max="15874" width="26.85546875" style="2376" customWidth="1"/>
    <col min="15875" max="15875" width="20" style="2376" customWidth="1"/>
    <col min="15876" max="15876" width="29.7109375" style="2376" bestFit="1" customWidth="1"/>
    <col min="15877" max="15877" width="33.28515625" style="2376" customWidth="1"/>
    <col min="15878" max="15878" width="27.7109375" style="2376" customWidth="1"/>
    <col min="15879" max="15879" width="22.28515625" style="2376" customWidth="1"/>
    <col min="15880" max="15880" width="32" style="2376" customWidth="1"/>
    <col min="15881" max="15881" width="23.28515625" style="2376" customWidth="1"/>
    <col min="15882" max="15882" width="18" style="2376" customWidth="1"/>
    <col min="15883" max="15883" width="16.7109375" style="2376" customWidth="1"/>
    <col min="15884" max="15884" width="13.28515625" style="2376" customWidth="1"/>
    <col min="15885" max="15885" width="15.28515625" style="2376" customWidth="1"/>
    <col min="15886" max="15886" width="11" style="2376" customWidth="1"/>
    <col min="15887" max="15888" width="9.7109375" style="2376" customWidth="1"/>
    <col min="15889" max="15889" width="10" style="2376" customWidth="1"/>
    <col min="15890" max="15891" width="17" style="2376" customWidth="1"/>
    <col min="15892" max="16128" width="8.85546875" style="2376"/>
    <col min="16129" max="16129" width="118.5703125" style="2376" customWidth="1"/>
    <col min="16130" max="16130" width="26.85546875" style="2376" customWidth="1"/>
    <col min="16131" max="16131" width="20" style="2376" customWidth="1"/>
    <col min="16132" max="16132" width="29.7109375" style="2376" bestFit="1" customWidth="1"/>
    <col min="16133" max="16133" width="33.28515625" style="2376" customWidth="1"/>
    <col min="16134" max="16134" width="27.7109375" style="2376" customWidth="1"/>
    <col min="16135" max="16135" width="22.28515625" style="2376" customWidth="1"/>
    <col min="16136" max="16136" width="32" style="2376" customWidth="1"/>
    <col min="16137" max="16137" width="23.28515625" style="2376" customWidth="1"/>
    <col min="16138" max="16138" width="18" style="2376" customWidth="1"/>
    <col min="16139" max="16139" width="16.7109375" style="2376" customWidth="1"/>
    <col min="16140" max="16140" width="13.28515625" style="2376" customWidth="1"/>
    <col min="16141" max="16141" width="15.28515625" style="2376" customWidth="1"/>
    <col min="16142" max="16142" width="11" style="2376" customWidth="1"/>
    <col min="16143" max="16144" width="9.7109375" style="2376" customWidth="1"/>
    <col min="16145" max="16145" width="10" style="2376" customWidth="1"/>
    <col min="16146" max="16147" width="17" style="2376" customWidth="1"/>
    <col min="16148" max="16384" width="8.85546875" style="2376"/>
  </cols>
  <sheetData>
    <row r="1" spans="1:22" x14ac:dyDescent="0.2">
      <c r="A1" s="2375" t="s">
        <v>2387</v>
      </c>
    </row>
    <row r="2" spans="1:22" x14ac:dyDescent="0.2">
      <c r="A2" s="1393" t="s">
        <v>2388</v>
      </c>
    </row>
    <row r="3" spans="1:22" x14ac:dyDescent="0.2">
      <c r="A3" s="1393"/>
    </row>
    <row r="4" spans="1:22" s="2377" customFormat="1" ht="12.75" thickBot="1" x14ac:dyDescent="0.25">
      <c r="A4" s="1393" t="s">
        <v>366</v>
      </c>
      <c r="J4" s="2378"/>
      <c r="K4" s="2378"/>
      <c r="L4" s="2378"/>
      <c r="M4" s="2378"/>
      <c r="N4" s="2378"/>
      <c r="V4" s="2379"/>
    </row>
    <row r="5" spans="1:22" ht="24.75" thickBot="1" x14ac:dyDescent="0.25">
      <c r="A5" s="2380"/>
      <c r="B5" s="2866" t="s">
        <v>367</v>
      </c>
      <c r="C5" s="2866" t="s">
        <v>368</v>
      </c>
      <c r="D5" s="2872" t="s">
        <v>1855</v>
      </c>
      <c r="E5" s="2866" t="s">
        <v>370</v>
      </c>
      <c r="F5" s="2866" t="s">
        <v>1856</v>
      </c>
      <c r="G5" s="2866" t="s">
        <v>374</v>
      </c>
      <c r="H5" s="2866" t="s">
        <v>77</v>
      </c>
      <c r="I5" s="2866" t="s">
        <v>78</v>
      </c>
      <c r="J5" s="2866" t="s">
        <v>375</v>
      </c>
      <c r="K5" s="2866" t="s">
        <v>376</v>
      </c>
      <c r="L5" s="2866" t="s">
        <v>377</v>
      </c>
      <c r="M5" s="2866" t="s">
        <v>378</v>
      </c>
      <c r="N5" s="2866" t="s">
        <v>379</v>
      </c>
      <c r="O5" s="2866" t="s">
        <v>380</v>
      </c>
      <c r="P5" s="2866" t="s">
        <v>381</v>
      </c>
      <c r="Q5" s="2873" t="s">
        <v>138</v>
      </c>
      <c r="R5" s="2874" t="s">
        <v>1857</v>
      </c>
      <c r="S5" s="2375"/>
      <c r="U5" s="1393"/>
    </row>
    <row r="6" spans="1:22" x14ac:dyDescent="0.2">
      <c r="A6" s="2381"/>
      <c r="B6" s="2382"/>
      <c r="C6" s="2385"/>
      <c r="D6" s="2383"/>
      <c r="E6" s="2383">
        <f>0.6*D6</f>
        <v>0</v>
      </c>
      <c r="F6" s="2383">
        <f t="shared" ref="F6:F15" si="0">D6-E6</f>
        <v>0</v>
      </c>
      <c r="G6" s="2384" t="s">
        <v>388</v>
      </c>
      <c r="H6" s="2385"/>
      <c r="I6" s="2385"/>
      <c r="J6" s="2385"/>
      <c r="K6" s="2385"/>
      <c r="L6" s="2385"/>
      <c r="M6" s="2384"/>
      <c r="N6" s="2384"/>
      <c r="O6" s="2384"/>
      <c r="P6" s="2384"/>
      <c r="Q6" s="2386"/>
      <c r="R6" s="2387"/>
      <c r="S6" s="2375"/>
      <c r="T6" s="2375" t="s">
        <v>400</v>
      </c>
      <c r="V6" s="1393" t="s">
        <v>401</v>
      </c>
    </row>
    <row r="7" spans="1:22" x14ac:dyDescent="0.2">
      <c r="A7" s="2388" t="s">
        <v>1991</v>
      </c>
      <c r="B7" s="2382">
        <v>182</v>
      </c>
      <c r="C7" s="2385">
        <v>9</v>
      </c>
      <c r="D7" s="2383">
        <f>5300*B7</f>
        <v>964600</v>
      </c>
      <c r="E7" s="2383">
        <v>0</v>
      </c>
      <c r="F7" s="2383">
        <f t="shared" si="0"/>
        <v>964600</v>
      </c>
      <c r="G7" s="2389" t="s">
        <v>388</v>
      </c>
      <c r="H7" s="2385" t="s">
        <v>385</v>
      </c>
      <c r="I7" s="2385" t="s">
        <v>385</v>
      </c>
      <c r="J7" s="2390" t="s">
        <v>399</v>
      </c>
      <c r="K7" s="2390" t="s">
        <v>399</v>
      </c>
      <c r="L7" s="2385" t="s">
        <v>385</v>
      </c>
      <c r="M7" s="2384" t="s">
        <v>411</v>
      </c>
      <c r="N7" s="2385" t="s">
        <v>390</v>
      </c>
      <c r="O7" s="2385" t="s">
        <v>390</v>
      </c>
      <c r="P7" s="2385" t="s">
        <v>390</v>
      </c>
      <c r="Q7" s="2391" t="s">
        <v>390</v>
      </c>
      <c r="R7" s="2387">
        <v>2024</v>
      </c>
      <c r="S7" s="2375"/>
      <c r="U7" s="1393"/>
    </row>
    <row r="8" spans="1:22" x14ac:dyDescent="0.2">
      <c r="A8" s="2388" t="s">
        <v>402</v>
      </c>
      <c r="B8" s="2382">
        <v>372</v>
      </c>
      <c r="C8" s="2385">
        <v>12</v>
      </c>
      <c r="D8" s="2383">
        <v>4200000</v>
      </c>
      <c r="E8" s="2383">
        <v>0</v>
      </c>
      <c r="F8" s="2383">
        <f t="shared" si="0"/>
        <v>4200000</v>
      </c>
      <c r="G8" s="2389" t="s">
        <v>388</v>
      </c>
      <c r="H8" s="2385" t="s">
        <v>385</v>
      </c>
      <c r="I8" s="2385" t="s">
        <v>385</v>
      </c>
      <c r="J8" s="2385" t="s">
        <v>385</v>
      </c>
      <c r="K8" s="2390" t="s">
        <v>399</v>
      </c>
      <c r="L8" s="2385" t="s">
        <v>385</v>
      </c>
      <c r="M8" s="2392" t="s">
        <v>389</v>
      </c>
      <c r="N8" s="2385" t="s">
        <v>385</v>
      </c>
      <c r="O8" s="2385" t="s">
        <v>385</v>
      </c>
      <c r="P8" s="2385" t="s">
        <v>390</v>
      </c>
      <c r="Q8" s="2391" t="s">
        <v>390</v>
      </c>
      <c r="R8" s="2387">
        <v>2024</v>
      </c>
      <c r="S8" s="2375"/>
      <c r="U8" s="1393"/>
    </row>
    <row r="9" spans="1:22" x14ac:dyDescent="0.2">
      <c r="A9" s="2393" t="s">
        <v>393</v>
      </c>
      <c r="B9" s="2394">
        <v>150</v>
      </c>
      <c r="C9" s="2395">
        <v>17</v>
      </c>
      <c r="D9" s="2383">
        <f>5300*B9</f>
        <v>795000</v>
      </c>
      <c r="E9" s="2383">
        <f>0*D9</f>
        <v>0</v>
      </c>
      <c r="F9" s="2383">
        <f t="shared" si="0"/>
        <v>795000</v>
      </c>
      <c r="G9" s="2389" t="s">
        <v>394</v>
      </c>
      <c r="H9" s="2395" t="s">
        <v>385</v>
      </c>
      <c r="I9" s="2395" t="s">
        <v>385</v>
      </c>
      <c r="J9" s="2395" t="s">
        <v>385</v>
      </c>
      <c r="K9" s="2395" t="s">
        <v>385</v>
      </c>
      <c r="L9" s="2395" t="s">
        <v>385</v>
      </c>
      <c r="M9" s="2389" t="s">
        <v>389</v>
      </c>
      <c r="N9" s="2385" t="s">
        <v>385</v>
      </c>
      <c r="O9" s="2385" t="s">
        <v>385</v>
      </c>
      <c r="P9" s="2385" t="s">
        <v>385</v>
      </c>
      <c r="Q9" s="2391" t="s">
        <v>399</v>
      </c>
      <c r="R9" s="2387">
        <v>2024</v>
      </c>
      <c r="S9" s="2375"/>
      <c r="U9" s="1393"/>
    </row>
    <row r="10" spans="1:22" x14ac:dyDescent="0.2">
      <c r="A10" s="2393" t="s">
        <v>397</v>
      </c>
      <c r="B10" s="2394">
        <v>95</v>
      </c>
      <c r="C10" s="2395">
        <v>12</v>
      </c>
      <c r="D10" s="2383">
        <f>5300*B10</f>
        <v>503500</v>
      </c>
      <c r="E10" s="2383">
        <f>0*D10</f>
        <v>0</v>
      </c>
      <c r="F10" s="2383">
        <f t="shared" si="0"/>
        <v>503500</v>
      </c>
      <c r="G10" s="2389" t="s">
        <v>398</v>
      </c>
      <c r="H10" s="2395" t="s">
        <v>385</v>
      </c>
      <c r="I10" s="2395" t="s">
        <v>385</v>
      </c>
      <c r="J10" s="2395" t="s">
        <v>385</v>
      </c>
      <c r="K10" s="2396" t="s">
        <v>399</v>
      </c>
      <c r="L10" s="2395" t="s">
        <v>385</v>
      </c>
      <c r="M10" s="2389" t="s">
        <v>389</v>
      </c>
      <c r="N10" s="2395" t="s">
        <v>385</v>
      </c>
      <c r="O10" s="2395" t="s">
        <v>385</v>
      </c>
      <c r="P10" s="2395" t="s">
        <v>390</v>
      </c>
      <c r="Q10" s="2397" t="s">
        <v>390</v>
      </c>
      <c r="R10" s="2387">
        <v>2024</v>
      </c>
    </row>
    <row r="11" spans="1:22" x14ac:dyDescent="0.2">
      <c r="A11" s="2393" t="s">
        <v>524</v>
      </c>
      <c r="B11" s="2394">
        <v>172</v>
      </c>
      <c r="C11" s="2395">
        <v>12</v>
      </c>
      <c r="D11" s="2383">
        <f>5300*B11</f>
        <v>911600</v>
      </c>
      <c r="E11" s="2383">
        <f>0*D11</f>
        <v>0</v>
      </c>
      <c r="F11" s="2383">
        <f t="shared" si="0"/>
        <v>911600</v>
      </c>
      <c r="G11" s="2389" t="s">
        <v>388</v>
      </c>
      <c r="H11" s="2395" t="s">
        <v>385</v>
      </c>
      <c r="I11" s="2395" t="s">
        <v>385</v>
      </c>
      <c r="J11" s="2395" t="s">
        <v>385</v>
      </c>
      <c r="K11" s="2396" t="s">
        <v>399</v>
      </c>
      <c r="L11" s="2396" t="s">
        <v>399</v>
      </c>
      <c r="M11" s="2389" t="s">
        <v>411</v>
      </c>
      <c r="N11" s="2395" t="s">
        <v>390</v>
      </c>
      <c r="O11" s="2395" t="s">
        <v>390</v>
      </c>
      <c r="P11" s="2395" t="s">
        <v>390</v>
      </c>
      <c r="Q11" s="2397" t="s">
        <v>390</v>
      </c>
      <c r="R11" s="2398">
        <v>2024</v>
      </c>
    </row>
    <row r="12" spans="1:22" x14ac:dyDescent="0.2">
      <c r="A12" s="2399" t="s">
        <v>1992</v>
      </c>
      <c r="B12" s="2400"/>
      <c r="C12" s="2405"/>
      <c r="D12" s="2401">
        <v>1100000</v>
      </c>
      <c r="E12" s="2401">
        <v>0</v>
      </c>
      <c r="F12" s="2401">
        <v>1100000</v>
      </c>
      <c r="G12" s="2389" t="s">
        <v>388</v>
      </c>
      <c r="H12" s="2395" t="s">
        <v>385</v>
      </c>
      <c r="I12" s="2395" t="s">
        <v>385</v>
      </c>
      <c r="J12" s="2395" t="s">
        <v>385</v>
      </c>
      <c r="K12" s="2395" t="s">
        <v>385</v>
      </c>
      <c r="L12" s="2396" t="s">
        <v>390</v>
      </c>
      <c r="M12" s="2389" t="s">
        <v>411</v>
      </c>
      <c r="N12" s="2389" t="s">
        <v>390</v>
      </c>
      <c r="O12" s="2389" t="s">
        <v>390</v>
      </c>
      <c r="P12" s="2389" t="s">
        <v>390</v>
      </c>
      <c r="Q12" s="2402" t="s">
        <v>390</v>
      </c>
      <c r="R12" s="2403">
        <v>2024</v>
      </c>
    </row>
    <row r="13" spans="1:22" x14ac:dyDescent="0.2">
      <c r="A13" s="2399" t="s">
        <v>2389</v>
      </c>
      <c r="B13" s="2400"/>
      <c r="C13" s="2405"/>
      <c r="D13" s="2401">
        <v>500000</v>
      </c>
      <c r="E13" s="2401">
        <v>0</v>
      </c>
      <c r="F13" s="2401">
        <v>500000</v>
      </c>
      <c r="G13" s="2389" t="s">
        <v>388</v>
      </c>
      <c r="H13" s="2395"/>
      <c r="I13" s="2395"/>
      <c r="J13" s="2395"/>
      <c r="K13" s="2395"/>
      <c r="L13" s="2396"/>
      <c r="M13" s="2389" t="s">
        <v>411</v>
      </c>
      <c r="N13" s="2389" t="s">
        <v>390</v>
      </c>
      <c r="O13" s="2389" t="s">
        <v>390</v>
      </c>
      <c r="P13" s="2389" t="s">
        <v>390</v>
      </c>
      <c r="Q13" s="2402" t="s">
        <v>390</v>
      </c>
      <c r="R13" s="2403">
        <v>2024</v>
      </c>
    </row>
    <row r="14" spans="1:22" x14ac:dyDescent="0.2">
      <c r="A14" s="2399" t="s">
        <v>1994</v>
      </c>
      <c r="B14" s="2400"/>
      <c r="C14" s="2405"/>
      <c r="D14" s="2404">
        <v>80000000</v>
      </c>
      <c r="E14" s="2401">
        <v>75500000</v>
      </c>
      <c r="F14" s="2401">
        <v>6000000</v>
      </c>
      <c r="G14" s="2389" t="s">
        <v>1995</v>
      </c>
      <c r="H14" s="2405"/>
      <c r="I14" s="2405"/>
      <c r="J14" s="2405"/>
      <c r="K14" s="2406"/>
      <c r="L14" s="2406"/>
      <c r="M14" s="2407"/>
      <c r="N14" s="2405"/>
      <c r="O14" s="2405"/>
      <c r="P14" s="2405"/>
      <c r="Q14" s="2408"/>
      <c r="R14" s="2403" t="s">
        <v>2567</v>
      </c>
    </row>
    <row r="15" spans="1:22" ht="12.75" thickBot="1" x14ac:dyDescent="0.25">
      <c r="A15" s="2409" t="s">
        <v>413</v>
      </c>
      <c r="B15" s="2410">
        <v>218</v>
      </c>
      <c r="C15" s="2414">
        <v>7</v>
      </c>
      <c r="D15" s="2411">
        <v>4500000</v>
      </c>
      <c r="E15" s="2412">
        <f>0*D15</f>
        <v>0</v>
      </c>
      <c r="F15" s="2412">
        <f t="shared" si="0"/>
        <v>4500000</v>
      </c>
      <c r="G15" s="2413" t="s">
        <v>388</v>
      </c>
      <c r="H15" s="2414" t="s">
        <v>385</v>
      </c>
      <c r="I15" s="2414" t="s">
        <v>385</v>
      </c>
      <c r="J15" s="2415" t="s">
        <v>414</v>
      </c>
      <c r="K15" s="2414" t="s">
        <v>385</v>
      </c>
      <c r="L15" s="2414" t="s">
        <v>385</v>
      </c>
      <c r="M15" s="2413" t="s">
        <v>411</v>
      </c>
      <c r="N15" s="2414" t="s">
        <v>390</v>
      </c>
      <c r="O15" s="2414" t="s">
        <v>390</v>
      </c>
      <c r="P15" s="2414" t="s">
        <v>390</v>
      </c>
      <c r="Q15" s="2416" t="s">
        <v>390</v>
      </c>
      <c r="R15" s="2417">
        <v>2024</v>
      </c>
    </row>
    <row r="16" spans="1:22" x14ac:dyDescent="0.2">
      <c r="A16" s="2418"/>
      <c r="B16" s="2418"/>
      <c r="C16" s="2418"/>
      <c r="D16" s="2418"/>
      <c r="E16" s="2418"/>
      <c r="F16" s="2418"/>
      <c r="G16" s="2418"/>
      <c r="H16" s="2418"/>
      <c r="I16" s="2418"/>
      <c r="J16" s="2418"/>
      <c r="K16" s="2418"/>
      <c r="L16" s="2418"/>
      <c r="M16" s="2418"/>
      <c r="N16" s="2418"/>
      <c r="O16" s="2418"/>
      <c r="P16" s="2418"/>
      <c r="Q16" s="2418"/>
      <c r="R16" s="2418"/>
    </row>
    <row r="17" spans="1:18" x14ac:dyDescent="0.2">
      <c r="A17" s="2419" t="s">
        <v>415</v>
      </c>
      <c r="B17" s="2420">
        <f>SUM(B7:B15)</f>
        <v>1189</v>
      </c>
      <c r="C17" s="2418"/>
      <c r="D17" s="2421">
        <f>SUM(D6:D15)</f>
        <v>93474700</v>
      </c>
      <c r="E17" s="2421">
        <f>SUM(E6:E15)</f>
        <v>75500000</v>
      </c>
      <c r="F17" s="2421">
        <f>SUM(F6:F15)</f>
        <v>19474700</v>
      </c>
      <c r="G17" s="2418"/>
      <c r="H17" s="2418"/>
      <c r="I17" s="2418"/>
      <c r="J17" s="2418"/>
      <c r="K17" s="2418"/>
      <c r="L17" s="2418"/>
      <c r="M17" s="2418"/>
      <c r="N17" s="2418"/>
      <c r="O17" s="2418"/>
      <c r="P17" s="2418"/>
      <c r="Q17" s="2418"/>
      <c r="R17" s="2418"/>
    </row>
    <row r="18" spans="1:18" x14ac:dyDescent="0.2">
      <c r="A18" s="2419"/>
      <c r="B18" s="2420"/>
      <c r="C18" s="2418"/>
      <c r="D18" s="2421"/>
      <c r="E18" s="2421"/>
      <c r="F18" s="2421"/>
      <c r="G18" s="2418"/>
      <c r="H18" s="2418"/>
      <c r="I18" s="2418"/>
      <c r="J18" s="2418"/>
      <c r="K18" s="2418"/>
      <c r="L18" s="2418"/>
      <c r="M18" s="2418"/>
      <c r="N18" s="2418"/>
      <c r="O18" s="2418"/>
      <c r="P18" s="2418"/>
      <c r="Q18" s="2418"/>
      <c r="R18" s="2418"/>
    </row>
    <row r="19" spans="1:18" ht="12.75" thickBot="1" x14ac:dyDescent="0.25">
      <c r="A19" s="2422" t="s">
        <v>1858</v>
      </c>
      <c r="B19" s="2418"/>
      <c r="C19" s="2418"/>
      <c r="D19" s="2418"/>
      <c r="E19" s="2418"/>
      <c r="F19" s="2418"/>
      <c r="G19" s="2418"/>
      <c r="H19" s="2418"/>
      <c r="I19" s="2418"/>
      <c r="J19" s="2418"/>
      <c r="K19" s="2418"/>
      <c r="L19" s="2418"/>
      <c r="M19" s="2418"/>
      <c r="N19" s="2418"/>
      <c r="O19" s="2418"/>
      <c r="P19" s="2418"/>
      <c r="Q19" s="2418"/>
      <c r="R19" s="2418"/>
    </row>
    <row r="20" spans="1:18" ht="24.75" thickBot="1" x14ac:dyDescent="0.25">
      <c r="A20" s="2423"/>
      <c r="B20" s="2870" t="s">
        <v>367</v>
      </c>
      <c r="C20" s="2418"/>
      <c r="D20" s="2872" t="s">
        <v>1859</v>
      </c>
      <c r="E20" s="2875" t="s">
        <v>416</v>
      </c>
      <c r="F20" s="2875" t="s">
        <v>1856</v>
      </c>
      <c r="G20" s="2875" t="s">
        <v>374</v>
      </c>
      <c r="H20" s="2875" t="s">
        <v>378</v>
      </c>
      <c r="I20" s="2875" t="s">
        <v>379</v>
      </c>
      <c r="J20" s="2875" t="s">
        <v>380</v>
      </c>
      <c r="K20" s="2875" t="s">
        <v>381</v>
      </c>
      <c r="L20" s="2876" t="s">
        <v>138</v>
      </c>
      <c r="M20" s="2870" t="s">
        <v>1857</v>
      </c>
      <c r="N20" s="2418"/>
      <c r="O20" s="2418"/>
      <c r="P20" s="2418"/>
      <c r="Q20" s="2418"/>
      <c r="R20" s="2418"/>
    </row>
    <row r="21" spans="1:18" x14ac:dyDescent="0.2">
      <c r="A21" s="2424" t="s">
        <v>418</v>
      </c>
      <c r="B21" s="2425">
        <v>350</v>
      </c>
      <c r="C21" s="2418"/>
      <c r="D21" s="2426">
        <v>650000</v>
      </c>
      <c r="E21" s="2427">
        <v>500000</v>
      </c>
      <c r="F21" s="2428">
        <f t="shared" ref="F21:F28" si="1">D21-E21</f>
        <v>150000</v>
      </c>
      <c r="G21" s="2429" t="s">
        <v>388</v>
      </c>
      <c r="H21" s="2429" t="s">
        <v>419</v>
      </c>
      <c r="I21" s="2429" t="s">
        <v>386</v>
      </c>
      <c r="J21" s="2429" t="s">
        <v>386</v>
      </c>
      <c r="K21" s="2429" t="s">
        <v>386</v>
      </c>
      <c r="L21" s="2430" t="s">
        <v>386</v>
      </c>
      <c r="M21" s="2431">
        <v>2024</v>
      </c>
      <c r="N21" s="2432" t="s">
        <v>1860</v>
      </c>
      <c r="O21" s="2418"/>
      <c r="P21" s="2418"/>
      <c r="Q21" s="2418"/>
      <c r="R21" s="2418"/>
    </row>
    <row r="22" spans="1:18" x14ac:dyDescent="0.2">
      <c r="A22" s="2433" t="s">
        <v>2390</v>
      </c>
      <c r="B22" s="2434">
        <v>11</v>
      </c>
      <c r="C22" s="2418"/>
      <c r="D22" s="2426">
        <v>2500000</v>
      </c>
      <c r="E22" s="2427">
        <v>0</v>
      </c>
      <c r="F22" s="2428">
        <v>2500000</v>
      </c>
      <c r="G22" s="2429" t="s">
        <v>388</v>
      </c>
      <c r="H22" s="2429" t="s">
        <v>510</v>
      </c>
      <c r="I22" s="2429" t="s">
        <v>390</v>
      </c>
      <c r="J22" s="2429" t="s">
        <v>390</v>
      </c>
      <c r="K22" s="2429" t="s">
        <v>390</v>
      </c>
      <c r="L22" s="2430" t="s">
        <v>390</v>
      </c>
      <c r="M22" s="2431">
        <v>2024</v>
      </c>
      <c r="N22" s="2432"/>
      <c r="O22" s="2418"/>
      <c r="P22" s="2418"/>
      <c r="Q22" s="2418"/>
      <c r="R22" s="2418"/>
    </row>
    <row r="23" spans="1:18" x14ac:dyDescent="0.2">
      <c r="A23" s="2433" t="s">
        <v>527</v>
      </c>
      <c r="B23" s="2434">
        <v>300</v>
      </c>
      <c r="C23" s="2418"/>
      <c r="D23" s="2426">
        <v>750000</v>
      </c>
      <c r="E23" s="2427">
        <v>630000</v>
      </c>
      <c r="F23" s="2428">
        <f t="shared" si="1"/>
        <v>120000</v>
      </c>
      <c r="G23" s="2429" t="s">
        <v>388</v>
      </c>
      <c r="H23" s="2429" t="s">
        <v>510</v>
      </c>
      <c r="I23" s="2429" t="s">
        <v>390</v>
      </c>
      <c r="J23" s="2429" t="s">
        <v>390</v>
      </c>
      <c r="K23" s="2429" t="s">
        <v>390</v>
      </c>
      <c r="L23" s="2430" t="s">
        <v>390</v>
      </c>
      <c r="M23" s="2431">
        <v>2024</v>
      </c>
      <c r="N23" s="2418"/>
      <c r="O23" s="2418"/>
      <c r="P23" s="2418"/>
      <c r="Q23" s="2418"/>
      <c r="R23" s="2418"/>
    </row>
    <row r="24" spans="1:18" x14ac:dyDescent="0.2">
      <c r="A24" s="2433" t="s">
        <v>1996</v>
      </c>
      <c r="B24" s="2434">
        <v>200</v>
      </c>
      <c r="C24" s="2435"/>
      <c r="D24" s="2426">
        <v>4500000</v>
      </c>
      <c r="E24" s="2427">
        <v>1000000</v>
      </c>
      <c r="F24" s="2428">
        <f t="shared" si="1"/>
        <v>3500000</v>
      </c>
      <c r="G24" s="2429" t="s">
        <v>388</v>
      </c>
      <c r="H24" s="2429" t="s">
        <v>1997</v>
      </c>
      <c r="I24" s="2429" t="s">
        <v>390</v>
      </c>
      <c r="J24" s="2429" t="s">
        <v>390</v>
      </c>
      <c r="K24" s="2429" t="s">
        <v>390</v>
      </c>
      <c r="L24" s="2430" t="s">
        <v>390</v>
      </c>
      <c r="M24" s="2431">
        <v>2024</v>
      </c>
      <c r="N24" s="2418"/>
      <c r="O24" s="2418"/>
      <c r="P24" s="2418"/>
      <c r="Q24" s="2418"/>
      <c r="R24" s="2418"/>
    </row>
    <row r="25" spans="1:18" x14ac:dyDescent="0.2">
      <c r="A25" s="2436" t="s">
        <v>1998</v>
      </c>
      <c r="B25" s="2437">
        <v>208</v>
      </c>
      <c r="C25" s="2435"/>
      <c r="D25" s="2426">
        <v>3900000</v>
      </c>
      <c r="E25" s="2427">
        <v>3400000</v>
      </c>
      <c r="F25" s="2428">
        <f t="shared" si="1"/>
        <v>500000</v>
      </c>
      <c r="G25" s="2429" t="s">
        <v>388</v>
      </c>
      <c r="H25" s="2429" t="s">
        <v>1997</v>
      </c>
      <c r="I25" s="2429" t="s">
        <v>390</v>
      </c>
      <c r="J25" s="2429" t="s">
        <v>390</v>
      </c>
      <c r="K25" s="2429" t="s">
        <v>390</v>
      </c>
      <c r="L25" s="2430" t="s">
        <v>390</v>
      </c>
      <c r="M25" s="2438">
        <v>2024</v>
      </c>
      <c r="N25" s="2418"/>
      <c r="O25" s="2418"/>
      <c r="P25" s="2418"/>
      <c r="Q25" s="2418"/>
      <c r="R25" s="2418"/>
    </row>
    <row r="26" spans="1:18" x14ac:dyDescent="0.2">
      <c r="A26" s="2436" t="s">
        <v>1999</v>
      </c>
      <c r="B26" s="2437">
        <v>80</v>
      </c>
      <c r="C26" s="2435"/>
      <c r="D26" s="2426">
        <v>1000000</v>
      </c>
      <c r="E26" s="2427">
        <v>0</v>
      </c>
      <c r="F26" s="2428">
        <f t="shared" si="1"/>
        <v>1000000</v>
      </c>
      <c r="G26" s="2429" t="s">
        <v>388</v>
      </c>
      <c r="H26" s="2429" t="s">
        <v>1997</v>
      </c>
      <c r="I26" s="2429" t="s">
        <v>390</v>
      </c>
      <c r="J26" s="2429" t="s">
        <v>390</v>
      </c>
      <c r="K26" s="2429" t="s">
        <v>390</v>
      </c>
      <c r="L26" s="2430" t="s">
        <v>390</v>
      </c>
      <c r="M26" s="2438">
        <v>2024</v>
      </c>
      <c r="N26" s="2418"/>
      <c r="O26" s="2418"/>
      <c r="P26" s="2418"/>
      <c r="Q26" s="2418"/>
      <c r="R26" s="2418"/>
    </row>
    <row r="27" spans="1:18" x14ac:dyDescent="0.2">
      <c r="A27" s="2439" t="s">
        <v>2391</v>
      </c>
      <c r="B27" s="2440">
        <v>12</v>
      </c>
      <c r="C27" s="2435"/>
      <c r="D27" s="2441">
        <v>1500000</v>
      </c>
      <c r="E27" s="2428">
        <v>0</v>
      </c>
      <c r="F27" s="2428">
        <f t="shared" si="1"/>
        <v>1500000</v>
      </c>
      <c r="G27" s="2429" t="s">
        <v>388</v>
      </c>
      <c r="H27" s="2429" t="s">
        <v>510</v>
      </c>
      <c r="I27" s="2429" t="s">
        <v>390</v>
      </c>
      <c r="J27" s="2429" t="s">
        <v>390</v>
      </c>
      <c r="K27" s="2429" t="s">
        <v>390</v>
      </c>
      <c r="L27" s="2430" t="s">
        <v>390</v>
      </c>
      <c r="M27" s="2438">
        <v>2024</v>
      </c>
      <c r="N27" s="2418"/>
      <c r="O27" s="2418"/>
      <c r="P27" s="2418"/>
      <c r="Q27" s="2418"/>
      <c r="R27" s="2418"/>
    </row>
    <row r="28" spans="1:18" ht="12.75" thickBot="1" x14ac:dyDescent="0.25">
      <c r="A28" s="2442" t="s">
        <v>2000</v>
      </c>
      <c r="B28" s="2443">
        <v>120</v>
      </c>
      <c r="C28" s="2435"/>
      <c r="D28" s="2444">
        <v>1600000</v>
      </c>
      <c r="E28" s="2445">
        <v>0</v>
      </c>
      <c r="F28" s="2445">
        <f t="shared" si="1"/>
        <v>1600000</v>
      </c>
      <c r="G28" s="2446" t="s">
        <v>388</v>
      </c>
      <c r="H28" s="2446" t="s">
        <v>1997</v>
      </c>
      <c r="I28" s="2446" t="s">
        <v>390</v>
      </c>
      <c r="J28" s="2446" t="s">
        <v>390</v>
      </c>
      <c r="K28" s="2446" t="s">
        <v>390</v>
      </c>
      <c r="L28" s="2447" t="s">
        <v>390</v>
      </c>
      <c r="M28" s="2448">
        <v>2024</v>
      </c>
      <c r="N28" s="2418"/>
      <c r="O28" s="2418"/>
      <c r="P28" s="2418"/>
      <c r="Q28" s="2418"/>
      <c r="R28" s="2418"/>
    </row>
    <row r="29" spans="1:18" x14ac:dyDescent="0.2">
      <c r="A29" s="2418"/>
      <c r="B29" s="2418"/>
      <c r="C29" s="2418"/>
      <c r="D29" s="2418"/>
      <c r="E29" s="2418"/>
      <c r="F29" s="2418"/>
      <c r="G29" s="2418"/>
      <c r="H29" s="2418"/>
      <c r="I29" s="2418"/>
      <c r="J29" s="2418"/>
      <c r="K29" s="2418"/>
      <c r="L29" s="2418"/>
      <c r="M29" s="2418"/>
      <c r="N29" s="2418"/>
      <c r="O29" s="2418"/>
      <c r="P29" s="2418"/>
      <c r="Q29" s="2418"/>
      <c r="R29" s="2418"/>
    </row>
    <row r="30" spans="1:18" x14ac:dyDescent="0.2">
      <c r="A30" s="2419" t="s">
        <v>415</v>
      </c>
      <c r="B30" s="2420">
        <f>SUM(B21:B28)</f>
        <v>1281</v>
      </c>
      <c r="C30" s="2418"/>
      <c r="D30" s="2421">
        <f>SUM(D21:D28)</f>
        <v>16400000</v>
      </c>
      <c r="E30" s="2421">
        <f>SUM(E21:E28)</f>
        <v>5530000</v>
      </c>
      <c r="F30" s="2421">
        <f>SUM(F21:F28)</f>
        <v>10870000</v>
      </c>
      <c r="G30" s="2418"/>
      <c r="H30" s="2418"/>
      <c r="I30" s="2418"/>
      <c r="J30" s="2418"/>
      <c r="K30" s="2418"/>
      <c r="L30" s="2418"/>
      <c r="M30" s="2418"/>
      <c r="N30" s="2418"/>
      <c r="O30" s="2418"/>
      <c r="P30" s="2418"/>
      <c r="Q30" s="2418"/>
      <c r="R30" s="2418"/>
    </row>
    <row r="31" spans="1:18" x14ac:dyDescent="0.2">
      <c r="A31" s="2418"/>
      <c r="B31" s="2418"/>
      <c r="C31" s="2418"/>
      <c r="D31" s="2418"/>
      <c r="E31" s="2421"/>
      <c r="F31" s="2418"/>
      <c r="G31" s="2418"/>
      <c r="H31" s="2418"/>
      <c r="I31" s="2418"/>
      <c r="J31" s="2418"/>
      <c r="K31" s="2418"/>
      <c r="L31" s="2418"/>
      <c r="M31" s="2418"/>
      <c r="N31" s="2418"/>
      <c r="O31" s="2418"/>
      <c r="P31" s="2418"/>
      <c r="Q31" s="2418"/>
      <c r="R31" s="2418"/>
    </row>
    <row r="32" spans="1:18" ht="12.75" thickBot="1" x14ac:dyDescent="0.25">
      <c r="A32" s="2422" t="s">
        <v>425</v>
      </c>
      <c r="B32" s="2418"/>
      <c r="C32" s="2418"/>
      <c r="D32" s="2418"/>
      <c r="E32" s="2421"/>
      <c r="F32" s="2418"/>
      <c r="G32" s="2418"/>
      <c r="H32" s="2418"/>
      <c r="I32" s="2418"/>
      <c r="J32" s="2418"/>
      <c r="K32" s="2418"/>
      <c r="L32" s="2418"/>
      <c r="M32" s="2418"/>
      <c r="N32" s="2418"/>
      <c r="O32" s="2418"/>
      <c r="P32" s="2418"/>
      <c r="Q32" s="2418"/>
      <c r="R32" s="2418"/>
    </row>
    <row r="33" spans="1:18" ht="12.75" thickBot="1" x14ac:dyDescent="0.25">
      <c r="A33" s="2449"/>
      <c r="B33" s="2418"/>
      <c r="C33" s="2418"/>
      <c r="D33" s="2872" t="s">
        <v>369</v>
      </c>
      <c r="E33" s="2877" t="s">
        <v>426</v>
      </c>
      <c r="F33" s="2878" t="s">
        <v>417</v>
      </c>
      <c r="G33" s="2878" t="s">
        <v>374</v>
      </c>
      <c r="H33" s="2878" t="s">
        <v>378</v>
      </c>
      <c r="I33" s="2878" t="s">
        <v>379</v>
      </c>
      <c r="J33" s="2878" t="s">
        <v>380</v>
      </c>
      <c r="K33" s="2878" t="s">
        <v>381</v>
      </c>
      <c r="L33" s="2879" t="s">
        <v>138</v>
      </c>
      <c r="M33" s="2880" t="s">
        <v>1857</v>
      </c>
      <c r="N33" s="2418"/>
      <c r="O33" s="2418"/>
      <c r="P33" s="2418"/>
      <c r="Q33" s="2418"/>
      <c r="R33" s="2418"/>
    </row>
    <row r="34" spans="1:18" x14ac:dyDescent="0.2">
      <c r="A34" s="2450"/>
      <c r="B34" s="2418"/>
      <c r="C34" s="2418"/>
      <c r="D34" s="2451"/>
      <c r="E34" s="2452"/>
      <c r="F34" s="2453"/>
      <c r="G34" s="2454"/>
      <c r="H34" s="2454"/>
      <c r="I34" s="2455"/>
      <c r="J34" s="2455"/>
      <c r="K34" s="2455"/>
      <c r="L34" s="2456"/>
      <c r="M34" s="2457"/>
      <c r="N34" s="2418"/>
      <c r="O34" s="2418"/>
      <c r="P34" s="2418"/>
      <c r="Q34" s="2418"/>
      <c r="R34" s="2418"/>
    </row>
    <row r="35" spans="1:18" x14ac:dyDescent="0.2">
      <c r="A35" s="2450"/>
      <c r="B35" s="2418"/>
      <c r="C35" s="2418"/>
      <c r="D35" s="2451"/>
      <c r="E35" s="2452"/>
      <c r="F35" s="2453"/>
      <c r="G35" s="2454"/>
      <c r="H35" s="2454"/>
      <c r="I35" s="2455"/>
      <c r="J35" s="2455"/>
      <c r="K35" s="2455"/>
      <c r="L35" s="2456"/>
      <c r="M35" s="2457"/>
      <c r="N35" s="2418"/>
      <c r="O35" s="2418"/>
      <c r="P35" s="2418"/>
      <c r="Q35" s="2418"/>
      <c r="R35" s="2418"/>
    </row>
    <row r="36" spans="1:18" ht="12.75" thickBot="1" x14ac:dyDescent="0.25">
      <c r="A36" s="2458"/>
      <c r="B36" s="2418"/>
      <c r="C36" s="2418"/>
      <c r="D36" s="2459"/>
      <c r="E36" s="2460"/>
      <c r="F36" s="2461"/>
      <c r="G36" s="2462"/>
      <c r="H36" s="2463"/>
      <c r="I36" s="2462"/>
      <c r="J36" s="2462"/>
      <c r="K36" s="2462"/>
      <c r="L36" s="2464"/>
      <c r="M36" s="2465"/>
      <c r="N36" s="2418"/>
      <c r="O36" s="2418"/>
      <c r="P36" s="2418"/>
      <c r="Q36" s="2418"/>
      <c r="R36" s="2418"/>
    </row>
    <row r="37" spans="1:18" x14ac:dyDescent="0.2">
      <c r="A37" s="2418"/>
      <c r="B37" s="2418"/>
      <c r="C37" s="2418"/>
      <c r="D37" s="2421"/>
      <c r="E37" s="2421"/>
      <c r="F37" s="2421"/>
      <c r="G37" s="2418"/>
      <c r="H37" s="2418"/>
      <c r="I37" s="2418"/>
      <c r="J37" s="2418"/>
      <c r="K37" s="2418"/>
      <c r="L37" s="2418"/>
      <c r="M37" s="2418"/>
      <c r="N37" s="2418"/>
      <c r="O37" s="2418"/>
      <c r="P37" s="2418"/>
      <c r="Q37" s="2418"/>
      <c r="R37" s="2418"/>
    </row>
    <row r="38" spans="1:18" x14ac:dyDescent="0.2">
      <c r="A38" s="2419" t="s">
        <v>415</v>
      </c>
      <c r="B38" s="2418"/>
      <c r="C38" s="2418"/>
      <c r="D38" s="2421">
        <f>SUM(D34:D36)</f>
        <v>0</v>
      </c>
      <c r="E38" s="2421">
        <f>SUM(E34:E36)</f>
        <v>0</v>
      </c>
      <c r="F38" s="2421">
        <f>SUM(F34:F36)</f>
        <v>0</v>
      </c>
      <c r="G38" s="2421"/>
      <c r="H38" s="2421"/>
      <c r="I38" s="2418"/>
      <c r="J38" s="2418"/>
      <c r="K38" s="2418"/>
      <c r="L38" s="2418"/>
      <c r="M38" s="2418"/>
      <c r="N38" s="2418"/>
      <c r="O38" s="2418"/>
      <c r="P38" s="2418"/>
      <c r="Q38" s="2418"/>
      <c r="R38" s="2418"/>
    </row>
    <row r="39" spans="1:18" x14ac:dyDescent="0.2">
      <c r="A39" s="2418"/>
      <c r="B39" s="2418"/>
      <c r="C39" s="2418"/>
      <c r="D39" s="2418"/>
      <c r="E39" s="2418"/>
      <c r="F39" s="2418"/>
      <c r="G39" s="2418"/>
      <c r="H39" s="2418"/>
      <c r="I39" s="2418"/>
      <c r="J39" s="2418"/>
      <c r="K39" s="2418"/>
      <c r="L39" s="2418"/>
      <c r="M39" s="2418"/>
      <c r="N39" s="2418"/>
      <c r="O39" s="2418"/>
      <c r="P39" s="2418"/>
      <c r="Q39" s="2418"/>
      <c r="R39" s="2418"/>
    </row>
    <row r="40" spans="1:18" x14ac:dyDescent="0.2">
      <c r="A40" s="2418"/>
      <c r="B40" s="2418"/>
      <c r="C40" s="2418"/>
      <c r="D40" s="2418"/>
      <c r="E40" s="2418"/>
      <c r="F40" s="2418"/>
      <c r="G40" s="2418"/>
      <c r="H40" s="2418"/>
      <c r="I40" s="2418"/>
      <c r="J40" s="2418"/>
      <c r="K40" s="2418"/>
      <c r="L40" s="2418"/>
      <c r="M40" s="2418"/>
      <c r="N40" s="2418"/>
      <c r="O40" s="2418"/>
      <c r="P40" s="2418"/>
      <c r="Q40" s="2418"/>
      <c r="R40" s="2418"/>
    </row>
    <row r="41" spans="1:18" ht="12.75" thickBot="1" x14ac:dyDescent="0.25">
      <c r="A41" s="2422" t="s">
        <v>435</v>
      </c>
      <c r="B41" s="2418"/>
      <c r="C41" s="2418"/>
      <c r="D41" s="2418"/>
      <c r="E41" s="2421"/>
      <c r="F41" s="2418"/>
      <c r="G41" s="2418"/>
      <c r="H41" s="2418"/>
      <c r="I41" s="2418"/>
      <c r="J41" s="2418"/>
      <c r="K41" s="2418"/>
      <c r="L41" s="2418"/>
      <c r="M41" s="2418"/>
      <c r="N41" s="2418"/>
      <c r="O41" s="2418"/>
      <c r="P41" s="2418"/>
      <c r="Q41" s="2418"/>
      <c r="R41" s="2418"/>
    </row>
    <row r="42" spans="1:18" ht="34.9" customHeight="1" thickBot="1" x14ac:dyDescent="0.25">
      <c r="A42" s="2449"/>
      <c r="B42" s="2418"/>
      <c r="C42" s="2418"/>
      <c r="D42" s="2881" t="s">
        <v>369</v>
      </c>
      <c r="E42" s="2882" t="s">
        <v>1861</v>
      </c>
      <c r="F42" s="2875" t="s">
        <v>417</v>
      </c>
      <c r="G42" s="2876" t="s">
        <v>374</v>
      </c>
      <c r="H42" s="2875" t="s">
        <v>378</v>
      </c>
      <c r="I42" s="2875" t="s">
        <v>379</v>
      </c>
      <c r="J42" s="2875" t="s">
        <v>380</v>
      </c>
      <c r="K42" s="2875" t="s">
        <v>381</v>
      </c>
      <c r="L42" s="2876" t="s">
        <v>138</v>
      </c>
      <c r="M42" s="2870" t="s">
        <v>1857</v>
      </c>
      <c r="N42" s="2418"/>
      <c r="O42" s="2418"/>
      <c r="P42" s="2418"/>
      <c r="Q42" s="2418"/>
      <c r="R42" s="2418"/>
    </row>
    <row r="43" spans="1:18" x14ac:dyDescent="0.2">
      <c r="A43" s="2466" t="s">
        <v>2001</v>
      </c>
      <c r="B43" s="2418"/>
      <c r="C43" s="2418"/>
      <c r="D43" s="2467">
        <v>3500000</v>
      </c>
      <c r="E43" s="2468">
        <v>0</v>
      </c>
      <c r="F43" s="2469">
        <v>2500000</v>
      </c>
      <c r="G43" s="2470" t="s">
        <v>388</v>
      </c>
      <c r="H43" s="2471" t="s">
        <v>2002</v>
      </c>
      <c r="I43" s="2471" t="s">
        <v>386</v>
      </c>
      <c r="J43" s="2471" t="s">
        <v>386</v>
      </c>
      <c r="K43" s="2471" t="s">
        <v>386</v>
      </c>
      <c r="L43" s="2470" t="s">
        <v>390</v>
      </c>
      <c r="M43" s="2472" t="s">
        <v>2392</v>
      </c>
      <c r="N43" s="2418"/>
      <c r="O43" s="2418"/>
      <c r="P43" s="2418"/>
      <c r="Q43" s="2418"/>
      <c r="R43" s="2418"/>
    </row>
    <row r="44" spans="1:18" x14ac:dyDescent="0.2">
      <c r="A44" s="2466" t="s">
        <v>1862</v>
      </c>
      <c r="B44" s="2418"/>
      <c r="C44" s="2418"/>
      <c r="D44" s="2473">
        <v>110000000</v>
      </c>
      <c r="E44" s="2474">
        <f>69000000+10000000</f>
        <v>79000000</v>
      </c>
      <c r="F44" s="2475">
        <f>D44-E44</f>
        <v>31000000</v>
      </c>
      <c r="G44" s="2476" t="s">
        <v>1863</v>
      </c>
      <c r="H44" s="738" t="s">
        <v>1864</v>
      </c>
      <c r="I44" s="738" t="s">
        <v>386</v>
      </c>
      <c r="J44" s="738" t="s">
        <v>386</v>
      </c>
      <c r="K44" s="738" t="s">
        <v>386</v>
      </c>
      <c r="L44" s="2476" t="s">
        <v>1865</v>
      </c>
      <c r="M44" s="2477" t="s">
        <v>2392</v>
      </c>
      <c r="N44" s="2418"/>
      <c r="O44" s="2418"/>
      <c r="P44" s="2418"/>
      <c r="Q44" s="2418"/>
      <c r="R44" s="2418"/>
    </row>
    <row r="45" spans="1:18" x14ac:dyDescent="0.2">
      <c r="A45" s="2466" t="s">
        <v>437</v>
      </c>
      <c r="B45" s="2418"/>
      <c r="C45" s="2418"/>
      <c r="D45" s="2473">
        <v>2000000</v>
      </c>
      <c r="E45" s="2474">
        <f>0.5*D45</f>
        <v>1000000</v>
      </c>
      <c r="F45" s="2475">
        <f>D45-E45</f>
        <v>1000000</v>
      </c>
      <c r="G45" s="2476" t="s">
        <v>388</v>
      </c>
      <c r="H45" s="738" t="s">
        <v>1866</v>
      </c>
      <c r="I45" s="738" t="s">
        <v>390</v>
      </c>
      <c r="J45" s="738" t="s">
        <v>390</v>
      </c>
      <c r="K45" s="738" t="s">
        <v>390</v>
      </c>
      <c r="L45" s="2476" t="s">
        <v>390</v>
      </c>
      <c r="M45" s="2477" t="s">
        <v>1867</v>
      </c>
      <c r="N45" s="2418"/>
      <c r="O45" s="2418"/>
      <c r="P45" s="2418"/>
      <c r="Q45" s="2418"/>
      <c r="R45" s="2418"/>
    </row>
    <row r="46" spans="1:18" x14ac:dyDescent="0.2">
      <c r="A46" s="2466" t="s">
        <v>1870</v>
      </c>
      <c r="B46" s="2418"/>
      <c r="C46" s="2418"/>
      <c r="D46" s="2473">
        <v>3000000</v>
      </c>
      <c r="E46" s="2474">
        <v>1500000</v>
      </c>
      <c r="F46" s="2475">
        <f>D46-E46</f>
        <v>1500000</v>
      </c>
      <c r="G46" s="2476" t="s">
        <v>388</v>
      </c>
      <c r="H46" s="738" t="s">
        <v>1866</v>
      </c>
      <c r="I46" s="738" t="s">
        <v>386</v>
      </c>
      <c r="J46" s="738" t="s">
        <v>386</v>
      </c>
      <c r="K46" s="738" t="s">
        <v>386</v>
      </c>
      <c r="L46" s="2476" t="s">
        <v>386</v>
      </c>
      <c r="M46" s="2477" t="s">
        <v>1867</v>
      </c>
      <c r="N46" s="2418"/>
      <c r="O46" s="2418"/>
      <c r="P46" s="2418"/>
      <c r="Q46" s="2418"/>
      <c r="R46" s="2418"/>
    </row>
    <row r="47" spans="1:18" x14ac:dyDescent="0.2">
      <c r="A47" s="2466" t="s">
        <v>2003</v>
      </c>
      <c r="B47" s="2418"/>
      <c r="C47" s="2418"/>
      <c r="D47" s="2478">
        <v>1500000</v>
      </c>
      <c r="E47" s="2479">
        <f>F47</f>
        <v>750000</v>
      </c>
      <c r="F47" s="2480">
        <f>D47/2</f>
        <v>750000</v>
      </c>
      <c r="G47" s="2481" t="s">
        <v>388</v>
      </c>
      <c r="H47" s="738"/>
      <c r="I47" s="738"/>
      <c r="J47" s="738"/>
      <c r="K47" s="738"/>
      <c r="L47" s="2476"/>
      <c r="M47" s="2477" t="s">
        <v>1867</v>
      </c>
      <c r="N47" s="2418"/>
      <c r="O47" s="2418"/>
      <c r="P47" s="2418"/>
      <c r="Q47" s="2418"/>
      <c r="R47" s="2418"/>
    </row>
    <row r="48" spans="1:18" x14ac:dyDescent="0.2">
      <c r="A48" s="2466" t="s">
        <v>1685</v>
      </c>
      <c r="B48" s="2418"/>
      <c r="C48" s="2418"/>
      <c r="D48" s="2473">
        <v>85000000</v>
      </c>
      <c r="E48" s="2474">
        <v>25000000</v>
      </c>
      <c r="F48" s="2475">
        <v>70000000</v>
      </c>
      <c r="G48" s="2476" t="s">
        <v>388</v>
      </c>
      <c r="H48" s="738"/>
      <c r="I48" s="738" t="s">
        <v>390</v>
      </c>
      <c r="J48" s="738" t="s">
        <v>390</v>
      </c>
      <c r="K48" s="738" t="s">
        <v>390</v>
      </c>
      <c r="L48" s="2476" t="s">
        <v>390</v>
      </c>
      <c r="M48" s="2477" t="s">
        <v>2567</v>
      </c>
      <c r="N48" s="2418"/>
      <c r="O48" s="2418"/>
      <c r="P48" s="2418"/>
      <c r="Q48" s="2418"/>
      <c r="R48" s="2418"/>
    </row>
    <row r="49" spans="1:18" x14ac:dyDescent="0.2">
      <c r="A49" s="2482" t="s">
        <v>2393</v>
      </c>
      <c r="B49" s="2435"/>
      <c r="C49" s="2435"/>
      <c r="D49" s="2478">
        <v>2000000</v>
      </c>
      <c r="E49" s="2479">
        <v>2000000</v>
      </c>
      <c r="F49" s="2480">
        <v>2000000</v>
      </c>
      <c r="G49" s="2481" t="s">
        <v>388</v>
      </c>
      <c r="H49" s="2483" t="s">
        <v>1866</v>
      </c>
      <c r="I49" s="2483" t="s">
        <v>390</v>
      </c>
      <c r="J49" s="2483" t="s">
        <v>390</v>
      </c>
      <c r="K49" s="2483" t="s">
        <v>390</v>
      </c>
      <c r="L49" s="2481" t="s">
        <v>390</v>
      </c>
      <c r="M49" s="2484">
        <v>2024</v>
      </c>
      <c r="N49" s="2418"/>
      <c r="O49" s="2418"/>
      <c r="P49" s="2418"/>
      <c r="Q49" s="2418"/>
      <c r="R49" s="2418"/>
    </row>
    <row r="50" spans="1:18" ht="12.75" thickBot="1" x14ac:dyDescent="0.25">
      <c r="A50" s="2485" t="s">
        <v>439</v>
      </c>
      <c r="B50" s="2418"/>
      <c r="C50" s="2418"/>
      <c r="D50" s="2486">
        <v>7000000</v>
      </c>
      <c r="E50" s="2487">
        <f>0.5*D50</f>
        <v>3500000</v>
      </c>
      <c r="F50" s="2488">
        <f>D50-E50</f>
        <v>3500000</v>
      </c>
      <c r="G50" s="2489" t="s">
        <v>388</v>
      </c>
      <c r="H50" s="748" t="s">
        <v>431</v>
      </c>
      <c r="I50" s="748" t="s">
        <v>386</v>
      </c>
      <c r="J50" s="748" t="s">
        <v>386</v>
      </c>
      <c r="K50" s="748" t="s">
        <v>386</v>
      </c>
      <c r="L50" s="2489" t="s">
        <v>386</v>
      </c>
      <c r="M50" s="2490" t="s">
        <v>1867</v>
      </c>
      <c r="N50" s="2418"/>
      <c r="O50" s="2418"/>
      <c r="P50" s="2418"/>
      <c r="Q50" s="2418"/>
      <c r="R50" s="2418"/>
    </row>
    <row r="51" spans="1:18" x14ac:dyDescent="0.2">
      <c r="A51" s="2418"/>
      <c r="B51" s="2418"/>
      <c r="C51" s="2418"/>
      <c r="D51" s="2421"/>
      <c r="E51" s="2421"/>
      <c r="F51" s="2421"/>
      <c r="G51" s="2418"/>
      <c r="H51" s="2418"/>
      <c r="I51" s="2418"/>
      <c r="J51" s="2418"/>
      <c r="K51" s="2418"/>
      <c r="L51" s="2418"/>
      <c r="M51" s="2418"/>
      <c r="N51" s="2418"/>
      <c r="O51" s="2418"/>
      <c r="P51" s="2418"/>
      <c r="Q51" s="2418"/>
      <c r="R51" s="2418"/>
    </row>
    <row r="52" spans="1:18" x14ac:dyDescent="0.2">
      <c r="A52" s="2419" t="s">
        <v>415</v>
      </c>
      <c r="B52" s="2418"/>
      <c r="C52" s="2418"/>
      <c r="D52" s="2421">
        <f>SUM(D43:D50)</f>
        <v>214000000</v>
      </c>
      <c r="E52" s="2421">
        <f>SUM(E43:E50)</f>
        <v>112750000</v>
      </c>
      <c r="F52" s="2421">
        <f>SUM(F43:F50)</f>
        <v>112250000</v>
      </c>
      <c r="G52" s="2421"/>
      <c r="H52" s="2418"/>
      <c r="I52" s="2418"/>
      <c r="J52" s="2418"/>
      <c r="K52" s="2418"/>
      <c r="L52" s="2418"/>
      <c r="M52" s="2418"/>
      <c r="N52" s="2418"/>
      <c r="O52" s="2418"/>
      <c r="P52" s="2418"/>
      <c r="Q52" s="2418"/>
      <c r="R52" s="2418"/>
    </row>
    <row r="53" spans="1:18" x14ac:dyDescent="0.2">
      <c r="A53" s="2418"/>
      <c r="B53" s="2418"/>
      <c r="C53" s="2418"/>
      <c r="D53" s="2418"/>
      <c r="E53" s="2418"/>
      <c r="F53" s="2418"/>
      <c r="G53" s="2418"/>
      <c r="H53" s="2418"/>
      <c r="I53" s="2418"/>
      <c r="J53" s="2418"/>
      <c r="K53" s="2418"/>
      <c r="L53" s="2418"/>
      <c r="M53" s="2418"/>
      <c r="N53" s="2418"/>
      <c r="O53" s="2418"/>
      <c r="P53" s="2418"/>
      <c r="Q53" s="2418"/>
      <c r="R53" s="2418"/>
    </row>
    <row r="54" spans="1:18" x14ac:dyDescent="0.2">
      <c r="A54" s="2418"/>
      <c r="B54" s="2418"/>
      <c r="C54" s="2418"/>
      <c r="D54" s="2418"/>
      <c r="E54" s="2418"/>
      <c r="F54" s="2418"/>
      <c r="G54" s="2418"/>
      <c r="H54" s="2418"/>
      <c r="I54" s="2418"/>
      <c r="J54" s="2418"/>
      <c r="K54" s="2418"/>
      <c r="L54" s="2418"/>
      <c r="M54" s="2418"/>
      <c r="N54" s="2418"/>
      <c r="O54" s="2418"/>
      <c r="P54" s="2418"/>
      <c r="Q54" s="2418"/>
      <c r="R54" s="2418"/>
    </row>
    <row r="55" spans="1:18" ht="12.75" thickBot="1" x14ac:dyDescent="0.25">
      <c r="A55" s="2422" t="s">
        <v>440</v>
      </c>
      <c r="B55" s="2418"/>
      <c r="C55" s="2418"/>
      <c r="D55" s="2418"/>
      <c r="E55" s="2421"/>
      <c r="F55" s="2418"/>
      <c r="G55" s="2418"/>
      <c r="H55" s="2418"/>
      <c r="I55" s="2418"/>
      <c r="J55" s="2418"/>
      <c r="K55" s="2418"/>
      <c r="L55" s="2418"/>
      <c r="M55" s="2418"/>
      <c r="N55" s="2418"/>
      <c r="O55" s="2418"/>
      <c r="P55" s="2418"/>
      <c r="Q55" s="2418"/>
      <c r="R55" s="2418"/>
    </row>
    <row r="56" spans="1:18" ht="12.75" thickBot="1" x14ac:dyDescent="0.25">
      <c r="A56" s="2449"/>
      <c r="B56" s="2418"/>
      <c r="C56" s="2418"/>
      <c r="D56" s="2872" t="s">
        <v>369</v>
      </c>
      <c r="E56" s="2877" t="s">
        <v>426</v>
      </c>
      <c r="F56" s="2878" t="s">
        <v>417</v>
      </c>
      <c r="G56" s="2880" t="s">
        <v>374</v>
      </c>
      <c r="H56" s="2878" t="s">
        <v>378</v>
      </c>
      <c r="I56" s="2878" t="s">
        <v>379</v>
      </c>
      <c r="J56" s="2878" t="s">
        <v>380</v>
      </c>
      <c r="K56" s="2878" t="s">
        <v>381</v>
      </c>
      <c r="L56" s="2879" t="s">
        <v>138</v>
      </c>
      <c r="M56" s="2880" t="s">
        <v>1857</v>
      </c>
      <c r="N56" s="2418"/>
      <c r="O56" s="2418"/>
      <c r="P56" s="2418"/>
      <c r="Q56" s="2418"/>
      <c r="R56" s="2418"/>
    </row>
    <row r="57" spans="1:18" x14ac:dyDescent="0.2">
      <c r="A57" s="2491" t="s">
        <v>1871</v>
      </c>
      <c r="B57" s="2418"/>
      <c r="C57" s="2418"/>
      <c r="D57" s="2492">
        <v>36300000</v>
      </c>
      <c r="E57" s="2493">
        <v>30398511.57</v>
      </c>
      <c r="F57" s="2494">
        <f>D57-E57</f>
        <v>5901488.4299999997</v>
      </c>
      <c r="G57" s="2495" t="s">
        <v>388</v>
      </c>
      <c r="H57" s="2496" t="s">
        <v>1970</v>
      </c>
      <c r="I57" s="2497" t="s">
        <v>386</v>
      </c>
      <c r="J57" s="2497" t="s">
        <v>386</v>
      </c>
      <c r="K57" s="2497" t="s">
        <v>386</v>
      </c>
      <c r="L57" s="2498" t="s">
        <v>386</v>
      </c>
      <c r="M57" s="2499">
        <v>2024</v>
      </c>
      <c r="N57" s="2418"/>
      <c r="O57" s="2418"/>
      <c r="P57" s="2418"/>
      <c r="Q57" s="2418"/>
      <c r="R57" s="2418"/>
    </row>
    <row r="58" spans="1:18" x14ac:dyDescent="0.2">
      <c r="A58" s="2491" t="s">
        <v>2005</v>
      </c>
      <c r="B58" s="2418"/>
      <c r="C58" s="2418"/>
      <c r="D58" s="2492">
        <v>35000000</v>
      </c>
      <c r="E58" s="2493">
        <v>19250000</v>
      </c>
      <c r="F58" s="2494">
        <f>D58-E58</f>
        <v>15750000</v>
      </c>
      <c r="G58" s="2497" t="s">
        <v>388</v>
      </c>
      <c r="H58" s="2496" t="s">
        <v>2006</v>
      </c>
      <c r="I58" s="2497" t="s">
        <v>386</v>
      </c>
      <c r="J58" s="2497" t="s">
        <v>386</v>
      </c>
      <c r="K58" s="2497" t="s">
        <v>386</v>
      </c>
      <c r="L58" s="2498" t="s">
        <v>386</v>
      </c>
      <c r="M58" s="2499">
        <v>2024</v>
      </c>
      <c r="N58" s="2418"/>
      <c r="O58" s="2418"/>
      <c r="P58" s="2418"/>
      <c r="Q58" s="2418"/>
      <c r="R58" s="2418"/>
    </row>
    <row r="59" spans="1:18" x14ac:dyDescent="0.2">
      <c r="A59" s="2491" t="s">
        <v>2394</v>
      </c>
      <c r="B59" s="2418"/>
      <c r="C59" s="2418"/>
      <c r="D59" s="2492" t="s">
        <v>2395</v>
      </c>
      <c r="E59" s="2493">
        <v>0</v>
      </c>
      <c r="F59" s="2494" t="s">
        <v>2396</v>
      </c>
      <c r="G59" s="2497" t="s">
        <v>2397</v>
      </c>
      <c r="H59" s="2496"/>
      <c r="I59" s="2497" t="s">
        <v>390</v>
      </c>
      <c r="J59" s="2497" t="s">
        <v>390</v>
      </c>
      <c r="K59" s="2497" t="s">
        <v>390</v>
      </c>
      <c r="L59" s="2498" t="s">
        <v>390</v>
      </c>
      <c r="M59" s="2500">
        <v>2024</v>
      </c>
      <c r="N59" s="2418"/>
      <c r="O59" s="2418"/>
      <c r="P59" s="2418"/>
      <c r="Q59" s="2418"/>
      <c r="R59" s="2418"/>
    </row>
    <row r="60" spans="1:18" x14ac:dyDescent="0.2">
      <c r="A60" s="2491" t="s">
        <v>2398</v>
      </c>
      <c r="B60" s="2418"/>
      <c r="C60" s="2418"/>
      <c r="D60" s="2501">
        <v>4500000</v>
      </c>
      <c r="E60" s="2502">
        <v>0</v>
      </c>
      <c r="F60" s="2503">
        <v>4500000</v>
      </c>
      <c r="G60" s="2504" t="s">
        <v>388</v>
      </c>
      <c r="H60" s="2505" t="s">
        <v>2399</v>
      </c>
      <c r="I60" s="2504" t="s">
        <v>386</v>
      </c>
      <c r="J60" s="2504" t="s">
        <v>386</v>
      </c>
      <c r="K60" s="2504" t="s">
        <v>386</v>
      </c>
      <c r="L60" s="2506" t="s">
        <v>390</v>
      </c>
      <c r="M60" s="2507">
        <v>2024</v>
      </c>
      <c r="N60" s="2418"/>
      <c r="O60" s="2418"/>
      <c r="P60" s="2418"/>
      <c r="Q60" s="2418"/>
      <c r="R60" s="2418"/>
    </row>
    <row r="61" spans="1:18" ht="12.75" thickBot="1" x14ac:dyDescent="0.25">
      <c r="A61" s="2508" t="s">
        <v>2007</v>
      </c>
      <c r="B61" s="2418"/>
      <c r="C61" s="2418"/>
      <c r="D61" s="2509">
        <v>2300000</v>
      </c>
      <c r="E61" s="2510">
        <v>0</v>
      </c>
      <c r="F61" s="2511">
        <v>2300000</v>
      </c>
      <c r="G61" s="2512" t="s">
        <v>388</v>
      </c>
      <c r="H61" s="2513"/>
      <c r="I61" s="2512" t="s">
        <v>390</v>
      </c>
      <c r="J61" s="2512" t="s">
        <v>390</v>
      </c>
      <c r="K61" s="2512" t="s">
        <v>390</v>
      </c>
      <c r="L61" s="2514" t="s">
        <v>390</v>
      </c>
      <c r="M61" s="2515">
        <v>2024</v>
      </c>
      <c r="N61" s="2418"/>
      <c r="O61" s="2418"/>
      <c r="P61" s="2418"/>
      <c r="Q61" s="2418"/>
      <c r="R61" s="2418"/>
    </row>
    <row r="62" spans="1:18" x14ac:dyDescent="0.2">
      <c r="A62" s="2418"/>
      <c r="B62" s="2418"/>
      <c r="C62" s="2418"/>
      <c r="D62" s="2421"/>
      <c r="E62" s="2421"/>
      <c r="F62" s="2421"/>
      <c r="G62" s="2418"/>
      <c r="H62" s="2418"/>
      <c r="I62" s="2418"/>
      <c r="J62" s="2418"/>
      <c r="K62" s="2418"/>
      <c r="L62" s="2418"/>
      <c r="M62" s="2418"/>
      <c r="N62" s="2418"/>
      <c r="O62" s="2418"/>
      <c r="P62" s="2418"/>
      <c r="Q62" s="2418"/>
      <c r="R62" s="2418"/>
    </row>
    <row r="63" spans="1:18" x14ac:dyDescent="0.2">
      <c r="A63" s="2419" t="s">
        <v>415</v>
      </c>
      <c r="B63" s="2418"/>
      <c r="C63" s="2418"/>
      <c r="D63" s="2421">
        <f>SUM(D57:D61)+100000</f>
        <v>78200000</v>
      </c>
      <c r="E63" s="2421">
        <f>SUM(E57:E61)</f>
        <v>49648511.57</v>
      </c>
      <c r="F63" s="2421">
        <f>SUM(F57:F61)+100000</f>
        <v>28551488.43</v>
      </c>
      <c r="G63" s="2421"/>
      <c r="H63" s="2418"/>
      <c r="I63" s="2418"/>
      <c r="J63" s="2418"/>
      <c r="K63" s="2418"/>
      <c r="L63" s="2418"/>
      <c r="M63" s="2418"/>
      <c r="N63" s="2418"/>
      <c r="O63" s="2418"/>
      <c r="P63" s="2418"/>
      <c r="Q63" s="2418"/>
      <c r="R63" s="2418"/>
    </row>
    <row r="64" spans="1:18" x14ac:dyDescent="0.2">
      <c r="A64" s="2419"/>
      <c r="B64" s="2418"/>
      <c r="C64" s="2418"/>
      <c r="D64" s="2421"/>
      <c r="E64" s="2421"/>
      <c r="F64" s="2421"/>
      <c r="G64" s="2421"/>
      <c r="H64" s="2418"/>
      <c r="I64" s="2418"/>
      <c r="J64" s="2418"/>
      <c r="K64" s="2418"/>
      <c r="L64" s="2418"/>
      <c r="M64" s="2418"/>
      <c r="N64" s="2418"/>
      <c r="O64" s="2418"/>
      <c r="P64" s="2418"/>
      <c r="Q64" s="2418"/>
      <c r="R64" s="2418"/>
    </row>
    <row r="65" spans="1:18" x14ac:dyDescent="0.2">
      <c r="A65" s="2418"/>
      <c r="B65" s="2516" t="s">
        <v>446</v>
      </c>
      <c r="C65" s="2516"/>
      <c r="D65" s="2418"/>
      <c r="E65" s="2418"/>
      <c r="F65" s="2421"/>
      <c r="G65" s="2418"/>
      <c r="H65" s="2418"/>
      <c r="I65" s="2418"/>
      <c r="J65" s="2418"/>
      <c r="K65" s="2418"/>
      <c r="L65" s="2418"/>
      <c r="M65" s="2418"/>
      <c r="N65" s="2418"/>
      <c r="O65" s="2418"/>
      <c r="P65" s="2418"/>
      <c r="Q65" s="2418"/>
      <c r="R65" s="2418"/>
    </row>
    <row r="66" spans="1:18" x14ac:dyDescent="0.2">
      <c r="A66" s="2419" t="s">
        <v>448</v>
      </c>
      <c r="B66" s="2517">
        <f>D17+D30+D38+D52+D63</f>
        <v>402074700</v>
      </c>
      <c r="C66" s="2421"/>
      <c r="D66" s="2421"/>
      <c r="E66" s="2421"/>
      <c r="F66" s="2421"/>
      <c r="G66" s="2421"/>
      <c r="H66" s="2418"/>
      <c r="I66" s="2418"/>
      <c r="J66" s="2418"/>
      <c r="K66" s="2418"/>
      <c r="L66" s="2418"/>
      <c r="M66" s="2418"/>
      <c r="N66" s="2418"/>
      <c r="O66" s="2418"/>
      <c r="P66" s="2418"/>
      <c r="Q66" s="2418"/>
      <c r="R66" s="2418"/>
    </row>
    <row r="67" spans="1:18" x14ac:dyDescent="0.2">
      <c r="A67" s="2419" t="s">
        <v>449</v>
      </c>
      <c r="B67" s="2517">
        <f>E17+E30+E38+E52+E63</f>
        <v>243428511.56999999</v>
      </c>
      <c r="C67" s="2421"/>
      <c r="D67" s="2418"/>
      <c r="E67" s="2418"/>
      <c r="F67" s="2421"/>
      <c r="G67" s="2418"/>
      <c r="H67" s="2418"/>
      <c r="I67" s="2418"/>
      <c r="J67" s="2418"/>
      <c r="K67" s="2418"/>
      <c r="L67" s="2418"/>
      <c r="M67" s="2418"/>
      <c r="N67" s="2418"/>
      <c r="O67" s="2418"/>
      <c r="P67" s="2418"/>
      <c r="Q67" s="2418"/>
      <c r="R67" s="2418"/>
    </row>
    <row r="68" spans="1:18" x14ac:dyDescent="0.2">
      <c r="A68" s="2419" t="s">
        <v>450</v>
      </c>
      <c r="B68" s="2517">
        <f>B66-B67</f>
        <v>158646188.43000001</v>
      </c>
      <c r="C68" s="2421"/>
      <c r="D68" s="2418"/>
      <c r="E68" s="2418"/>
      <c r="F68" s="2418"/>
      <c r="G68" s="2418"/>
      <c r="H68" s="2418"/>
      <c r="I68" s="2418"/>
      <c r="J68" s="2418"/>
      <c r="K68" s="2418"/>
      <c r="L68" s="2418"/>
      <c r="M68" s="2418"/>
      <c r="N68" s="2418"/>
      <c r="O68" s="2418"/>
      <c r="P68" s="2418"/>
      <c r="Q68" s="2418"/>
      <c r="R68" s="2418"/>
    </row>
    <row r="69" spans="1:18" x14ac:dyDescent="0.2">
      <c r="A69" s="2518" t="s">
        <v>451</v>
      </c>
      <c r="B69" s="2517">
        <f>F17</f>
        <v>19474700</v>
      </c>
      <c r="C69" s="2519"/>
      <c r="D69" s="2418"/>
      <c r="E69" s="2418"/>
      <c r="F69" s="2418"/>
      <c r="G69" s="2418"/>
      <c r="H69" s="2418"/>
      <c r="I69" s="2418"/>
      <c r="J69" s="2418"/>
      <c r="K69" s="2418"/>
      <c r="L69" s="2418"/>
      <c r="M69" s="2418"/>
      <c r="N69" s="2418"/>
      <c r="O69" s="2418"/>
      <c r="P69" s="2418"/>
      <c r="Q69" s="2418"/>
      <c r="R69" s="2418"/>
    </row>
    <row r="70" spans="1:18" x14ac:dyDescent="0.2">
      <c r="A70" s="2518" t="s">
        <v>1875</v>
      </c>
      <c r="B70" s="2418"/>
      <c r="C70" s="2517">
        <f>F30</f>
        <v>10870000</v>
      </c>
      <c r="D70" s="2418"/>
      <c r="E70" s="2418"/>
      <c r="F70" s="2418"/>
      <c r="G70" s="2418"/>
      <c r="H70" s="2418"/>
      <c r="I70" s="2418"/>
      <c r="J70" s="2418"/>
      <c r="K70" s="2418"/>
      <c r="L70" s="2418"/>
      <c r="M70" s="2418"/>
      <c r="N70" s="2418"/>
      <c r="O70" s="2418"/>
      <c r="P70" s="2418"/>
      <c r="Q70" s="2418"/>
      <c r="R70" s="2418"/>
    </row>
    <row r="71" spans="1:18" x14ac:dyDescent="0.2">
      <c r="A71" s="2518" t="s">
        <v>453</v>
      </c>
      <c r="B71" s="2418"/>
      <c r="C71" s="2517">
        <f>F52</f>
        <v>112250000</v>
      </c>
      <c r="D71" s="2418"/>
      <c r="E71" s="2418"/>
      <c r="F71" s="2418"/>
      <c r="G71" s="2418"/>
      <c r="H71" s="2418"/>
      <c r="I71" s="2418"/>
      <c r="J71" s="2418"/>
      <c r="K71" s="2418"/>
      <c r="L71" s="2418"/>
      <c r="M71" s="2418"/>
      <c r="N71" s="2418"/>
      <c r="O71" s="2418"/>
      <c r="P71" s="2418"/>
      <c r="Q71" s="2418"/>
      <c r="R71" s="2418"/>
    </row>
    <row r="72" spans="1:18" x14ac:dyDescent="0.2">
      <c r="A72" s="2518" t="s">
        <v>454</v>
      </c>
      <c r="B72" s="2418"/>
      <c r="C72" s="2517">
        <f>F63</f>
        <v>28551488.43</v>
      </c>
      <c r="D72" s="2418"/>
      <c r="E72" s="2418"/>
      <c r="F72" s="2418"/>
      <c r="G72" s="2418"/>
      <c r="H72" s="2418"/>
      <c r="I72" s="2418"/>
      <c r="J72" s="2418"/>
      <c r="K72" s="2418"/>
      <c r="L72" s="2418"/>
      <c r="M72" s="2418"/>
      <c r="N72" s="2418"/>
      <c r="O72" s="2418"/>
      <c r="P72" s="2418"/>
      <c r="Q72" s="2418"/>
      <c r="R72" s="2418"/>
    </row>
    <row r="73" spans="1:18" x14ac:dyDescent="0.2">
      <c r="A73" s="2518" t="s">
        <v>455</v>
      </c>
      <c r="B73" s="2418"/>
      <c r="C73" s="2517">
        <f>F38</f>
        <v>0</v>
      </c>
      <c r="D73" s="2418"/>
      <c r="E73" s="2418"/>
      <c r="F73" s="2418"/>
      <c r="G73" s="2418"/>
      <c r="H73" s="2418"/>
      <c r="I73" s="2418"/>
      <c r="J73" s="2418"/>
      <c r="K73" s="2418"/>
      <c r="L73" s="2418"/>
      <c r="M73" s="2418"/>
      <c r="N73" s="2418"/>
      <c r="O73" s="2418"/>
      <c r="P73" s="2418"/>
      <c r="Q73" s="2418"/>
      <c r="R73" s="2418"/>
    </row>
    <row r="74" spans="1:18" x14ac:dyDescent="0.2">
      <c r="A74" s="2418"/>
      <c r="B74" s="2418"/>
      <c r="C74" s="2418"/>
      <c r="D74" s="2418"/>
      <c r="E74" s="2418"/>
      <c r="F74" s="2418"/>
      <c r="G74" s="2418"/>
      <c r="H74" s="2418"/>
      <c r="I74" s="2418"/>
      <c r="J74" s="2418"/>
      <c r="K74" s="2418"/>
      <c r="L74" s="2418"/>
      <c r="M74" s="2418"/>
      <c r="N74" s="2418"/>
      <c r="O74" s="2418"/>
      <c r="P74" s="2418"/>
      <c r="Q74" s="2418"/>
      <c r="R74" s="2418"/>
    </row>
    <row r="75" spans="1:18" x14ac:dyDescent="0.2">
      <c r="A75" s="2419" t="s">
        <v>1876</v>
      </c>
      <c r="B75" s="2517">
        <f>15000000*4</f>
        <v>60000000</v>
      </c>
      <c r="C75" s="2421"/>
      <c r="D75" s="2418"/>
      <c r="E75" s="2418"/>
      <c r="F75" s="2418"/>
      <c r="G75" s="2418"/>
      <c r="H75" s="2418"/>
      <c r="I75" s="2418"/>
      <c r="J75" s="2418"/>
      <c r="K75" s="2418"/>
      <c r="L75" s="2418"/>
      <c r="M75" s="2418"/>
      <c r="N75" s="2418"/>
      <c r="O75" s="2418"/>
      <c r="P75" s="2418"/>
      <c r="Q75" s="2418"/>
      <c r="R75" s="2418"/>
    </row>
    <row r="76" spans="1:18" x14ac:dyDescent="0.2">
      <c r="A76" s="2418"/>
      <c r="B76" s="2418"/>
      <c r="C76" s="2418"/>
      <c r="D76" s="2418"/>
      <c r="E76" s="2418"/>
      <c r="F76" s="2418"/>
      <c r="G76" s="2418"/>
      <c r="H76" s="2418"/>
      <c r="I76" s="2418"/>
      <c r="J76" s="2418"/>
      <c r="K76" s="2418"/>
      <c r="L76" s="2418"/>
      <c r="M76" s="2418"/>
      <c r="N76" s="2418"/>
      <c r="O76" s="2418"/>
      <c r="P76" s="2418"/>
      <c r="Q76" s="2418"/>
      <c r="R76" s="2418"/>
    </row>
    <row r="77" spans="1:18" x14ac:dyDescent="0.2">
      <c r="A77" s="2419" t="s">
        <v>457</v>
      </c>
      <c r="B77" s="2517">
        <f>B68-SUM(B75:B75)</f>
        <v>98646188.430000007</v>
      </c>
      <c r="C77" s="2517"/>
      <c r="D77" s="2418"/>
      <c r="E77" s="2418"/>
      <c r="F77" s="2418"/>
      <c r="G77" s="2418"/>
      <c r="H77" s="2418"/>
      <c r="I77" s="2418"/>
      <c r="J77" s="2418"/>
      <c r="K77" s="2418"/>
      <c r="L77" s="2418"/>
      <c r="M77" s="2418"/>
      <c r="N77" s="2418"/>
      <c r="O77" s="2418"/>
      <c r="P77" s="2418"/>
      <c r="Q77" s="2418"/>
      <c r="R77" s="2418"/>
    </row>
    <row r="78" spans="1:18" x14ac:dyDescent="0.2">
      <c r="A78" s="2418"/>
      <c r="B78" s="2418"/>
      <c r="C78" s="2418"/>
      <c r="D78" s="2418"/>
      <c r="E78" s="2418"/>
      <c r="F78" s="2418"/>
      <c r="G78" s="2418"/>
      <c r="H78" s="2418"/>
      <c r="I78" s="2418"/>
      <c r="J78" s="2418"/>
      <c r="K78" s="2418"/>
      <c r="L78" s="2418"/>
      <c r="M78" s="2418"/>
      <c r="N78" s="2418"/>
      <c r="O78" s="2418"/>
      <c r="P78" s="2418"/>
      <c r="Q78" s="2418"/>
      <c r="R78" s="2418"/>
    </row>
    <row r="79" spans="1:18" s="2521" customFormat="1" hidden="1" x14ac:dyDescent="0.2">
      <c r="A79" s="2520" t="s">
        <v>458</v>
      </c>
      <c r="C79" s="2522"/>
    </row>
    <row r="80" spans="1:18" s="2521" customFormat="1" hidden="1" x14ac:dyDescent="0.2">
      <c r="A80" s="2523" t="s">
        <v>459</v>
      </c>
      <c r="B80" s="2524">
        <v>40000000</v>
      </c>
      <c r="C80" s="2522"/>
      <c r="D80" s="2522"/>
    </row>
    <row r="81" spans="1:18" s="2521" customFormat="1" hidden="1" x14ac:dyDescent="0.2">
      <c r="A81" s="2523" t="s">
        <v>1877</v>
      </c>
      <c r="B81" s="2524">
        <v>105000000</v>
      </c>
      <c r="C81" s="2522"/>
    </row>
    <row r="82" spans="1:18" s="2521" customFormat="1" hidden="1" x14ac:dyDescent="0.2">
      <c r="A82" s="2523" t="s">
        <v>1878</v>
      </c>
      <c r="B82" s="2524">
        <v>36000000</v>
      </c>
      <c r="C82" s="2522"/>
    </row>
    <row r="83" spans="1:18" s="2521" customFormat="1" hidden="1" x14ac:dyDescent="0.2">
      <c r="A83" s="2525"/>
      <c r="B83" s="2522"/>
      <c r="C83" s="2522"/>
    </row>
    <row r="84" spans="1:18" s="2521" customFormat="1" hidden="1" x14ac:dyDescent="0.2">
      <c r="A84" s="2520" t="s">
        <v>463</v>
      </c>
      <c r="B84" s="2524">
        <f>SUM(B80:B82)</f>
        <v>181000000</v>
      </c>
      <c r="C84" s="2522"/>
    </row>
    <row r="85" spans="1:18" hidden="1" x14ac:dyDescent="0.2">
      <c r="A85" s="2419"/>
      <c r="B85" s="2421"/>
      <c r="C85" s="2421"/>
      <c r="D85" s="2418"/>
      <c r="E85" s="2418"/>
      <c r="F85" s="2418"/>
      <c r="G85" s="2418"/>
      <c r="H85" s="2418"/>
      <c r="I85" s="2418"/>
      <c r="J85" s="2418"/>
      <c r="K85" s="2418"/>
      <c r="L85" s="2418"/>
      <c r="M85" s="2418"/>
      <c r="N85" s="2418"/>
      <c r="O85" s="2418"/>
      <c r="P85" s="2418"/>
      <c r="Q85" s="2418"/>
      <c r="R85" s="2418"/>
    </row>
    <row r="86" spans="1:18" s="2529" customFormat="1" hidden="1" x14ac:dyDescent="0.2">
      <c r="A86" s="2526" t="s">
        <v>1879</v>
      </c>
      <c r="B86" s="2527">
        <f>13500000+5500000</f>
        <v>19000000</v>
      </c>
      <c r="C86" s="2528"/>
    </row>
    <row r="87" spans="1:18" hidden="1" x14ac:dyDescent="0.2">
      <c r="A87" s="2419"/>
      <c r="B87" s="2421"/>
      <c r="C87" s="2421"/>
      <c r="D87" s="2418"/>
      <c r="E87" s="2418"/>
      <c r="F87" s="2418"/>
      <c r="G87" s="2418"/>
      <c r="H87" s="2418"/>
      <c r="I87" s="2418"/>
      <c r="J87" s="2418"/>
      <c r="K87" s="2418"/>
      <c r="L87" s="2418"/>
      <c r="M87" s="2418"/>
      <c r="N87" s="2418"/>
      <c r="O87" s="2418"/>
      <c r="P87" s="2418"/>
      <c r="Q87" s="2418"/>
      <c r="R87" s="2418"/>
    </row>
    <row r="88" spans="1:18" hidden="1" x14ac:dyDescent="0.2">
      <c r="A88" s="2419" t="s">
        <v>1880</v>
      </c>
      <c r="B88" s="2517">
        <v>0</v>
      </c>
      <c r="C88" s="2421"/>
      <c r="D88" s="2418"/>
      <c r="E88" s="2418"/>
      <c r="F88" s="2418"/>
      <c r="G88" s="2418"/>
      <c r="H88" s="2418"/>
      <c r="I88" s="2418"/>
      <c r="J88" s="2418"/>
      <c r="K88" s="2418"/>
      <c r="L88" s="2418"/>
      <c r="M88" s="2418"/>
      <c r="N88" s="2418"/>
      <c r="O88" s="2418"/>
      <c r="P88" s="2418"/>
      <c r="Q88" s="2418"/>
      <c r="R88" s="2418"/>
    </row>
    <row r="89" spans="1:18" hidden="1" x14ac:dyDescent="0.2">
      <c r="A89" s="2418"/>
      <c r="B89" s="2421"/>
      <c r="C89" s="2421"/>
      <c r="D89" s="2418"/>
      <c r="E89" s="2418"/>
      <c r="F89" s="2418"/>
      <c r="G89" s="2418"/>
      <c r="H89" s="2418"/>
      <c r="I89" s="2418"/>
      <c r="J89" s="2418"/>
      <c r="K89" s="2418"/>
      <c r="L89" s="2418"/>
      <c r="M89" s="2418"/>
      <c r="N89" s="2418"/>
      <c r="O89" s="2418"/>
      <c r="P89" s="2418"/>
      <c r="Q89" s="2418"/>
      <c r="R89" s="2418"/>
    </row>
    <row r="90" spans="1:18" hidden="1" x14ac:dyDescent="0.2">
      <c r="A90" s="2419" t="s">
        <v>1881</v>
      </c>
      <c r="B90" s="2517">
        <v>4000000</v>
      </c>
      <c r="C90" s="2421"/>
      <c r="D90" s="2418"/>
      <c r="E90" s="2418"/>
      <c r="F90" s="2418"/>
      <c r="G90" s="2418"/>
      <c r="H90" s="2418"/>
      <c r="I90" s="2418"/>
      <c r="J90" s="2418"/>
      <c r="K90" s="2418"/>
      <c r="L90" s="2418"/>
      <c r="M90" s="2418"/>
      <c r="N90" s="2418"/>
      <c r="O90" s="2418"/>
      <c r="P90" s="2418"/>
      <c r="Q90" s="2418"/>
      <c r="R90" s="2418"/>
    </row>
    <row r="91" spans="1:18" hidden="1" x14ac:dyDescent="0.2">
      <c r="A91" s="2418"/>
      <c r="B91" s="2421"/>
      <c r="C91" s="2421"/>
      <c r="D91" s="2418"/>
      <c r="E91" s="2418"/>
      <c r="F91" s="2418"/>
      <c r="G91" s="2418"/>
      <c r="H91" s="2418"/>
      <c r="I91" s="2418"/>
      <c r="J91" s="2418"/>
      <c r="K91" s="2418"/>
      <c r="L91" s="2418"/>
      <c r="M91" s="2418"/>
      <c r="N91" s="2418"/>
      <c r="O91" s="2418"/>
      <c r="P91" s="2418"/>
      <c r="Q91" s="2418"/>
      <c r="R91" s="2418"/>
    </row>
    <row r="92" spans="1:18" hidden="1" x14ac:dyDescent="0.2">
      <c r="A92" s="2419" t="s">
        <v>1882</v>
      </c>
      <c r="B92" s="2517">
        <f>SUM(B84,B86,B88,B90)</f>
        <v>204000000</v>
      </c>
      <c r="C92" s="2418"/>
      <c r="D92" s="2418"/>
      <c r="E92" s="2418"/>
      <c r="F92" s="2418"/>
      <c r="G92" s="2418"/>
      <c r="H92" s="2418"/>
      <c r="I92" s="2418"/>
      <c r="J92" s="2418"/>
      <c r="K92" s="2418"/>
      <c r="L92" s="2418"/>
      <c r="M92" s="2418"/>
      <c r="N92" s="2418"/>
      <c r="O92" s="2418"/>
      <c r="P92" s="2418"/>
      <c r="Q92" s="2418"/>
      <c r="R92" s="2418"/>
    </row>
    <row r="93" spans="1:18" hidden="1" x14ac:dyDescent="0.2">
      <c r="A93" s="2419"/>
      <c r="B93" s="2421"/>
      <c r="C93" s="2418"/>
      <c r="D93" s="2418"/>
      <c r="E93" s="2418"/>
      <c r="F93" s="2418"/>
      <c r="G93" s="2418"/>
      <c r="H93" s="2418"/>
      <c r="I93" s="2418"/>
      <c r="J93" s="2418"/>
      <c r="K93" s="2418"/>
      <c r="L93" s="2418"/>
      <c r="M93" s="2418"/>
      <c r="N93" s="2418"/>
      <c r="O93" s="2418"/>
      <c r="P93" s="2418"/>
      <c r="Q93" s="2418"/>
      <c r="R93" s="2418"/>
    </row>
    <row r="94" spans="1:18" hidden="1" x14ac:dyDescent="0.2">
      <c r="A94" s="2419" t="s">
        <v>1883</v>
      </c>
      <c r="B94" s="2530">
        <f>B92-B77</f>
        <v>105353811.56999999</v>
      </c>
      <c r="C94" s="2418"/>
      <c r="D94" s="2418"/>
      <c r="E94" s="2418"/>
      <c r="F94" s="2418"/>
      <c r="G94" s="2418"/>
      <c r="H94" s="2418"/>
      <c r="I94" s="2418"/>
      <c r="J94" s="2418"/>
      <c r="K94" s="2418"/>
      <c r="L94" s="2418"/>
      <c r="M94" s="2418"/>
      <c r="N94" s="2418"/>
      <c r="O94" s="2418"/>
      <c r="P94" s="2418"/>
      <c r="Q94" s="2418"/>
      <c r="R94" s="2418"/>
    </row>
    <row r="95" spans="1:18" hidden="1" x14ac:dyDescent="0.2">
      <c r="A95" s="2418"/>
      <c r="B95" s="2418"/>
      <c r="C95" s="2418"/>
      <c r="D95" s="2418"/>
      <c r="E95" s="2418"/>
      <c r="F95" s="2418"/>
      <c r="G95" s="2418"/>
      <c r="H95" s="2418"/>
      <c r="I95" s="2418"/>
      <c r="J95" s="2418"/>
      <c r="K95" s="2418"/>
      <c r="L95" s="2418"/>
      <c r="M95" s="2418"/>
      <c r="N95" s="2418"/>
      <c r="O95" s="2418"/>
      <c r="P95" s="2418"/>
      <c r="Q95" s="2418"/>
      <c r="R95" s="2418"/>
    </row>
    <row r="96" spans="1:18" s="2529" customFormat="1" hidden="1" x14ac:dyDescent="0.2">
      <c r="A96" s="2526" t="s">
        <v>2422</v>
      </c>
      <c r="B96" s="2531">
        <f>SUM(B97:B101)</f>
        <v>210395467</v>
      </c>
      <c r="C96" s="2528"/>
    </row>
    <row r="97" spans="1:21" s="2529" customFormat="1" hidden="1" x14ac:dyDescent="0.2">
      <c r="A97" s="2532" t="s">
        <v>1884</v>
      </c>
      <c r="B97" s="2533">
        <v>2727262</v>
      </c>
      <c r="C97" s="2533" t="s">
        <v>1885</v>
      </c>
    </row>
    <row r="98" spans="1:21" s="2529" customFormat="1" hidden="1" x14ac:dyDescent="0.2">
      <c r="A98" s="2532" t="s">
        <v>1886</v>
      </c>
      <c r="B98" s="2533">
        <v>68672950</v>
      </c>
      <c r="C98" s="2533" t="s">
        <v>1887</v>
      </c>
    </row>
    <row r="99" spans="1:21" s="2529" customFormat="1" hidden="1" x14ac:dyDescent="0.2">
      <c r="A99" s="2532" t="s">
        <v>2423</v>
      </c>
      <c r="B99" s="2533">
        <v>24339600</v>
      </c>
      <c r="C99" s="2533" t="s">
        <v>2424</v>
      </c>
    </row>
    <row r="100" spans="1:21" s="2529" customFormat="1" hidden="1" x14ac:dyDescent="0.2">
      <c r="A100" s="2532" t="s">
        <v>2425</v>
      </c>
      <c r="B100" s="2533">
        <v>14655655</v>
      </c>
      <c r="C100" s="2533" t="s">
        <v>1889</v>
      </c>
    </row>
    <row r="101" spans="1:21" s="2529" customFormat="1" hidden="1" x14ac:dyDescent="0.2">
      <c r="A101" s="2532" t="s">
        <v>2426</v>
      </c>
      <c r="B101" s="2533">
        <v>100000000</v>
      </c>
      <c r="C101" s="2533" t="s">
        <v>2427</v>
      </c>
    </row>
    <row r="102" spans="1:21" x14ac:dyDescent="0.2">
      <c r="A102" s="2419"/>
      <c r="B102" s="2421"/>
      <c r="C102" s="2421"/>
      <c r="D102" s="2418"/>
      <c r="E102" s="2418"/>
      <c r="F102" s="2418"/>
      <c r="G102" s="2418"/>
      <c r="H102" s="2418"/>
      <c r="I102" s="2418"/>
      <c r="J102" s="2418"/>
      <c r="K102" s="2418"/>
      <c r="L102" s="2418"/>
      <c r="M102" s="2418"/>
      <c r="N102" s="2418"/>
      <c r="O102" s="2418"/>
      <c r="P102" s="2418"/>
      <c r="Q102" s="2418"/>
      <c r="R102" s="2418"/>
    </row>
    <row r="103" spans="1:21" x14ac:dyDescent="0.2">
      <c r="A103" s="2419" t="s">
        <v>1892</v>
      </c>
      <c r="B103" s="2419">
        <v>2024</v>
      </c>
      <c r="C103" s="2517"/>
      <c r="D103" s="2418"/>
      <c r="E103" s="2418"/>
      <c r="F103" s="2418"/>
      <c r="G103" s="2418"/>
      <c r="H103" s="2418"/>
      <c r="I103" s="2418"/>
      <c r="J103" s="2418"/>
      <c r="K103" s="2418"/>
      <c r="L103" s="2418"/>
      <c r="M103" s="2418"/>
      <c r="N103" s="2418"/>
      <c r="O103" s="2418"/>
      <c r="P103" s="2418"/>
      <c r="Q103" s="2418"/>
      <c r="R103" s="2418"/>
    </row>
    <row r="104" spans="1:21" x14ac:dyDescent="0.2">
      <c r="A104" s="2419" t="s">
        <v>1893</v>
      </c>
      <c r="B104" s="2418"/>
      <c r="C104" s="2418"/>
      <c r="D104" s="2418"/>
      <c r="E104" s="2418"/>
      <c r="F104" s="2418"/>
      <c r="G104" s="2418"/>
      <c r="H104" s="2418"/>
      <c r="I104" s="2418"/>
      <c r="J104" s="2418"/>
      <c r="K104" s="2418"/>
      <c r="L104" s="2418"/>
      <c r="M104" s="2418"/>
      <c r="N104" s="2418"/>
      <c r="O104" s="2418"/>
      <c r="P104" s="2418"/>
      <c r="Q104" s="2418"/>
      <c r="R104" s="2418"/>
    </row>
    <row r="105" spans="1:21" x14ac:dyDescent="0.2">
      <c r="A105" s="2419"/>
      <c r="B105" s="2418"/>
      <c r="C105" s="2418"/>
      <c r="D105" s="2418"/>
      <c r="E105" s="2418"/>
      <c r="F105" s="2418"/>
      <c r="G105" s="2418"/>
      <c r="H105" s="2418"/>
      <c r="I105" s="2418"/>
      <c r="J105" s="2418"/>
      <c r="K105" s="2418"/>
      <c r="L105" s="2418"/>
      <c r="M105" s="2418"/>
      <c r="N105" s="2418"/>
      <c r="O105" s="2418"/>
      <c r="P105" s="2418"/>
      <c r="Q105" s="2418"/>
      <c r="R105" s="2418"/>
    </row>
    <row r="106" spans="1:21" ht="12.75" thickBot="1" x14ac:dyDescent="0.25">
      <c r="A106" s="2432" t="s">
        <v>366</v>
      </c>
      <c r="B106" s="2419"/>
      <c r="C106" s="2419"/>
      <c r="D106" s="2418"/>
      <c r="E106" s="2418"/>
      <c r="F106" s="2418"/>
      <c r="G106" s="2418"/>
      <c r="H106" s="2418"/>
      <c r="I106" s="2418"/>
      <c r="J106" s="2418"/>
      <c r="K106" s="2418"/>
      <c r="L106" s="2418"/>
      <c r="M106" s="2418"/>
      <c r="N106" s="2418"/>
      <c r="O106" s="2418"/>
      <c r="P106" s="2418"/>
      <c r="Q106" s="2418"/>
      <c r="R106" s="2418"/>
    </row>
    <row r="107" spans="1:21" ht="24" x14ac:dyDescent="0.2">
      <c r="A107" s="2534"/>
      <c r="B107" s="2867" t="s">
        <v>367</v>
      </c>
      <c r="C107" s="2867" t="s">
        <v>368</v>
      </c>
      <c r="D107" s="2883" t="s">
        <v>1855</v>
      </c>
      <c r="E107" s="2867" t="s">
        <v>370</v>
      </c>
      <c r="F107" s="2867" t="s">
        <v>1856</v>
      </c>
      <c r="G107" s="2867" t="s">
        <v>374</v>
      </c>
      <c r="H107" s="2867" t="s">
        <v>77</v>
      </c>
      <c r="I107" s="2867" t="s">
        <v>78</v>
      </c>
      <c r="J107" s="2867" t="s">
        <v>375</v>
      </c>
      <c r="K107" s="2867" t="s">
        <v>376</v>
      </c>
      <c r="L107" s="2867" t="s">
        <v>377</v>
      </c>
      <c r="M107" s="2867" t="s">
        <v>378</v>
      </c>
      <c r="N107" s="2867" t="s">
        <v>379</v>
      </c>
      <c r="O107" s="2867" t="s">
        <v>380</v>
      </c>
      <c r="P107" s="2867" t="s">
        <v>381</v>
      </c>
      <c r="Q107" s="2884" t="s">
        <v>138</v>
      </c>
      <c r="R107" s="2418"/>
    </row>
    <row r="108" spans="1:21" x14ac:dyDescent="0.2">
      <c r="A108" s="2381" t="s">
        <v>1894</v>
      </c>
      <c r="B108" s="2382"/>
      <c r="C108" s="2385">
        <v>1</v>
      </c>
      <c r="D108" s="2383">
        <v>26100000</v>
      </c>
      <c r="E108" s="2383">
        <v>13100000</v>
      </c>
      <c r="F108" s="2383">
        <f t="shared" ref="F108:F113" si="2">D108-E108</f>
        <v>13000000</v>
      </c>
      <c r="G108" s="2384" t="s">
        <v>388</v>
      </c>
      <c r="H108" s="2385" t="s">
        <v>385</v>
      </c>
      <c r="I108" s="2385" t="s">
        <v>385</v>
      </c>
      <c r="J108" s="2385" t="s">
        <v>385</v>
      </c>
      <c r="K108" s="2390" t="s">
        <v>385</v>
      </c>
      <c r="L108" s="2390" t="s">
        <v>385</v>
      </c>
      <c r="M108" s="2384" t="s">
        <v>2011</v>
      </c>
      <c r="N108" s="2384" t="s">
        <v>390</v>
      </c>
      <c r="O108" s="2384" t="s">
        <v>390</v>
      </c>
      <c r="P108" s="2384" t="s">
        <v>390</v>
      </c>
      <c r="Q108" s="2387" t="s">
        <v>390</v>
      </c>
      <c r="R108" s="2418"/>
    </row>
    <row r="109" spans="1:21" x14ac:dyDescent="0.2">
      <c r="A109" s="2381" t="s">
        <v>2012</v>
      </c>
      <c r="B109" s="2382"/>
      <c r="C109" s="2385"/>
      <c r="D109" s="2383">
        <v>17300000</v>
      </c>
      <c r="E109" s="2383">
        <v>13000000</v>
      </c>
      <c r="F109" s="2383">
        <f t="shared" si="2"/>
        <v>4300000</v>
      </c>
      <c r="G109" s="2389" t="s">
        <v>388</v>
      </c>
      <c r="H109" s="2395" t="s">
        <v>385</v>
      </c>
      <c r="I109" s="2395" t="s">
        <v>385</v>
      </c>
      <c r="J109" s="2395" t="s">
        <v>385</v>
      </c>
      <c r="K109" s="2396" t="s">
        <v>385</v>
      </c>
      <c r="L109" s="2396" t="s">
        <v>385</v>
      </c>
      <c r="M109" s="2389" t="s">
        <v>2011</v>
      </c>
      <c r="N109" s="2389" t="s">
        <v>390</v>
      </c>
      <c r="O109" s="2389" t="s">
        <v>390</v>
      </c>
      <c r="P109" s="2389" t="s">
        <v>390</v>
      </c>
      <c r="Q109" s="2398" t="s">
        <v>390</v>
      </c>
      <c r="R109" s="2418"/>
    </row>
    <row r="110" spans="1:21" x14ac:dyDescent="0.2">
      <c r="A110" s="2393" t="s">
        <v>1895</v>
      </c>
      <c r="B110" s="2394">
        <v>180</v>
      </c>
      <c r="C110" s="2395">
        <v>12</v>
      </c>
      <c r="D110" s="2383">
        <f>5300*B110</f>
        <v>954000</v>
      </c>
      <c r="E110" s="2383">
        <f>0*D110</f>
        <v>0</v>
      </c>
      <c r="F110" s="2383">
        <f t="shared" si="2"/>
        <v>954000</v>
      </c>
      <c r="G110" s="2389" t="s">
        <v>388</v>
      </c>
      <c r="H110" s="2395" t="s">
        <v>385</v>
      </c>
      <c r="I110" s="2395" t="s">
        <v>385</v>
      </c>
      <c r="J110" s="2395" t="s">
        <v>385</v>
      </c>
      <c r="K110" s="2396" t="s">
        <v>399</v>
      </c>
      <c r="L110" s="2396" t="s">
        <v>399</v>
      </c>
      <c r="M110" s="2389" t="s">
        <v>411</v>
      </c>
      <c r="N110" s="2389" t="s">
        <v>390</v>
      </c>
      <c r="O110" s="2389" t="s">
        <v>390</v>
      </c>
      <c r="P110" s="2389" t="s">
        <v>390</v>
      </c>
      <c r="Q110" s="2398" t="s">
        <v>390</v>
      </c>
      <c r="R110" s="2418"/>
    </row>
    <row r="111" spans="1:21" x14ac:dyDescent="0.2">
      <c r="A111" s="2388" t="s">
        <v>1896</v>
      </c>
      <c r="B111" s="2382">
        <v>100</v>
      </c>
      <c r="C111" s="2395">
        <v>17</v>
      </c>
      <c r="D111" s="2383">
        <f>5300*B111</f>
        <v>530000</v>
      </c>
      <c r="E111" s="2383">
        <v>0</v>
      </c>
      <c r="F111" s="2383">
        <f t="shared" si="2"/>
        <v>530000</v>
      </c>
      <c r="G111" s="2389" t="s">
        <v>388</v>
      </c>
      <c r="H111" s="2385" t="s">
        <v>385</v>
      </c>
      <c r="I111" s="2385" t="s">
        <v>385</v>
      </c>
      <c r="J111" s="2385" t="s">
        <v>385</v>
      </c>
      <c r="K111" s="2390" t="s">
        <v>399</v>
      </c>
      <c r="L111" s="2385" t="s">
        <v>385</v>
      </c>
      <c r="M111" s="2384" t="s">
        <v>411</v>
      </c>
      <c r="N111" s="2384" t="s">
        <v>390</v>
      </c>
      <c r="O111" s="2384" t="s">
        <v>390</v>
      </c>
      <c r="P111" s="2384" t="s">
        <v>390</v>
      </c>
      <c r="Q111" s="2387" t="s">
        <v>390</v>
      </c>
      <c r="R111" s="2418"/>
      <c r="S111" s="2375"/>
      <c r="U111" s="1393"/>
    </row>
    <row r="112" spans="1:21" x14ac:dyDescent="0.2">
      <c r="A112" s="2393" t="s">
        <v>410</v>
      </c>
      <c r="B112" s="2394">
        <v>520</v>
      </c>
      <c r="C112" s="2395">
        <v>13</v>
      </c>
      <c r="D112" s="2383">
        <f>5300*B112</f>
        <v>2756000</v>
      </c>
      <c r="E112" s="2383">
        <f>0*D112</f>
        <v>0</v>
      </c>
      <c r="F112" s="2383">
        <f t="shared" si="2"/>
        <v>2756000</v>
      </c>
      <c r="G112" s="2389" t="s">
        <v>388</v>
      </c>
      <c r="H112" s="2395" t="s">
        <v>385</v>
      </c>
      <c r="I112" s="2395" t="s">
        <v>385</v>
      </c>
      <c r="J112" s="2395" t="s">
        <v>385</v>
      </c>
      <c r="K112" s="2395" t="s">
        <v>385</v>
      </c>
      <c r="L112" s="2396" t="s">
        <v>399</v>
      </c>
      <c r="M112" s="2389" t="s">
        <v>411</v>
      </c>
      <c r="N112" s="2389" t="s">
        <v>390</v>
      </c>
      <c r="O112" s="2389" t="s">
        <v>390</v>
      </c>
      <c r="P112" s="2389" t="s">
        <v>390</v>
      </c>
      <c r="Q112" s="2398" t="s">
        <v>390</v>
      </c>
      <c r="R112" s="2435"/>
      <c r="S112" s="2375"/>
      <c r="U112" s="1393"/>
    </row>
    <row r="113" spans="1:18" ht="12.75" thickBot="1" x14ac:dyDescent="0.25">
      <c r="A113" s="2409" t="s">
        <v>1897</v>
      </c>
      <c r="B113" s="2410">
        <v>70</v>
      </c>
      <c r="C113" s="2414">
        <v>17</v>
      </c>
      <c r="D113" s="2412">
        <f>5300*B113</f>
        <v>371000</v>
      </c>
      <c r="E113" s="2412">
        <f>0*D113</f>
        <v>0</v>
      </c>
      <c r="F113" s="2412">
        <f t="shared" si="2"/>
        <v>371000</v>
      </c>
      <c r="G113" s="2413" t="s">
        <v>388</v>
      </c>
      <c r="H113" s="2414" t="s">
        <v>385</v>
      </c>
      <c r="I113" s="2414" t="s">
        <v>385</v>
      </c>
      <c r="J113" s="2414" t="s">
        <v>385</v>
      </c>
      <c r="K113" s="2414" t="s">
        <v>385</v>
      </c>
      <c r="L113" s="2414" t="s">
        <v>385</v>
      </c>
      <c r="M113" s="2413" t="s">
        <v>411</v>
      </c>
      <c r="N113" s="2413" t="s">
        <v>390</v>
      </c>
      <c r="O113" s="2413" t="s">
        <v>390</v>
      </c>
      <c r="P113" s="2413" t="s">
        <v>390</v>
      </c>
      <c r="Q113" s="2417" t="s">
        <v>390</v>
      </c>
      <c r="R113" s="2418"/>
    </row>
    <row r="114" spans="1:18" x14ac:dyDescent="0.2">
      <c r="A114" s="2432"/>
      <c r="B114" s="2519"/>
      <c r="C114" s="2519"/>
      <c r="D114" s="2418"/>
      <c r="E114" s="2418"/>
      <c r="F114" s="2418"/>
      <c r="G114" s="2418"/>
      <c r="H114" s="2418"/>
      <c r="I114" s="2418"/>
      <c r="J114" s="2418"/>
      <c r="K114" s="2418"/>
      <c r="L114" s="2418"/>
      <c r="M114" s="2418"/>
      <c r="N114" s="2418"/>
      <c r="O114" s="2418"/>
      <c r="P114" s="2418"/>
      <c r="Q114" s="2418"/>
      <c r="R114" s="2418"/>
    </row>
    <row r="115" spans="1:18" x14ac:dyDescent="0.2">
      <c r="A115" s="2432" t="s">
        <v>2</v>
      </c>
      <c r="B115" s="2535">
        <f>SUM(B110:B113)</f>
        <v>870</v>
      </c>
      <c r="C115" s="2519"/>
      <c r="D115" s="2519">
        <f>SUM(D108:D113)</f>
        <v>48011000</v>
      </c>
      <c r="E115" s="2421">
        <f>SUM(E108:E113)</f>
        <v>26100000</v>
      </c>
      <c r="F115" s="2519">
        <f>SUM(F108:F113)</f>
        <v>21911000</v>
      </c>
      <c r="G115" s="2418"/>
      <c r="H115" s="2418"/>
      <c r="I115" s="2418"/>
      <c r="J115" s="2418"/>
      <c r="K115" s="2418"/>
      <c r="L115" s="2418"/>
      <c r="M115" s="2418"/>
      <c r="N115" s="2418"/>
      <c r="O115" s="2418"/>
      <c r="P115" s="2418"/>
      <c r="Q115" s="2418"/>
      <c r="R115" s="2418"/>
    </row>
    <row r="116" spans="1:18" x14ac:dyDescent="0.2">
      <c r="A116" s="2432"/>
      <c r="B116" s="2519"/>
      <c r="C116" s="2519"/>
      <c r="D116" s="2418"/>
      <c r="E116" s="2418"/>
      <c r="F116" s="2519"/>
      <c r="G116" s="2418"/>
      <c r="H116" s="2418"/>
      <c r="I116" s="2418"/>
      <c r="J116" s="2418"/>
      <c r="K116" s="2418"/>
      <c r="L116" s="2418"/>
      <c r="M116" s="2418"/>
      <c r="N116" s="2418"/>
      <c r="O116" s="2418"/>
      <c r="P116" s="2418"/>
      <c r="Q116" s="2418"/>
      <c r="R116" s="2418"/>
    </row>
    <row r="117" spans="1:18" ht="12.75" thickBot="1" x14ac:dyDescent="0.25">
      <c r="A117" s="2432" t="s">
        <v>1858</v>
      </c>
      <c r="B117" s="2519"/>
      <c r="C117" s="2519"/>
      <c r="D117" s="2418"/>
      <c r="E117" s="2418"/>
      <c r="F117" s="2418"/>
      <c r="G117" s="2418"/>
      <c r="H117" s="2418"/>
      <c r="I117" s="2418"/>
      <c r="J117" s="2418"/>
      <c r="K117" s="2418"/>
      <c r="L117" s="2418"/>
      <c r="M117" s="2418"/>
      <c r="N117" s="2418"/>
      <c r="O117" s="2418"/>
      <c r="P117" s="2418"/>
      <c r="Q117" s="2418"/>
      <c r="R117" s="2418"/>
    </row>
    <row r="118" spans="1:18" ht="24.75" thickBot="1" x14ac:dyDescent="0.25">
      <c r="A118" s="2432"/>
      <c r="B118" s="2871" t="s">
        <v>367</v>
      </c>
      <c r="C118" s="2868"/>
      <c r="D118" s="2872" t="s">
        <v>1859</v>
      </c>
      <c r="E118" s="2875" t="s">
        <v>416</v>
      </c>
      <c r="F118" s="2875" t="s">
        <v>1856</v>
      </c>
      <c r="G118" s="2870" t="s">
        <v>374</v>
      </c>
      <c r="H118" s="2418"/>
      <c r="I118" s="2418"/>
      <c r="J118" s="2418"/>
      <c r="K118" s="2418"/>
      <c r="L118" s="2418"/>
      <c r="M118" s="2418"/>
      <c r="N118" s="2418"/>
      <c r="O118" s="2418"/>
      <c r="P118" s="2418"/>
      <c r="Q118" s="2418"/>
      <c r="R118" s="2418"/>
    </row>
    <row r="119" spans="1:18" ht="12.75" thickBot="1" x14ac:dyDescent="0.25">
      <c r="A119" s="2536" t="s">
        <v>2013</v>
      </c>
      <c r="B119" s="2537">
        <v>3000</v>
      </c>
      <c r="C119" s="2435"/>
      <c r="D119" s="2444">
        <v>500000</v>
      </c>
      <c r="E119" s="2445">
        <v>0</v>
      </c>
      <c r="F119" s="2445">
        <f>D119-E119</f>
        <v>500000</v>
      </c>
      <c r="G119" s="2448" t="s">
        <v>388</v>
      </c>
      <c r="H119" s="2538" t="s">
        <v>419</v>
      </c>
      <c r="I119" s="2539" t="s">
        <v>386</v>
      </c>
      <c r="J119" s="2539" t="s">
        <v>386</v>
      </c>
      <c r="K119" s="2539" t="s">
        <v>390</v>
      </c>
      <c r="L119" s="2539" t="s">
        <v>390</v>
      </c>
      <c r="M119" s="2539">
        <v>2025</v>
      </c>
      <c r="N119" s="2418"/>
      <c r="O119" s="2418"/>
      <c r="P119" s="2418"/>
      <c r="Q119" s="2418"/>
      <c r="R119" s="2418"/>
    </row>
    <row r="120" spans="1:18" x14ac:dyDescent="0.2">
      <c r="A120" s="2432" t="s">
        <v>2</v>
      </c>
      <c r="B120" s="2519"/>
      <c r="C120" s="2519"/>
      <c r="D120" s="2519">
        <f>D119</f>
        <v>500000</v>
      </c>
      <c r="E120" s="2519">
        <f>E12</f>
        <v>0</v>
      </c>
      <c r="F120" s="2519">
        <v>0</v>
      </c>
      <c r="G120" s="2418"/>
      <c r="H120" s="2418"/>
      <c r="I120" s="2418"/>
      <c r="J120" s="2418"/>
      <c r="K120" s="2418"/>
      <c r="L120" s="2418"/>
      <c r="M120" s="2418"/>
      <c r="N120" s="2418"/>
      <c r="O120" s="2418"/>
      <c r="P120" s="2418"/>
      <c r="Q120" s="2418"/>
      <c r="R120" s="2418"/>
    </row>
    <row r="121" spans="1:18" x14ac:dyDescent="0.2">
      <c r="A121" s="2419"/>
      <c r="B121" s="2418"/>
      <c r="C121" s="2540"/>
      <c r="D121" s="2418"/>
      <c r="E121" s="2418"/>
      <c r="F121" s="2418"/>
      <c r="G121" s="2418"/>
      <c r="H121" s="2418"/>
      <c r="I121" s="2418"/>
      <c r="J121" s="2418"/>
      <c r="K121" s="2418"/>
      <c r="L121" s="2418"/>
      <c r="M121" s="2418"/>
      <c r="N121" s="2418"/>
      <c r="O121" s="2418"/>
      <c r="P121" s="2418"/>
      <c r="Q121" s="2418"/>
      <c r="R121" s="2418"/>
    </row>
    <row r="122" spans="1:18" ht="12.75" thickBot="1" x14ac:dyDescent="0.25">
      <c r="A122" s="2432" t="s">
        <v>435</v>
      </c>
      <c r="B122" s="2418"/>
      <c r="C122" s="2418"/>
      <c r="D122" s="2418"/>
      <c r="E122" s="2421"/>
      <c r="F122" s="2418"/>
      <c r="G122" s="2418"/>
      <c r="H122" s="2418"/>
      <c r="I122" s="2418"/>
      <c r="J122" s="2418"/>
      <c r="K122" s="2418"/>
      <c r="L122" s="2418"/>
      <c r="M122" s="2418"/>
      <c r="N122" s="2418"/>
      <c r="O122" s="2418"/>
      <c r="P122" s="2418"/>
      <c r="Q122" s="2418"/>
      <c r="R122" s="2418"/>
    </row>
    <row r="123" spans="1:18" ht="12.75" thickBot="1" x14ac:dyDescent="0.25">
      <c r="A123" s="2449"/>
      <c r="B123" s="2418"/>
      <c r="C123" s="2418"/>
      <c r="D123" s="2883" t="s">
        <v>369</v>
      </c>
      <c r="E123" s="2877" t="s">
        <v>1861</v>
      </c>
      <c r="F123" s="2878" t="s">
        <v>417</v>
      </c>
      <c r="G123" s="2880" t="s">
        <v>374</v>
      </c>
      <c r="H123" s="2418"/>
      <c r="I123" s="2418"/>
      <c r="J123" s="2418"/>
      <c r="K123" s="2418"/>
      <c r="L123" s="2418"/>
      <c r="M123" s="2418"/>
      <c r="N123" s="2418"/>
      <c r="O123" s="2418"/>
      <c r="P123" s="2418"/>
      <c r="Q123" s="2418"/>
      <c r="R123" s="2418"/>
    </row>
    <row r="124" spans="1:18" ht="24" x14ac:dyDescent="0.2">
      <c r="A124" s="2869" t="s">
        <v>2014</v>
      </c>
      <c r="B124" s="2418"/>
      <c r="C124" s="2418"/>
      <c r="D124" s="2473">
        <v>17000000</v>
      </c>
      <c r="E124" s="2474">
        <v>4000000</v>
      </c>
      <c r="F124" s="2475">
        <f>D124-E124</f>
        <v>13000000</v>
      </c>
      <c r="G124" s="2477" t="s">
        <v>388</v>
      </c>
      <c r="H124" s="2418"/>
      <c r="I124" s="2418"/>
      <c r="J124" s="2418"/>
      <c r="K124" s="2418"/>
      <c r="L124" s="2418"/>
      <c r="M124" s="2418"/>
      <c r="N124" s="2418"/>
      <c r="O124" s="2418"/>
      <c r="P124" s="2418"/>
      <c r="Q124" s="2418"/>
      <c r="R124" s="2418"/>
    </row>
    <row r="125" spans="1:18" x14ac:dyDescent="0.2">
      <c r="A125" s="2466" t="s">
        <v>436</v>
      </c>
      <c r="B125" s="2418"/>
      <c r="C125" s="2418"/>
      <c r="D125" s="2473">
        <v>28000000</v>
      </c>
      <c r="E125" s="2474">
        <v>19000000</v>
      </c>
      <c r="F125" s="2475">
        <f>D125-E125</f>
        <v>9000000</v>
      </c>
      <c r="G125" s="2477" t="s">
        <v>384</v>
      </c>
      <c r="H125" s="2418"/>
      <c r="I125" s="2418"/>
      <c r="J125" s="2418"/>
      <c r="K125" s="2418"/>
      <c r="L125" s="2418"/>
      <c r="M125" s="2418"/>
      <c r="N125" s="2418"/>
      <c r="O125" s="2418"/>
      <c r="P125" s="2418"/>
      <c r="Q125" s="2418"/>
      <c r="R125" s="2418"/>
    </row>
    <row r="126" spans="1:18" ht="12.75" thickBot="1" x14ac:dyDescent="0.25">
      <c r="A126" s="2541" t="s">
        <v>2015</v>
      </c>
      <c r="B126" s="2418"/>
      <c r="C126" s="2418"/>
      <c r="D126" s="2542">
        <v>55000000</v>
      </c>
      <c r="E126" s="2543">
        <f>F126</f>
        <v>27500000</v>
      </c>
      <c r="F126" s="2544">
        <f>D126/2</f>
        <v>27500000</v>
      </c>
      <c r="G126" s="2545" t="s">
        <v>388</v>
      </c>
      <c r="H126" s="2546" t="s">
        <v>2016</v>
      </c>
      <c r="I126" s="2483" t="s">
        <v>390</v>
      </c>
      <c r="J126" s="2483" t="s">
        <v>390</v>
      </c>
      <c r="K126" s="2483" t="s">
        <v>390</v>
      </c>
      <c r="L126" s="2483" t="s">
        <v>390</v>
      </c>
      <c r="M126" s="2483">
        <v>2025</v>
      </c>
      <c r="N126" s="2418"/>
      <c r="O126" s="2418"/>
      <c r="P126" s="2418"/>
      <c r="Q126" s="2418"/>
      <c r="R126" s="2418"/>
    </row>
    <row r="127" spans="1:18" x14ac:dyDescent="0.2">
      <c r="A127" s="2418" t="s">
        <v>2</v>
      </c>
      <c r="B127" s="2418"/>
      <c r="C127" s="2418"/>
      <c r="D127" s="2519">
        <f>SUM(D124:D126)</f>
        <v>100000000</v>
      </c>
      <c r="E127" s="2519">
        <f>SUM(E124:E126)</f>
        <v>50500000</v>
      </c>
      <c r="F127" s="2519">
        <f>SUM(F124:F126)</f>
        <v>49500000</v>
      </c>
      <c r="G127" s="2418"/>
      <c r="H127" s="2418"/>
      <c r="I127" s="2418"/>
      <c r="J127" s="2418"/>
      <c r="K127" s="2418"/>
      <c r="L127" s="2418"/>
      <c r="M127" s="2418"/>
      <c r="N127" s="2418"/>
      <c r="O127" s="2418"/>
      <c r="P127" s="2418"/>
      <c r="Q127" s="2418"/>
      <c r="R127" s="2418"/>
    </row>
    <row r="128" spans="1:18" x14ac:dyDescent="0.2">
      <c r="A128" s="2418"/>
      <c r="B128" s="2418"/>
      <c r="C128" s="2418"/>
      <c r="D128" s="2418"/>
      <c r="E128" s="2418"/>
      <c r="F128" s="2418"/>
      <c r="G128" s="2418"/>
      <c r="H128" s="2418"/>
      <c r="I128" s="2418"/>
      <c r="J128" s="2418"/>
      <c r="K128" s="2418"/>
      <c r="L128" s="2418"/>
      <c r="M128" s="2418"/>
      <c r="N128" s="2418"/>
      <c r="O128" s="2418"/>
      <c r="P128" s="2418"/>
      <c r="Q128" s="2418"/>
      <c r="R128" s="2418"/>
    </row>
    <row r="129" spans="1:18" ht="12.75" thickBot="1" x14ac:dyDescent="0.25">
      <c r="A129" s="2432" t="s">
        <v>440</v>
      </c>
      <c r="B129" s="2418"/>
      <c r="C129" s="2418"/>
      <c r="D129" s="2418"/>
      <c r="E129" s="2421"/>
      <c r="F129" s="2418"/>
      <c r="G129" s="2418"/>
      <c r="H129" s="2418"/>
      <c r="I129" s="2418"/>
      <c r="J129" s="2418"/>
      <c r="K129" s="2418"/>
      <c r="L129" s="2418"/>
      <c r="M129" s="2418"/>
      <c r="N129" s="2418"/>
      <c r="O129" s="2418"/>
      <c r="P129" s="2418"/>
      <c r="Q129" s="2418"/>
      <c r="R129" s="2418"/>
    </row>
    <row r="130" spans="1:18" ht="12.75" thickBot="1" x14ac:dyDescent="0.25">
      <c r="A130" s="2449"/>
      <c r="B130" s="2418"/>
      <c r="C130" s="2418"/>
      <c r="D130" s="2885" t="s">
        <v>369</v>
      </c>
      <c r="E130" s="2886" t="s">
        <v>426</v>
      </c>
      <c r="F130" s="2887" t="s">
        <v>417</v>
      </c>
      <c r="G130" s="2888" t="s">
        <v>374</v>
      </c>
      <c r="H130" s="2418"/>
      <c r="I130" s="2418"/>
      <c r="J130" s="2418"/>
      <c r="K130" s="2418"/>
      <c r="L130" s="2418"/>
      <c r="M130" s="2418"/>
      <c r="N130" s="2418"/>
      <c r="O130" s="2418"/>
      <c r="P130" s="2418"/>
      <c r="Q130" s="2418"/>
      <c r="R130" s="2418"/>
    </row>
    <row r="131" spans="1:18" ht="12.75" thickBot="1" x14ac:dyDescent="0.25">
      <c r="A131" s="2491" t="s">
        <v>443</v>
      </c>
      <c r="B131" s="2418"/>
      <c r="C131" s="2418"/>
      <c r="D131" s="2547">
        <v>8500000</v>
      </c>
      <c r="E131" s="2548">
        <v>3500000</v>
      </c>
      <c r="F131" s="2548">
        <f>D131-E131</f>
        <v>5000000</v>
      </c>
      <c r="G131" s="2500" t="s">
        <v>388</v>
      </c>
      <c r="H131" s="2418"/>
      <c r="I131" s="2418"/>
      <c r="J131" s="2418"/>
      <c r="K131" s="2418"/>
      <c r="L131" s="2418"/>
      <c r="M131" s="2418"/>
      <c r="N131" s="2418"/>
      <c r="O131" s="2418"/>
      <c r="P131" s="2418"/>
      <c r="Q131" s="2418"/>
      <c r="R131" s="2418"/>
    </row>
    <row r="132" spans="1:18" x14ac:dyDescent="0.2">
      <c r="A132" s="2491" t="s">
        <v>2017</v>
      </c>
      <c r="B132" s="2418"/>
      <c r="C132" s="2418"/>
      <c r="D132" s="2547">
        <v>363000000</v>
      </c>
      <c r="E132" s="2548">
        <v>150000000</v>
      </c>
      <c r="F132" s="2548">
        <v>213000000</v>
      </c>
      <c r="G132" s="2500" t="s">
        <v>388</v>
      </c>
      <c r="H132" s="2549" t="s">
        <v>2018</v>
      </c>
      <c r="I132" s="2495" t="s">
        <v>386</v>
      </c>
      <c r="J132" s="2495" t="s">
        <v>386</v>
      </c>
      <c r="K132" s="2495" t="s">
        <v>386</v>
      </c>
      <c r="L132" s="2495" t="s">
        <v>1873</v>
      </c>
      <c r="M132" s="2550"/>
      <c r="N132" s="2418" t="s">
        <v>2400</v>
      </c>
      <c r="O132" s="2418"/>
      <c r="P132" s="2418"/>
      <c r="Q132" s="2418"/>
      <c r="R132" s="2418"/>
    </row>
    <row r="133" spans="1:18" x14ac:dyDescent="0.2">
      <c r="A133" s="2491" t="s">
        <v>535</v>
      </c>
      <c r="B133" s="2418"/>
      <c r="C133" s="2418"/>
      <c r="D133" s="2492">
        <v>1130000000</v>
      </c>
      <c r="E133" s="2493">
        <f>0.78*D133</f>
        <v>881400000</v>
      </c>
      <c r="F133" s="2494">
        <f>(D133-E133)*0.64</f>
        <v>159104000</v>
      </c>
      <c r="G133" s="2499" t="s">
        <v>536</v>
      </c>
      <c r="H133" s="2551" t="s">
        <v>2019</v>
      </c>
      <c r="I133" s="2552" t="s">
        <v>386</v>
      </c>
      <c r="J133" s="2552" t="s">
        <v>386</v>
      </c>
      <c r="K133" s="2552" t="s">
        <v>1873</v>
      </c>
      <c r="L133" s="2552" t="s">
        <v>1873</v>
      </c>
      <c r="M133" s="2500">
        <v>2025</v>
      </c>
      <c r="N133" s="2418"/>
      <c r="O133" s="2418"/>
      <c r="P133" s="2418"/>
      <c r="Q133" s="2418"/>
      <c r="R133" s="2418"/>
    </row>
    <row r="134" spans="1:18" x14ac:dyDescent="0.2">
      <c r="A134" s="2491" t="s">
        <v>1972</v>
      </c>
      <c r="B134" s="2418"/>
      <c r="C134" s="2418"/>
      <c r="D134" s="2547">
        <v>65000000</v>
      </c>
      <c r="E134" s="2553">
        <v>0</v>
      </c>
      <c r="F134" s="2548">
        <v>65000000</v>
      </c>
      <c r="G134" s="2500" t="s">
        <v>388</v>
      </c>
      <c r="H134" s="2551" t="s">
        <v>1669</v>
      </c>
      <c r="I134" s="2552" t="s">
        <v>390</v>
      </c>
      <c r="J134" s="2552" t="s">
        <v>390</v>
      </c>
      <c r="K134" s="2552" t="s">
        <v>1873</v>
      </c>
      <c r="L134" s="2552" t="s">
        <v>390</v>
      </c>
      <c r="M134" s="2500">
        <v>2026</v>
      </c>
      <c r="N134" s="2418"/>
      <c r="O134" s="2418"/>
      <c r="P134" s="2418"/>
      <c r="Q134" s="2418"/>
      <c r="R134" s="2418"/>
    </row>
    <row r="135" spans="1:18" x14ac:dyDescent="0.2">
      <c r="A135" s="2491" t="s">
        <v>441</v>
      </c>
      <c r="B135" s="2418"/>
      <c r="C135" s="2418"/>
      <c r="D135" s="2492">
        <v>15000000</v>
      </c>
      <c r="E135" s="2493">
        <v>0</v>
      </c>
      <c r="F135" s="2494">
        <f>D135-E135</f>
        <v>15000000</v>
      </c>
      <c r="G135" s="2499" t="s">
        <v>388</v>
      </c>
      <c r="H135" s="2554" t="s">
        <v>2020</v>
      </c>
      <c r="I135" s="2497" t="s">
        <v>390</v>
      </c>
      <c r="J135" s="2497" t="s">
        <v>390</v>
      </c>
      <c r="K135" s="2497" t="s">
        <v>1873</v>
      </c>
      <c r="L135" s="2497" t="s">
        <v>390</v>
      </c>
      <c r="M135" s="2499">
        <v>2025</v>
      </c>
      <c r="N135" s="2418"/>
      <c r="O135" s="2418"/>
      <c r="P135" s="2418"/>
      <c r="Q135" s="2418"/>
      <c r="R135" s="2418"/>
    </row>
    <row r="136" spans="1:18" ht="12.75" thickBot="1" x14ac:dyDescent="0.25">
      <c r="A136" s="2555" t="s">
        <v>445</v>
      </c>
      <c r="B136" s="2418"/>
      <c r="C136" s="2418"/>
      <c r="D136" s="2556">
        <v>3000000</v>
      </c>
      <c r="E136" s="2557">
        <v>0</v>
      </c>
      <c r="F136" s="2558">
        <f>D136-E136</f>
        <v>3000000</v>
      </c>
      <c r="G136" s="2559" t="s">
        <v>388</v>
      </c>
      <c r="H136" s="2560" t="s">
        <v>431</v>
      </c>
      <c r="I136" s="2561" t="s">
        <v>386</v>
      </c>
      <c r="J136" s="2561" t="s">
        <v>386</v>
      </c>
      <c r="K136" s="2561" t="s">
        <v>386</v>
      </c>
      <c r="L136" s="2561" t="s">
        <v>386</v>
      </c>
      <c r="M136" s="2559">
        <v>2025</v>
      </c>
      <c r="N136" s="2418"/>
      <c r="O136" s="2418"/>
      <c r="P136" s="2418"/>
      <c r="Q136" s="2418"/>
      <c r="R136" s="2418"/>
    </row>
    <row r="137" spans="1:18" x14ac:dyDescent="0.2">
      <c r="A137" s="2435"/>
      <c r="B137" s="2435"/>
      <c r="C137" s="2435"/>
      <c r="D137" s="2562"/>
      <c r="E137" s="2562"/>
      <c r="F137" s="2562"/>
      <c r="G137" s="2435"/>
      <c r="H137" s="2435"/>
      <c r="I137" s="2435"/>
      <c r="J137" s="2435"/>
      <c r="K137" s="2435"/>
      <c r="L137" s="2435"/>
      <c r="M137" s="2435"/>
      <c r="N137" s="2418"/>
      <c r="O137" s="2418"/>
      <c r="P137" s="2418"/>
      <c r="Q137" s="2418"/>
      <c r="R137" s="2418"/>
    </row>
    <row r="138" spans="1:18" x14ac:dyDescent="0.2">
      <c r="A138" s="2432" t="s">
        <v>415</v>
      </c>
      <c r="B138" s="2432"/>
      <c r="C138" s="2432"/>
      <c r="D138" s="2519">
        <f>SUM(D131:D136)</f>
        <v>1584500000</v>
      </c>
      <c r="E138" s="2519">
        <f>SUM(E131:E136)</f>
        <v>1034900000</v>
      </c>
      <c r="F138" s="2519">
        <f>SUM(F131:F136)</f>
        <v>460104000</v>
      </c>
      <c r="G138" s="2421"/>
      <c r="H138" s="2418"/>
      <c r="I138" s="2418"/>
      <c r="J138" s="2418"/>
      <c r="K138" s="2418"/>
      <c r="L138" s="2418"/>
      <c r="M138" s="2418"/>
      <c r="N138" s="2418"/>
      <c r="O138" s="2418"/>
      <c r="P138" s="2418"/>
      <c r="Q138" s="2418"/>
      <c r="R138" s="2418"/>
    </row>
    <row r="139" spans="1:18" x14ac:dyDescent="0.2"/>
    <row r="140" spans="1:18" x14ac:dyDescent="0.2"/>
    <row r="141" spans="1:18" x14ac:dyDescent="0.2">
      <c r="A141" s="2375" t="s">
        <v>415</v>
      </c>
    </row>
    <row r="142" spans="1:18" x14ac:dyDescent="0.2">
      <c r="A142" s="2375"/>
    </row>
    <row r="143" spans="1:18" x14ac:dyDescent="0.2">
      <c r="B143" s="2563"/>
    </row>
    <row r="144" spans="1:18" x14ac:dyDescent="0.2">
      <c r="A144" s="2375" t="s">
        <v>448</v>
      </c>
      <c r="B144" s="2564">
        <f>D115+D120+D127+D138</f>
        <v>1733011000</v>
      </c>
    </row>
    <row r="145" spans="1:3" x14ac:dyDescent="0.2">
      <c r="A145" s="2375" t="s">
        <v>449</v>
      </c>
      <c r="B145" s="2564">
        <f>E115+E120+E127+E138</f>
        <v>1111500000</v>
      </c>
    </row>
    <row r="146" spans="1:3" x14ac:dyDescent="0.2">
      <c r="A146" s="2375" t="s">
        <v>450</v>
      </c>
      <c r="B146" s="2564">
        <f>F115+F120+F127+F138</f>
        <v>531515000</v>
      </c>
    </row>
    <row r="147" spans="1:3" x14ac:dyDescent="0.2">
      <c r="A147" s="2565" t="s">
        <v>451</v>
      </c>
      <c r="B147" s="2566">
        <f>F115</f>
        <v>21911000</v>
      </c>
    </row>
    <row r="148" spans="1:3" x14ac:dyDescent="0.2">
      <c r="A148" s="2565" t="s">
        <v>452</v>
      </c>
      <c r="C148" s="2567">
        <f>F120</f>
        <v>0</v>
      </c>
    </row>
    <row r="149" spans="1:3" x14ac:dyDescent="0.2">
      <c r="A149" s="2565" t="s">
        <v>453</v>
      </c>
      <c r="C149" s="2567">
        <f>F127</f>
        <v>49500000</v>
      </c>
    </row>
    <row r="150" spans="1:3" x14ac:dyDescent="0.2">
      <c r="A150" s="2565" t="s">
        <v>454</v>
      </c>
      <c r="C150" s="2567">
        <f>F138</f>
        <v>460104000</v>
      </c>
    </row>
    <row r="151" spans="1:3" x14ac:dyDescent="0.2">
      <c r="A151" s="2565"/>
      <c r="C151" s="2567"/>
    </row>
    <row r="152" spans="1:3" x14ac:dyDescent="0.2"/>
    <row r="153" spans="1:3" x14ac:dyDescent="0.2">
      <c r="A153" s="2375" t="s">
        <v>1898</v>
      </c>
      <c r="B153" s="2568">
        <v>120000000</v>
      </c>
      <c r="C153" s="2569" t="s">
        <v>1899</v>
      </c>
    </row>
    <row r="154" spans="1:3" x14ac:dyDescent="0.2"/>
    <row r="155" spans="1:3" x14ac:dyDescent="0.2"/>
    <row r="156" spans="1:3" x14ac:dyDescent="0.2"/>
    <row r="157" spans="1:3" x14ac:dyDescent="0.2"/>
    <row r="158" spans="1:3" x14ac:dyDescent="0.2"/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</sheetData>
  <sheetProtection algorithmName="SHA-512" hashValue="MvmzncL9VBvpzEKVHwqyuQef/uQM+zCWu+/zzgREDVRoUvyse6KXsHIOFHDFif9dUeJcCGzgnFGd2VjThwUxhQ==" saltValue="0t107Z45Nc3rwlT20688kA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workbookViewId="0"/>
  </sheetViews>
  <sheetFormatPr defaultColWidth="8.85546875" defaultRowHeight="12.75" zeroHeight="1" x14ac:dyDescent="0.2"/>
  <cols>
    <col min="1" max="1" width="66.5703125" style="1392" customWidth="1"/>
    <col min="2" max="2" width="19" style="1392" bestFit="1" customWidth="1"/>
    <col min="3" max="3" width="20" style="1392" bestFit="1" customWidth="1"/>
    <col min="4" max="4" width="27.28515625" style="1392" customWidth="1"/>
    <col min="5" max="5" width="33.28515625" style="1392" customWidth="1"/>
    <col min="6" max="6" width="27.7109375" style="1392" customWidth="1"/>
    <col min="7" max="7" width="22.28515625" style="1392" customWidth="1"/>
    <col min="8" max="8" width="32" style="1392" customWidth="1"/>
    <col min="9" max="9" width="23.28515625" style="1392" customWidth="1"/>
    <col min="10" max="10" width="18" style="1392" customWidth="1"/>
    <col min="11" max="11" width="16.7109375" style="1392" customWidth="1"/>
    <col min="12" max="12" width="13.28515625" style="1392" customWidth="1"/>
    <col min="13" max="13" width="15.28515625" style="1392" customWidth="1"/>
    <col min="14" max="14" width="11" style="1392" customWidth="1"/>
    <col min="15" max="16" width="9.7109375" style="1392" customWidth="1"/>
    <col min="17" max="17" width="10" style="1392" customWidth="1"/>
    <col min="18" max="19" width="17" style="1392" customWidth="1"/>
    <col min="20" max="256" width="8.85546875" style="1392"/>
    <col min="257" max="257" width="86.7109375" style="1392" customWidth="1"/>
    <col min="258" max="258" width="23" style="1392" customWidth="1"/>
    <col min="259" max="259" width="17.5703125" style="1392" customWidth="1"/>
    <col min="260" max="260" width="27.28515625" style="1392" customWidth="1"/>
    <col min="261" max="261" width="33.28515625" style="1392" customWidth="1"/>
    <col min="262" max="262" width="27.7109375" style="1392" customWidth="1"/>
    <col min="263" max="263" width="22.28515625" style="1392" customWidth="1"/>
    <col min="264" max="264" width="32" style="1392" customWidth="1"/>
    <col min="265" max="265" width="23.28515625" style="1392" customWidth="1"/>
    <col min="266" max="266" width="18" style="1392" customWidth="1"/>
    <col min="267" max="267" width="16.7109375" style="1392" customWidth="1"/>
    <col min="268" max="268" width="13.28515625" style="1392" customWidth="1"/>
    <col min="269" max="269" width="15.28515625" style="1392" customWidth="1"/>
    <col min="270" max="270" width="11" style="1392" customWidth="1"/>
    <col min="271" max="272" width="9.7109375" style="1392" customWidth="1"/>
    <col min="273" max="273" width="10" style="1392" customWidth="1"/>
    <col min="274" max="275" width="17" style="1392" customWidth="1"/>
    <col min="276" max="512" width="8.85546875" style="1392"/>
    <col min="513" max="513" width="86.7109375" style="1392" customWidth="1"/>
    <col min="514" max="514" width="23" style="1392" customWidth="1"/>
    <col min="515" max="515" width="17.5703125" style="1392" customWidth="1"/>
    <col min="516" max="516" width="27.28515625" style="1392" customWidth="1"/>
    <col min="517" max="517" width="33.28515625" style="1392" customWidth="1"/>
    <col min="518" max="518" width="27.7109375" style="1392" customWidth="1"/>
    <col min="519" max="519" width="22.28515625" style="1392" customWidth="1"/>
    <col min="520" max="520" width="32" style="1392" customWidth="1"/>
    <col min="521" max="521" width="23.28515625" style="1392" customWidth="1"/>
    <col min="522" max="522" width="18" style="1392" customWidth="1"/>
    <col min="523" max="523" width="16.7109375" style="1392" customWidth="1"/>
    <col min="524" max="524" width="13.28515625" style="1392" customWidth="1"/>
    <col min="525" max="525" width="15.28515625" style="1392" customWidth="1"/>
    <col min="526" max="526" width="11" style="1392" customWidth="1"/>
    <col min="527" max="528" width="9.7109375" style="1392" customWidth="1"/>
    <col min="529" max="529" width="10" style="1392" customWidth="1"/>
    <col min="530" max="531" width="17" style="1392" customWidth="1"/>
    <col min="532" max="768" width="8.85546875" style="1392"/>
    <col min="769" max="769" width="86.7109375" style="1392" customWidth="1"/>
    <col min="770" max="770" width="23" style="1392" customWidth="1"/>
    <col min="771" max="771" width="17.5703125" style="1392" customWidth="1"/>
    <col min="772" max="772" width="27.28515625" style="1392" customWidth="1"/>
    <col min="773" max="773" width="33.28515625" style="1392" customWidth="1"/>
    <col min="774" max="774" width="27.7109375" style="1392" customWidth="1"/>
    <col min="775" max="775" width="22.28515625" style="1392" customWidth="1"/>
    <col min="776" max="776" width="32" style="1392" customWidth="1"/>
    <col min="777" max="777" width="23.28515625" style="1392" customWidth="1"/>
    <col min="778" max="778" width="18" style="1392" customWidth="1"/>
    <col min="779" max="779" width="16.7109375" style="1392" customWidth="1"/>
    <col min="780" max="780" width="13.28515625" style="1392" customWidth="1"/>
    <col min="781" max="781" width="15.28515625" style="1392" customWidth="1"/>
    <col min="782" max="782" width="11" style="1392" customWidth="1"/>
    <col min="783" max="784" width="9.7109375" style="1392" customWidth="1"/>
    <col min="785" max="785" width="10" style="1392" customWidth="1"/>
    <col min="786" max="787" width="17" style="1392" customWidth="1"/>
    <col min="788" max="1024" width="8.85546875" style="1392"/>
    <col min="1025" max="1025" width="86.7109375" style="1392" customWidth="1"/>
    <col min="1026" max="1026" width="23" style="1392" customWidth="1"/>
    <col min="1027" max="1027" width="17.5703125" style="1392" customWidth="1"/>
    <col min="1028" max="1028" width="27.28515625" style="1392" customWidth="1"/>
    <col min="1029" max="1029" width="33.28515625" style="1392" customWidth="1"/>
    <col min="1030" max="1030" width="27.7109375" style="1392" customWidth="1"/>
    <col min="1031" max="1031" width="22.28515625" style="1392" customWidth="1"/>
    <col min="1032" max="1032" width="32" style="1392" customWidth="1"/>
    <col min="1033" max="1033" width="23.28515625" style="1392" customWidth="1"/>
    <col min="1034" max="1034" width="18" style="1392" customWidth="1"/>
    <col min="1035" max="1035" width="16.7109375" style="1392" customWidth="1"/>
    <col min="1036" max="1036" width="13.28515625" style="1392" customWidth="1"/>
    <col min="1037" max="1037" width="15.28515625" style="1392" customWidth="1"/>
    <col min="1038" max="1038" width="11" style="1392" customWidth="1"/>
    <col min="1039" max="1040" width="9.7109375" style="1392" customWidth="1"/>
    <col min="1041" max="1041" width="10" style="1392" customWidth="1"/>
    <col min="1042" max="1043" width="17" style="1392" customWidth="1"/>
    <col min="1044" max="1280" width="8.85546875" style="1392"/>
    <col min="1281" max="1281" width="86.7109375" style="1392" customWidth="1"/>
    <col min="1282" max="1282" width="23" style="1392" customWidth="1"/>
    <col min="1283" max="1283" width="17.5703125" style="1392" customWidth="1"/>
    <col min="1284" max="1284" width="27.28515625" style="1392" customWidth="1"/>
    <col min="1285" max="1285" width="33.28515625" style="1392" customWidth="1"/>
    <col min="1286" max="1286" width="27.7109375" style="1392" customWidth="1"/>
    <col min="1287" max="1287" width="22.28515625" style="1392" customWidth="1"/>
    <col min="1288" max="1288" width="32" style="1392" customWidth="1"/>
    <col min="1289" max="1289" width="23.28515625" style="1392" customWidth="1"/>
    <col min="1290" max="1290" width="18" style="1392" customWidth="1"/>
    <col min="1291" max="1291" width="16.7109375" style="1392" customWidth="1"/>
    <col min="1292" max="1292" width="13.28515625" style="1392" customWidth="1"/>
    <col min="1293" max="1293" width="15.28515625" style="1392" customWidth="1"/>
    <col min="1294" max="1294" width="11" style="1392" customWidth="1"/>
    <col min="1295" max="1296" width="9.7109375" style="1392" customWidth="1"/>
    <col min="1297" max="1297" width="10" style="1392" customWidth="1"/>
    <col min="1298" max="1299" width="17" style="1392" customWidth="1"/>
    <col min="1300" max="1536" width="8.85546875" style="1392"/>
    <col min="1537" max="1537" width="86.7109375" style="1392" customWidth="1"/>
    <col min="1538" max="1538" width="23" style="1392" customWidth="1"/>
    <col min="1539" max="1539" width="17.5703125" style="1392" customWidth="1"/>
    <col min="1540" max="1540" width="27.28515625" style="1392" customWidth="1"/>
    <col min="1541" max="1541" width="33.28515625" style="1392" customWidth="1"/>
    <col min="1542" max="1542" width="27.7109375" style="1392" customWidth="1"/>
    <col min="1543" max="1543" width="22.28515625" style="1392" customWidth="1"/>
    <col min="1544" max="1544" width="32" style="1392" customWidth="1"/>
    <col min="1545" max="1545" width="23.28515625" style="1392" customWidth="1"/>
    <col min="1546" max="1546" width="18" style="1392" customWidth="1"/>
    <col min="1547" max="1547" width="16.7109375" style="1392" customWidth="1"/>
    <col min="1548" max="1548" width="13.28515625" style="1392" customWidth="1"/>
    <col min="1549" max="1549" width="15.28515625" style="1392" customWidth="1"/>
    <col min="1550" max="1550" width="11" style="1392" customWidth="1"/>
    <col min="1551" max="1552" width="9.7109375" style="1392" customWidth="1"/>
    <col min="1553" max="1553" width="10" style="1392" customWidth="1"/>
    <col min="1554" max="1555" width="17" style="1392" customWidth="1"/>
    <col min="1556" max="1792" width="8.85546875" style="1392"/>
    <col min="1793" max="1793" width="86.7109375" style="1392" customWidth="1"/>
    <col min="1794" max="1794" width="23" style="1392" customWidth="1"/>
    <col min="1795" max="1795" width="17.5703125" style="1392" customWidth="1"/>
    <col min="1796" max="1796" width="27.28515625" style="1392" customWidth="1"/>
    <col min="1797" max="1797" width="33.28515625" style="1392" customWidth="1"/>
    <col min="1798" max="1798" width="27.7109375" style="1392" customWidth="1"/>
    <col min="1799" max="1799" width="22.28515625" style="1392" customWidth="1"/>
    <col min="1800" max="1800" width="32" style="1392" customWidth="1"/>
    <col min="1801" max="1801" width="23.28515625" style="1392" customWidth="1"/>
    <col min="1802" max="1802" width="18" style="1392" customWidth="1"/>
    <col min="1803" max="1803" width="16.7109375" style="1392" customWidth="1"/>
    <col min="1804" max="1804" width="13.28515625" style="1392" customWidth="1"/>
    <col min="1805" max="1805" width="15.28515625" style="1392" customWidth="1"/>
    <col min="1806" max="1806" width="11" style="1392" customWidth="1"/>
    <col min="1807" max="1808" width="9.7109375" style="1392" customWidth="1"/>
    <col min="1809" max="1809" width="10" style="1392" customWidth="1"/>
    <col min="1810" max="1811" width="17" style="1392" customWidth="1"/>
    <col min="1812" max="2048" width="8.85546875" style="1392"/>
    <col min="2049" max="2049" width="86.7109375" style="1392" customWidth="1"/>
    <col min="2050" max="2050" width="23" style="1392" customWidth="1"/>
    <col min="2051" max="2051" width="17.5703125" style="1392" customWidth="1"/>
    <col min="2052" max="2052" width="27.28515625" style="1392" customWidth="1"/>
    <col min="2053" max="2053" width="33.28515625" style="1392" customWidth="1"/>
    <col min="2054" max="2054" width="27.7109375" style="1392" customWidth="1"/>
    <col min="2055" max="2055" width="22.28515625" style="1392" customWidth="1"/>
    <col min="2056" max="2056" width="32" style="1392" customWidth="1"/>
    <col min="2057" max="2057" width="23.28515625" style="1392" customWidth="1"/>
    <col min="2058" max="2058" width="18" style="1392" customWidth="1"/>
    <col min="2059" max="2059" width="16.7109375" style="1392" customWidth="1"/>
    <col min="2060" max="2060" width="13.28515625" style="1392" customWidth="1"/>
    <col min="2061" max="2061" width="15.28515625" style="1392" customWidth="1"/>
    <col min="2062" max="2062" width="11" style="1392" customWidth="1"/>
    <col min="2063" max="2064" width="9.7109375" style="1392" customWidth="1"/>
    <col min="2065" max="2065" width="10" style="1392" customWidth="1"/>
    <col min="2066" max="2067" width="17" style="1392" customWidth="1"/>
    <col min="2068" max="2304" width="8.85546875" style="1392"/>
    <col min="2305" max="2305" width="86.7109375" style="1392" customWidth="1"/>
    <col min="2306" max="2306" width="23" style="1392" customWidth="1"/>
    <col min="2307" max="2307" width="17.5703125" style="1392" customWidth="1"/>
    <col min="2308" max="2308" width="27.28515625" style="1392" customWidth="1"/>
    <col min="2309" max="2309" width="33.28515625" style="1392" customWidth="1"/>
    <col min="2310" max="2310" width="27.7109375" style="1392" customWidth="1"/>
    <col min="2311" max="2311" width="22.28515625" style="1392" customWidth="1"/>
    <col min="2312" max="2312" width="32" style="1392" customWidth="1"/>
    <col min="2313" max="2313" width="23.28515625" style="1392" customWidth="1"/>
    <col min="2314" max="2314" width="18" style="1392" customWidth="1"/>
    <col min="2315" max="2315" width="16.7109375" style="1392" customWidth="1"/>
    <col min="2316" max="2316" width="13.28515625" style="1392" customWidth="1"/>
    <col min="2317" max="2317" width="15.28515625" style="1392" customWidth="1"/>
    <col min="2318" max="2318" width="11" style="1392" customWidth="1"/>
    <col min="2319" max="2320" width="9.7109375" style="1392" customWidth="1"/>
    <col min="2321" max="2321" width="10" style="1392" customWidth="1"/>
    <col min="2322" max="2323" width="17" style="1392" customWidth="1"/>
    <col min="2324" max="2560" width="8.85546875" style="1392"/>
    <col min="2561" max="2561" width="86.7109375" style="1392" customWidth="1"/>
    <col min="2562" max="2562" width="23" style="1392" customWidth="1"/>
    <col min="2563" max="2563" width="17.5703125" style="1392" customWidth="1"/>
    <col min="2564" max="2564" width="27.28515625" style="1392" customWidth="1"/>
    <col min="2565" max="2565" width="33.28515625" style="1392" customWidth="1"/>
    <col min="2566" max="2566" width="27.7109375" style="1392" customWidth="1"/>
    <col min="2567" max="2567" width="22.28515625" style="1392" customWidth="1"/>
    <col min="2568" max="2568" width="32" style="1392" customWidth="1"/>
    <col min="2569" max="2569" width="23.28515625" style="1392" customWidth="1"/>
    <col min="2570" max="2570" width="18" style="1392" customWidth="1"/>
    <col min="2571" max="2571" width="16.7109375" style="1392" customWidth="1"/>
    <col min="2572" max="2572" width="13.28515625" style="1392" customWidth="1"/>
    <col min="2573" max="2573" width="15.28515625" style="1392" customWidth="1"/>
    <col min="2574" max="2574" width="11" style="1392" customWidth="1"/>
    <col min="2575" max="2576" width="9.7109375" style="1392" customWidth="1"/>
    <col min="2577" max="2577" width="10" style="1392" customWidth="1"/>
    <col min="2578" max="2579" width="17" style="1392" customWidth="1"/>
    <col min="2580" max="2816" width="8.85546875" style="1392"/>
    <col min="2817" max="2817" width="86.7109375" style="1392" customWidth="1"/>
    <col min="2818" max="2818" width="23" style="1392" customWidth="1"/>
    <col min="2819" max="2819" width="17.5703125" style="1392" customWidth="1"/>
    <col min="2820" max="2820" width="27.28515625" style="1392" customWidth="1"/>
    <col min="2821" max="2821" width="33.28515625" style="1392" customWidth="1"/>
    <col min="2822" max="2822" width="27.7109375" style="1392" customWidth="1"/>
    <col min="2823" max="2823" width="22.28515625" style="1392" customWidth="1"/>
    <col min="2824" max="2824" width="32" style="1392" customWidth="1"/>
    <col min="2825" max="2825" width="23.28515625" style="1392" customWidth="1"/>
    <col min="2826" max="2826" width="18" style="1392" customWidth="1"/>
    <col min="2827" max="2827" width="16.7109375" style="1392" customWidth="1"/>
    <col min="2828" max="2828" width="13.28515625" style="1392" customWidth="1"/>
    <col min="2829" max="2829" width="15.28515625" style="1392" customWidth="1"/>
    <col min="2830" max="2830" width="11" style="1392" customWidth="1"/>
    <col min="2831" max="2832" width="9.7109375" style="1392" customWidth="1"/>
    <col min="2833" max="2833" width="10" style="1392" customWidth="1"/>
    <col min="2834" max="2835" width="17" style="1392" customWidth="1"/>
    <col min="2836" max="3072" width="8.85546875" style="1392"/>
    <col min="3073" max="3073" width="86.7109375" style="1392" customWidth="1"/>
    <col min="3074" max="3074" width="23" style="1392" customWidth="1"/>
    <col min="3075" max="3075" width="17.5703125" style="1392" customWidth="1"/>
    <col min="3076" max="3076" width="27.28515625" style="1392" customWidth="1"/>
    <col min="3077" max="3077" width="33.28515625" style="1392" customWidth="1"/>
    <col min="3078" max="3078" width="27.7109375" style="1392" customWidth="1"/>
    <col min="3079" max="3079" width="22.28515625" style="1392" customWidth="1"/>
    <col min="3080" max="3080" width="32" style="1392" customWidth="1"/>
    <col min="3081" max="3081" width="23.28515625" style="1392" customWidth="1"/>
    <col min="3082" max="3082" width="18" style="1392" customWidth="1"/>
    <col min="3083" max="3083" width="16.7109375" style="1392" customWidth="1"/>
    <col min="3084" max="3084" width="13.28515625" style="1392" customWidth="1"/>
    <col min="3085" max="3085" width="15.28515625" style="1392" customWidth="1"/>
    <col min="3086" max="3086" width="11" style="1392" customWidth="1"/>
    <col min="3087" max="3088" width="9.7109375" style="1392" customWidth="1"/>
    <col min="3089" max="3089" width="10" style="1392" customWidth="1"/>
    <col min="3090" max="3091" width="17" style="1392" customWidth="1"/>
    <col min="3092" max="3328" width="8.85546875" style="1392"/>
    <col min="3329" max="3329" width="86.7109375" style="1392" customWidth="1"/>
    <col min="3330" max="3330" width="23" style="1392" customWidth="1"/>
    <col min="3331" max="3331" width="17.5703125" style="1392" customWidth="1"/>
    <col min="3332" max="3332" width="27.28515625" style="1392" customWidth="1"/>
    <col min="3333" max="3333" width="33.28515625" style="1392" customWidth="1"/>
    <col min="3334" max="3334" width="27.7109375" style="1392" customWidth="1"/>
    <col min="3335" max="3335" width="22.28515625" style="1392" customWidth="1"/>
    <col min="3336" max="3336" width="32" style="1392" customWidth="1"/>
    <col min="3337" max="3337" width="23.28515625" style="1392" customWidth="1"/>
    <col min="3338" max="3338" width="18" style="1392" customWidth="1"/>
    <col min="3339" max="3339" width="16.7109375" style="1392" customWidth="1"/>
    <col min="3340" max="3340" width="13.28515625" style="1392" customWidth="1"/>
    <col min="3341" max="3341" width="15.28515625" style="1392" customWidth="1"/>
    <col min="3342" max="3342" width="11" style="1392" customWidth="1"/>
    <col min="3343" max="3344" width="9.7109375" style="1392" customWidth="1"/>
    <col min="3345" max="3345" width="10" style="1392" customWidth="1"/>
    <col min="3346" max="3347" width="17" style="1392" customWidth="1"/>
    <col min="3348" max="3584" width="8.85546875" style="1392"/>
    <col min="3585" max="3585" width="86.7109375" style="1392" customWidth="1"/>
    <col min="3586" max="3586" width="23" style="1392" customWidth="1"/>
    <col min="3587" max="3587" width="17.5703125" style="1392" customWidth="1"/>
    <col min="3588" max="3588" width="27.28515625" style="1392" customWidth="1"/>
    <col min="3589" max="3589" width="33.28515625" style="1392" customWidth="1"/>
    <col min="3590" max="3590" width="27.7109375" style="1392" customWidth="1"/>
    <col min="3591" max="3591" width="22.28515625" style="1392" customWidth="1"/>
    <col min="3592" max="3592" width="32" style="1392" customWidth="1"/>
    <col min="3593" max="3593" width="23.28515625" style="1392" customWidth="1"/>
    <col min="3594" max="3594" width="18" style="1392" customWidth="1"/>
    <col min="3595" max="3595" width="16.7109375" style="1392" customWidth="1"/>
    <col min="3596" max="3596" width="13.28515625" style="1392" customWidth="1"/>
    <col min="3597" max="3597" width="15.28515625" style="1392" customWidth="1"/>
    <col min="3598" max="3598" width="11" style="1392" customWidth="1"/>
    <col min="3599" max="3600" width="9.7109375" style="1392" customWidth="1"/>
    <col min="3601" max="3601" width="10" style="1392" customWidth="1"/>
    <col min="3602" max="3603" width="17" style="1392" customWidth="1"/>
    <col min="3604" max="3840" width="8.85546875" style="1392"/>
    <col min="3841" max="3841" width="86.7109375" style="1392" customWidth="1"/>
    <col min="3842" max="3842" width="23" style="1392" customWidth="1"/>
    <col min="3843" max="3843" width="17.5703125" style="1392" customWidth="1"/>
    <col min="3844" max="3844" width="27.28515625" style="1392" customWidth="1"/>
    <col min="3845" max="3845" width="33.28515625" style="1392" customWidth="1"/>
    <col min="3846" max="3846" width="27.7109375" style="1392" customWidth="1"/>
    <col min="3847" max="3847" width="22.28515625" style="1392" customWidth="1"/>
    <col min="3848" max="3848" width="32" style="1392" customWidth="1"/>
    <col min="3849" max="3849" width="23.28515625" style="1392" customWidth="1"/>
    <col min="3850" max="3850" width="18" style="1392" customWidth="1"/>
    <col min="3851" max="3851" width="16.7109375" style="1392" customWidth="1"/>
    <col min="3852" max="3852" width="13.28515625" style="1392" customWidth="1"/>
    <col min="3853" max="3853" width="15.28515625" style="1392" customWidth="1"/>
    <col min="3854" max="3854" width="11" style="1392" customWidth="1"/>
    <col min="3855" max="3856" width="9.7109375" style="1392" customWidth="1"/>
    <col min="3857" max="3857" width="10" style="1392" customWidth="1"/>
    <col min="3858" max="3859" width="17" style="1392" customWidth="1"/>
    <col min="3860" max="4096" width="8.85546875" style="1392"/>
    <col min="4097" max="4097" width="86.7109375" style="1392" customWidth="1"/>
    <col min="4098" max="4098" width="23" style="1392" customWidth="1"/>
    <col min="4099" max="4099" width="17.5703125" style="1392" customWidth="1"/>
    <col min="4100" max="4100" width="27.28515625" style="1392" customWidth="1"/>
    <col min="4101" max="4101" width="33.28515625" style="1392" customWidth="1"/>
    <col min="4102" max="4102" width="27.7109375" style="1392" customWidth="1"/>
    <col min="4103" max="4103" width="22.28515625" style="1392" customWidth="1"/>
    <col min="4104" max="4104" width="32" style="1392" customWidth="1"/>
    <col min="4105" max="4105" width="23.28515625" style="1392" customWidth="1"/>
    <col min="4106" max="4106" width="18" style="1392" customWidth="1"/>
    <col min="4107" max="4107" width="16.7109375" style="1392" customWidth="1"/>
    <col min="4108" max="4108" width="13.28515625" style="1392" customWidth="1"/>
    <col min="4109" max="4109" width="15.28515625" style="1392" customWidth="1"/>
    <col min="4110" max="4110" width="11" style="1392" customWidth="1"/>
    <col min="4111" max="4112" width="9.7109375" style="1392" customWidth="1"/>
    <col min="4113" max="4113" width="10" style="1392" customWidth="1"/>
    <col min="4114" max="4115" width="17" style="1392" customWidth="1"/>
    <col min="4116" max="4352" width="8.85546875" style="1392"/>
    <col min="4353" max="4353" width="86.7109375" style="1392" customWidth="1"/>
    <col min="4354" max="4354" width="23" style="1392" customWidth="1"/>
    <col min="4355" max="4355" width="17.5703125" style="1392" customWidth="1"/>
    <col min="4356" max="4356" width="27.28515625" style="1392" customWidth="1"/>
    <col min="4357" max="4357" width="33.28515625" style="1392" customWidth="1"/>
    <col min="4358" max="4358" width="27.7109375" style="1392" customWidth="1"/>
    <col min="4359" max="4359" width="22.28515625" style="1392" customWidth="1"/>
    <col min="4360" max="4360" width="32" style="1392" customWidth="1"/>
    <col min="4361" max="4361" width="23.28515625" style="1392" customWidth="1"/>
    <col min="4362" max="4362" width="18" style="1392" customWidth="1"/>
    <col min="4363" max="4363" width="16.7109375" style="1392" customWidth="1"/>
    <col min="4364" max="4364" width="13.28515625" style="1392" customWidth="1"/>
    <col min="4365" max="4365" width="15.28515625" style="1392" customWidth="1"/>
    <col min="4366" max="4366" width="11" style="1392" customWidth="1"/>
    <col min="4367" max="4368" width="9.7109375" style="1392" customWidth="1"/>
    <col min="4369" max="4369" width="10" style="1392" customWidth="1"/>
    <col min="4370" max="4371" width="17" style="1392" customWidth="1"/>
    <col min="4372" max="4608" width="8.85546875" style="1392"/>
    <col min="4609" max="4609" width="86.7109375" style="1392" customWidth="1"/>
    <col min="4610" max="4610" width="23" style="1392" customWidth="1"/>
    <col min="4611" max="4611" width="17.5703125" style="1392" customWidth="1"/>
    <col min="4612" max="4612" width="27.28515625" style="1392" customWidth="1"/>
    <col min="4613" max="4613" width="33.28515625" style="1392" customWidth="1"/>
    <col min="4614" max="4614" width="27.7109375" style="1392" customWidth="1"/>
    <col min="4615" max="4615" width="22.28515625" style="1392" customWidth="1"/>
    <col min="4616" max="4616" width="32" style="1392" customWidth="1"/>
    <col min="4617" max="4617" width="23.28515625" style="1392" customWidth="1"/>
    <col min="4618" max="4618" width="18" style="1392" customWidth="1"/>
    <col min="4619" max="4619" width="16.7109375" style="1392" customWidth="1"/>
    <col min="4620" max="4620" width="13.28515625" style="1392" customWidth="1"/>
    <col min="4621" max="4621" width="15.28515625" style="1392" customWidth="1"/>
    <col min="4622" max="4622" width="11" style="1392" customWidth="1"/>
    <col min="4623" max="4624" width="9.7109375" style="1392" customWidth="1"/>
    <col min="4625" max="4625" width="10" style="1392" customWidth="1"/>
    <col min="4626" max="4627" width="17" style="1392" customWidth="1"/>
    <col min="4628" max="4864" width="8.85546875" style="1392"/>
    <col min="4865" max="4865" width="86.7109375" style="1392" customWidth="1"/>
    <col min="4866" max="4866" width="23" style="1392" customWidth="1"/>
    <col min="4867" max="4867" width="17.5703125" style="1392" customWidth="1"/>
    <col min="4868" max="4868" width="27.28515625" style="1392" customWidth="1"/>
    <col min="4869" max="4869" width="33.28515625" style="1392" customWidth="1"/>
    <col min="4870" max="4870" width="27.7109375" style="1392" customWidth="1"/>
    <col min="4871" max="4871" width="22.28515625" style="1392" customWidth="1"/>
    <col min="4872" max="4872" width="32" style="1392" customWidth="1"/>
    <col min="4873" max="4873" width="23.28515625" style="1392" customWidth="1"/>
    <col min="4874" max="4874" width="18" style="1392" customWidth="1"/>
    <col min="4875" max="4875" width="16.7109375" style="1392" customWidth="1"/>
    <col min="4876" max="4876" width="13.28515625" style="1392" customWidth="1"/>
    <col min="4877" max="4877" width="15.28515625" style="1392" customWidth="1"/>
    <col min="4878" max="4878" width="11" style="1392" customWidth="1"/>
    <col min="4879" max="4880" width="9.7109375" style="1392" customWidth="1"/>
    <col min="4881" max="4881" width="10" style="1392" customWidth="1"/>
    <col min="4882" max="4883" width="17" style="1392" customWidth="1"/>
    <col min="4884" max="5120" width="8.85546875" style="1392"/>
    <col min="5121" max="5121" width="86.7109375" style="1392" customWidth="1"/>
    <col min="5122" max="5122" width="23" style="1392" customWidth="1"/>
    <col min="5123" max="5123" width="17.5703125" style="1392" customWidth="1"/>
    <col min="5124" max="5124" width="27.28515625" style="1392" customWidth="1"/>
    <col min="5125" max="5125" width="33.28515625" style="1392" customWidth="1"/>
    <col min="5126" max="5126" width="27.7109375" style="1392" customWidth="1"/>
    <col min="5127" max="5127" width="22.28515625" style="1392" customWidth="1"/>
    <col min="5128" max="5128" width="32" style="1392" customWidth="1"/>
    <col min="5129" max="5129" width="23.28515625" style="1392" customWidth="1"/>
    <col min="5130" max="5130" width="18" style="1392" customWidth="1"/>
    <col min="5131" max="5131" width="16.7109375" style="1392" customWidth="1"/>
    <col min="5132" max="5132" width="13.28515625" style="1392" customWidth="1"/>
    <col min="5133" max="5133" width="15.28515625" style="1392" customWidth="1"/>
    <col min="5134" max="5134" width="11" style="1392" customWidth="1"/>
    <col min="5135" max="5136" width="9.7109375" style="1392" customWidth="1"/>
    <col min="5137" max="5137" width="10" style="1392" customWidth="1"/>
    <col min="5138" max="5139" width="17" style="1392" customWidth="1"/>
    <col min="5140" max="5376" width="8.85546875" style="1392"/>
    <col min="5377" max="5377" width="86.7109375" style="1392" customWidth="1"/>
    <col min="5378" max="5378" width="23" style="1392" customWidth="1"/>
    <col min="5379" max="5379" width="17.5703125" style="1392" customWidth="1"/>
    <col min="5380" max="5380" width="27.28515625" style="1392" customWidth="1"/>
    <col min="5381" max="5381" width="33.28515625" style="1392" customWidth="1"/>
    <col min="5382" max="5382" width="27.7109375" style="1392" customWidth="1"/>
    <col min="5383" max="5383" width="22.28515625" style="1392" customWidth="1"/>
    <col min="5384" max="5384" width="32" style="1392" customWidth="1"/>
    <col min="5385" max="5385" width="23.28515625" style="1392" customWidth="1"/>
    <col min="5386" max="5386" width="18" style="1392" customWidth="1"/>
    <col min="5387" max="5387" width="16.7109375" style="1392" customWidth="1"/>
    <col min="5388" max="5388" width="13.28515625" style="1392" customWidth="1"/>
    <col min="5389" max="5389" width="15.28515625" style="1392" customWidth="1"/>
    <col min="5390" max="5390" width="11" style="1392" customWidth="1"/>
    <col min="5391" max="5392" width="9.7109375" style="1392" customWidth="1"/>
    <col min="5393" max="5393" width="10" style="1392" customWidth="1"/>
    <col min="5394" max="5395" width="17" style="1392" customWidth="1"/>
    <col min="5396" max="5632" width="8.85546875" style="1392"/>
    <col min="5633" max="5633" width="86.7109375" style="1392" customWidth="1"/>
    <col min="5634" max="5634" width="23" style="1392" customWidth="1"/>
    <col min="5635" max="5635" width="17.5703125" style="1392" customWidth="1"/>
    <col min="5636" max="5636" width="27.28515625" style="1392" customWidth="1"/>
    <col min="5637" max="5637" width="33.28515625" style="1392" customWidth="1"/>
    <col min="5638" max="5638" width="27.7109375" style="1392" customWidth="1"/>
    <col min="5639" max="5639" width="22.28515625" style="1392" customWidth="1"/>
    <col min="5640" max="5640" width="32" style="1392" customWidth="1"/>
    <col min="5641" max="5641" width="23.28515625" style="1392" customWidth="1"/>
    <col min="5642" max="5642" width="18" style="1392" customWidth="1"/>
    <col min="5643" max="5643" width="16.7109375" style="1392" customWidth="1"/>
    <col min="5644" max="5644" width="13.28515625" style="1392" customWidth="1"/>
    <col min="5645" max="5645" width="15.28515625" style="1392" customWidth="1"/>
    <col min="5646" max="5646" width="11" style="1392" customWidth="1"/>
    <col min="5647" max="5648" width="9.7109375" style="1392" customWidth="1"/>
    <col min="5649" max="5649" width="10" style="1392" customWidth="1"/>
    <col min="5650" max="5651" width="17" style="1392" customWidth="1"/>
    <col min="5652" max="5888" width="8.85546875" style="1392"/>
    <col min="5889" max="5889" width="86.7109375" style="1392" customWidth="1"/>
    <col min="5890" max="5890" width="23" style="1392" customWidth="1"/>
    <col min="5891" max="5891" width="17.5703125" style="1392" customWidth="1"/>
    <col min="5892" max="5892" width="27.28515625" style="1392" customWidth="1"/>
    <col min="5893" max="5893" width="33.28515625" style="1392" customWidth="1"/>
    <col min="5894" max="5894" width="27.7109375" style="1392" customWidth="1"/>
    <col min="5895" max="5895" width="22.28515625" style="1392" customWidth="1"/>
    <col min="5896" max="5896" width="32" style="1392" customWidth="1"/>
    <col min="5897" max="5897" width="23.28515625" style="1392" customWidth="1"/>
    <col min="5898" max="5898" width="18" style="1392" customWidth="1"/>
    <col min="5899" max="5899" width="16.7109375" style="1392" customWidth="1"/>
    <col min="5900" max="5900" width="13.28515625" style="1392" customWidth="1"/>
    <col min="5901" max="5901" width="15.28515625" style="1392" customWidth="1"/>
    <col min="5902" max="5902" width="11" style="1392" customWidth="1"/>
    <col min="5903" max="5904" width="9.7109375" style="1392" customWidth="1"/>
    <col min="5905" max="5905" width="10" style="1392" customWidth="1"/>
    <col min="5906" max="5907" width="17" style="1392" customWidth="1"/>
    <col min="5908" max="6144" width="8.85546875" style="1392"/>
    <col min="6145" max="6145" width="86.7109375" style="1392" customWidth="1"/>
    <col min="6146" max="6146" width="23" style="1392" customWidth="1"/>
    <col min="6147" max="6147" width="17.5703125" style="1392" customWidth="1"/>
    <col min="6148" max="6148" width="27.28515625" style="1392" customWidth="1"/>
    <col min="6149" max="6149" width="33.28515625" style="1392" customWidth="1"/>
    <col min="6150" max="6150" width="27.7109375" style="1392" customWidth="1"/>
    <col min="6151" max="6151" width="22.28515625" style="1392" customWidth="1"/>
    <col min="6152" max="6152" width="32" style="1392" customWidth="1"/>
    <col min="6153" max="6153" width="23.28515625" style="1392" customWidth="1"/>
    <col min="6154" max="6154" width="18" style="1392" customWidth="1"/>
    <col min="6155" max="6155" width="16.7109375" style="1392" customWidth="1"/>
    <col min="6156" max="6156" width="13.28515625" style="1392" customWidth="1"/>
    <col min="6157" max="6157" width="15.28515625" style="1392" customWidth="1"/>
    <col min="6158" max="6158" width="11" style="1392" customWidth="1"/>
    <col min="6159" max="6160" width="9.7109375" style="1392" customWidth="1"/>
    <col min="6161" max="6161" width="10" style="1392" customWidth="1"/>
    <col min="6162" max="6163" width="17" style="1392" customWidth="1"/>
    <col min="6164" max="6400" width="8.85546875" style="1392"/>
    <col min="6401" max="6401" width="86.7109375" style="1392" customWidth="1"/>
    <col min="6402" max="6402" width="23" style="1392" customWidth="1"/>
    <col min="6403" max="6403" width="17.5703125" style="1392" customWidth="1"/>
    <col min="6404" max="6404" width="27.28515625" style="1392" customWidth="1"/>
    <col min="6405" max="6405" width="33.28515625" style="1392" customWidth="1"/>
    <col min="6406" max="6406" width="27.7109375" style="1392" customWidth="1"/>
    <col min="6407" max="6407" width="22.28515625" style="1392" customWidth="1"/>
    <col min="6408" max="6408" width="32" style="1392" customWidth="1"/>
    <col min="6409" max="6409" width="23.28515625" style="1392" customWidth="1"/>
    <col min="6410" max="6410" width="18" style="1392" customWidth="1"/>
    <col min="6411" max="6411" width="16.7109375" style="1392" customWidth="1"/>
    <col min="6412" max="6412" width="13.28515625" style="1392" customWidth="1"/>
    <col min="6413" max="6413" width="15.28515625" style="1392" customWidth="1"/>
    <col min="6414" max="6414" width="11" style="1392" customWidth="1"/>
    <col min="6415" max="6416" width="9.7109375" style="1392" customWidth="1"/>
    <col min="6417" max="6417" width="10" style="1392" customWidth="1"/>
    <col min="6418" max="6419" width="17" style="1392" customWidth="1"/>
    <col min="6420" max="6656" width="8.85546875" style="1392"/>
    <col min="6657" max="6657" width="86.7109375" style="1392" customWidth="1"/>
    <col min="6658" max="6658" width="23" style="1392" customWidth="1"/>
    <col min="6659" max="6659" width="17.5703125" style="1392" customWidth="1"/>
    <col min="6660" max="6660" width="27.28515625" style="1392" customWidth="1"/>
    <col min="6661" max="6661" width="33.28515625" style="1392" customWidth="1"/>
    <col min="6662" max="6662" width="27.7109375" style="1392" customWidth="1"/>
    <col min="6663" max="6663" width="22.28515625" style="1392" customWidth="1"/>
    <col min="6664" max="6664" width="32" style="1392" customWidth="1"/>
    <col min="6665" max="6665" width="23.28515625" style="1392" customWidth="1"/>
    <col min="6666" max="6666" width="18" style="1392" customWidth="1"/>
    <col min="6667" max="6667" width="16.7109375" style="1392" customWidth="1"/>
    <col min="6668" max="6668" width="13.28515625" style="1392" customWidth="1"/>
    <col min="6669" max="6669" width="15.28515625" style="1392" customWidth="1"/>
    <col min="6670" max="6670" width="11" style="1392" customWidth="1"/>
    <col min="6671" max="6672" width="9.7109375" style="1392" customWidth="1"/>
    <col min="6673" max="6673" width="10" style="1392" customWidth="1"/>
    <col min="6674" max="6675" width="17" style="1392" customWidth="1"/>
    <col min="6676" max="6912" width="8.85546875" style="1392"/>
    <col min="6913" max="6913" width="86.7109375" style="1392" customWidth="1"/>
    <col min="6914" max="6914" width="23" style="1392" customWidth="1"/>
    <col min="6915" max="6915" width="17.5703125" style="1392" customWidth="1"/>
    <col min="6916" max="6916" width="27.28515625" style="1392" customWidth="1"/>
    <col min="6917" max="6917" width="33.28515625" style="1392" customWidth="1"/>
    <col min="6918" max="6918" width="27.7109375" style="1392" customWidth="1"/>
    <col min="6919" max="6919" width="22.28515625" style="1392" customWidth="1"/>
    <col min="6920" max="6920" width="32" style="1392" customWidth="1"/>
    <col min="6921" max="6921" width="23.28515625" style="1392" customWidth="1"/>
    <col min="6922" max="6922" width="18" style="1392" customWidth="1"/>
    <col min="6923" max="6923" width="16.7109375" style="1392" customWidth="1"/>
    <col min="6924" max="6924" width="13.28515625" style="1392" customWidth="1"/>
    <col min="6925" max="6925" width="15.28515625" style="1392" customWidth="1"/>
    <col min="6926" max="6926" width="11" style="1392" customWidth="1"/>
    <col min="6927" max="6928" width="9.7109375" style="1392" customWidth="1"/>
    <col min="6929" max="6929" width="10" style="1392" customWidth="1"/>
    <col min="6930" max="6931" width="17" style="1392" customWidth="1"/>
    <col min="6932" max="7168" width="8.85546875" style="1392"/>
    <col min="7169" max="7169" width="86.7109375" style="1392" customWidth="1"/>
    <col min="7170" max="7170" width="23" style="1392" customWidth="1"/>
    <col min="7171" max="7171" width="17.5703125" style="1392" customWidth="1"/>
    <col min="7172" max="7172" width="27.28515625" style="1392" customWidth="1"/>
    <col min="7173" max="7173" width="33.28515625" style="1392" customWidth="1"/>
    <col min="7174" max="7174" width="27.7109375" style="1392" customWidth="1"/>
    <col min="7175" max="7175" width="22.28515625" style="1392" customWidth="1"/>
    <col min="7176" max="7176" width="32" style="1392" customWidth="1"/>
    <col min="7177" max="7177" width="23.28515625" style="1392" customWidth="1"/>
    <col min="7178" max="7178" width="18" style="1392" customWidth="1"/>
    <col min="7179" max="7179" width="16.7109375" style="1392" customWidth="1"/>
    <col min="7180" max="7180" width="13.28515625" style="1392" customWidth="1"/>
    <col min="7181" max="7181" width="15.28515625" style="1392" customWidth="1"/>
    <col min="7182" max="7182" width="11" style="1392" customWidth="1"/>
    <col min="7183" max="7184" width="9.7109375" style="1392" customWidth="1"/>
    <col min="7185" max="7185" width="10" style="1392" customWidth="1"/>
    <col min="7186" max="7187" width="17" style="1392" customWidth="1"/>
    <col min="7188" max="7424" width="8.85546875" style="1392"/>
    <col min="7425" max="7425" width="86.7109375" style="1392" customWidth="1"/>
    <col min="7426" max="7426" width="23" style="1392" customWidth="1"/>
    <col min="7427" max="7427" width="17.5703125" style="1392" customWidth="1"/>
    <col min="7428" max="7428" width="27.28515625" style="1392" customWidth="1"/>
    <col min="7429" max="7429" width="33.28515625" style="1392" customWidth="1"/>
    <col min="7430" max="7430" width="27.7109375" style="1392" customWidth="1"/>
    <col min="7431" max="7431" width="22.28515625" style="1392" customWidth="1"/>
    <col min="7432" max="7432" width="32" style="1392" customWidth="1"/>
    <col min="7433" max="7433" width="23.28515625" style="1392" customWidth="1"/>
    <col min="7434" max="7434" width="18" style="1392" customWidth="1"/>
    <col min="7435" max="7435" width="16.7109375" style="1392" customWidth="1"/>
    <col min="7436" max="7436" width="13.28515625" style="1392" customWidth="1"/>
    <col min="7437" max="7437" width="15.28515625" style="1392" customWidth="1"/>
    <col min="7438" max="7438" width="11" style="1392" customWidth="1"/>
    <col min="7439" max="7440" width="9.7109375" style="1392" customWidth="1"/>
    <col min="7441" max="7441" width="10" style="1392" customWidth="1"/>
    <col min="7442" max="7443" width="17" style="1392" customWidth="1"/>
    <col min="7444" max="7680" width="8.85546875" style="1392"/>
    <col min="7681" max="7681" width="86.7109375" style="1392" customWidth="1"/>
    <col min="7682" max="7682" width="23" style="1392" customWidth="1"/>
    <col min="7683" max="7683" width="17.5703125" style="1392" customWidth="1"/>
    <col min="7684" max="7684" width="27.28515625" style="1392" customWidth="1"/>
    <col min="7685" max="7685" width="33.28515625" style="1392" customWidth="1"/>
    <col min="7686" max="7686" width="27.7109375" style="1392" customWidth="1"/>
    <col min="7687" max="7687" width="22.28515625" style="1392" customWidth="1"/>
    <col min="7688" max="7688" width="32" style="1392" customWidth="1"/>
    <col min="7689" max="7689" width="23.28515625" style="1392" customWidth="1"/>
    <col min="7690" max="7690" width="18" style="1392" customWidth="1"/>
    <col min="7691" max="7691" width="16.7109375" style="1392" customWidth="1"/>
    <col min="7692" max="7692" width="13.28515625" style="1392" customWidth="1"/>
    <col min="7693" max="7693" width="15.28515625" style="1392" customWidth="1"/>
    <col min="7694" max="7694" width="11" style="1392" customWidth="1"/>
    <col min="7695" max="7696" width="9.7109375" style="1392" customWidth="1"/>
    <col min="7697" max="7697" width="10" style="1392" customWidth="1"/>
    <col min="7698" max="7699" width="17" style="1392" customWidth="1"/>
    <col min="7700" max="7936" width="8.85546875" style="1392"/>
    <col min="7937" max="7937" width="86.7109375" style="1392" customWidth="1"/>
    <col min="7938" max="7938" width="23" style="1392" customWidth="1"/>
    <col min="7939" max="7939" width="17.5703125" style="1392" customWidth="1"/>
    <col min="7940" max="7940" width="27.28515625" style="1392" customWidth="1"/>
    <col min="7941" max="7941" width="33.28515625" style="1392" customWidth="1"/>
    <col min="7942" max="7942" width="27.7109375" style="1392" customWidth="1"/>
    <col min="7943" max="7943" width="22.28515625" style="1392" customWidth="1"/>
    <col min="7944" max="7944" width="32" style="1392" customWidth="1"/>
    <col min="7945" max="7945" width="23.28515625" style="1392" customWidth="1"/>
    <col min="7946" max="7946" width="18" style="1392" customWidth="1"/>
    <col min="7947" max="7947" width="16.7109375" style="1392" customWidth="1"/>
    <col min="7948" max="7948" width="13.28515625" style="1392" customWidth="1"/>
    <col min="7949" max="7949" width="15.28515625" style="1392" customWidth="1"/>
    <col min="7950" max="7950" width="11" style="1392" customWidth="1"/>
    <col min="7951" max="7952" width="9.7109375" style="1392" customWidth="1"/>
    <col min="7953" max="7953" width="10" style="1392" customWidth="1"/>
    <col min="7954" max="7955" width="17" style="1392" customWidth="1"/>
    <col min="7956" max="8192" width="8.85546875" style="1392"/>
    <col min="8193" max="8193" width="86.7109375" style="1392" customWidth="1"/>
    <col min="8194" max="8194" width="23" style="1392" customWidth="1"/>
    <col min="8195" max="8195" width="17.5703125" style="1392" customWidth="1"/>
    <col min="8196" max="8196" width="27.28515625" style="1392" customWidth="1"/>
    <col min="8197" max="8197" width="33.28515625" style="1392" customWidth="1"/>
    <col min="8198" max="8198" width="27.7109375" style="1392" customWidth="1"/>
    <col min="8199" max="8199" width="22.28515625" style="1392" customWidth="1"/>
    <col min="8200" max="8200" width="32" style="1392" customWidth="1"/>
    <col min="8201" max="8201" width="23.28515625" style="1392" customWidth="1"/>
    <col min="8202" max="8202" width="18" style="1392" customWidth="1"/>
    <col min="8203" max="8203" width="16.7109375" style="1392" customWidth="1"/>
    <col min="8204" max="8204" width="13.28515625" style="1392" customWidth="1"/>
    <col min="8205" max="8205" width="15.28515625" style="1392" customWidth="1"/>
    <col min="8206" max="8206" width="11" style="1392" customWidth="1"/>
    <col min="8207" max="8208" width="9.7109375" style="1392" customWidth="1"/>
    <col min="8209" max="8209" width="10" style="1392" customWidth="1"/>
    <col min="8210" max="8211" width="17" style="1392" customWidth="1"/>
    <col min="8212" max="8448" width="8.85546875" style="1392"/>
    <col min="8449" max="8449" width="86.7109375" style="1392" customWidth="1"/>
    <col min="8450" max="8450" width="23" style="1392" customWidth="1"/>
    <col min="8451" max="8451" width="17.5703125" style="1392" customWidth="1"/>
    <col min="8452" max="8452" width="27.28515625" style="1392" customWidth="1"/>
    <col min="8453" max="8453" width="33.28515625" style="1392" customWidth="1"/>
    <col min="8454" max="8454" width="27.7109375" style="1392" customWidth="1"/>
    <col min="8455" max="8455" width="22.28515625" style="1392" customWidth="1"/>
    <col min="8456" max="8456" width="32" style="1392" customWidth="1"/>
    <col min="8457" max="8457" width="23.28515625" style="1392" customWidth="1"/>
    <col min="8458" max="8458" width="18" style="1392" customWidth="1"/>
    <col min="8459" max="8459" width="16.7109375" style="1392" customWidth="1"/>
    <col min="8460" max="8460" width="13.28515625" style="1392" customWidth="1"/>
    <col min="8461" max="8461" width="15.28515625" style="1392" customWidth="1"/>
    <col min="8462" max="8462" width="11" style="1392" customWidth="1"/>
    <col min="8463" max="8464" width="9.7109375" style="1392" customWidth="1"/>
    <col min="8465" max="8465" width="10" style="1392" customWidth="1"/>
    <col min="8466" max="8467" width="17" style="1392" customWidth="1"/>
    <col min="8468" max="8704" width="8.85546875" style="1392"/>
    <col min="8705" max="8705" width="86.7109375" style="1392" customWidth="1"/>
    <col min="8706" max="8706" width="23" style="1392" customWidth="1"/>
    <col min="8707" max="8707" width="17.5703125" style="1392" customWidth="1"/>
    <col min="8708" max="8708" width="27.28515625" style="1392" customWidth="1"/>
    <col min="8709" max="8709" width="33.28515625" style="1392" customWidth="1"/>
    <col min="8710" max="8710" width="27.7109375" style="1392" customWidth="1"/>
    <col min="8711" max="8711" width="22.28515625" style="1392" customWidth="1"/>
    <col min="8712" max="8712" width="32" style="1392" customWidth="1"/>
    <col min="8713" max="8713" width="23.28515625" style="1392" customWidth="1"/>
    <col min="8714" max="8714" width="18" style="1392" customWidth="1"/>
    <col min="8715" max="8715" width="16.7109375" style="1392" customWidth="1"/>
    <col min="8716" max="8716" width="13.28515625" style="1392" customWidth="1"/>
    <col min="8717" max="8717" width="15.28515625" style="1392" customWidth="1"/>
    <col min="8718" max="8718" width="11" style="1392" customWidth="1"/>
    <col min="8719" max="8720" width="9.7109375" style="1392" customWidth="1"/>
    <col min="8721" max="8721" width="10" style="1392" customWidth="1"/>
    <col min="8722" max="8723" width="17" style="1392" customWidth="1"/>
    <col min="8724" max="8960" width="8.85546875" style="1392"/>
    <col min="8961" max="8961" width="86.7109375" style="1392" customWidth="1"/>
    <col min="8962" max="8962" width="23" style="1392" customWidth="1"/>
    <col min="8963" max="8963" width="17.5703125" style="1392" customWidth="1"/>
    <col min="8964" max="8964" width="27.28515625" style="1392" customWidth="1"/>
    <col min="8965" max="8965" width="33.28515625" style="1392" customWidth="1"/>
    <col min="8966" max="8966" width="27.7109375" style="1392" customWidth="1"/>
    <col min="8967" max="8967" width="22.28515625" style="1392" customWidth="1"/>
    <col min="8968" max="8968" width="32" style="1392" customWidth="1"/>
    <col min="8969" max="8969" width="23.28515625" style="1392" customWidth="1"/>
    <col min="8970" max="8970" width="18" style="1392" customWidth="1"/>
    <col min="8971" max="8971" width="16.7109375" style="1392" customWidth="1"/>
    <col min="8972" max="8972" width="13.28515625" style="1392" customWidth="1"/>
    <col min="8973" max="8973" width="15.28515625" style="1392" customWidth="1"/>
    <col min="8974" max="8974" width="11" style="1392" customWidth="1"/>
    <col min="8975" max="8976" width="9.7109375" style="1392" customWidth="1"/>
    <col min="8977" max="8977" width="10" style="1392" customWidth="1"/>
    <col min="8978" max="8979" width="17" style="1392" customWidth="1"/>
    <col min="8980" max="9216" width="8.85546875" style="1392"/>
    <col min="9217" max="9217" width="86.7109375" style="1392" customWidth="1"/>
    <col min="9218" max="9218" width="23" style="1392" customWidth="1"/>
    <col min="9219" max="9219" width="17.5703125" style="1392" customWidth="1"/>
    <col min="9220" max="9220" width="27.28515625" style="1392" customWidth="1"/>
    <col min="9221" max="9221" width="33.28515625" style="1392" customWidth="1"/>
    <col min="9222" max="9222" width="27.7109375" style="1392" customWidth="1"/>
    <col min="9223" max="9223" width="22.28515625" style="1392" customWidth="1"/>
    <col min="9224" max="9224" width="32" style="1392" customWidth="1"/>
    <col min="9225" max="9225" width="23.28515625" style="1392" customWidth="1"/>
    <col min="9226" max="9226" width="18" style="1392" customWidth="1"/>
    <col min="9227" max="9227" width="16.7109375" style="1392" customWidth="1"/>
    <col min="9228" max="9228" width="13.28515625" style="1392" customWidth="1"/>
    <col min="9229" max="9229" width="15.28515625" style="1392" customWidth="1"/>
    <col min="9230" max="9230" width="11" style="1392" customWidth="1"/>
    <col min="9231" max="9232" width="9.7109375" style="1392" customWidth="1"/>
    <col min="9233" max="9233" width="10" style="1392" customWidth="1"/>
    <col min="9234" max="9235" width="17" style="1392" customWidth="1"/>
    <col min="9236" max="9472" width="8.85546875" style="1392"/>
    <col min="9473" max="9473" width="86.7109375" style="1392" customWidth="1"/>
    <col min="9474" max="9474" width="23" style="1392" customWidth="1"/>
    <col min="9475" max="9475" width="17.5703125" style="1392" customWidth="1"/>
    <col min="9476" max="9476" width="27.28515625" style="1392" customWidth="1"/>
    <col min="9477" max="9477" width="33.28515625" style="1392" customWidth="1"/>
    <col min="9478" max="9478" width="27.7109375" style="1392" customWidth="1"/>
    <col min="9479" max="9479" width="22.28515625" style="1392" customWidth="1"/>
    <col min="9480" max="9480" width="32" style="1392" customWidth="1"/>
    <col min="9481" max="9481" width="23.28515625" style="1392" customWidth="1"/>
    <col min="9482" max="9482" width="18" style="1392" customWidth="1"/>
    <col min="9483" max="9483" width="16.7109375" style="1392" customWidth="1"/>
    <col min="9484" max="9484" width="13.28515625" style="1392" customWidth="1"/>
    <col min="9485" max="9485" width="15.28515625" style="1392" customWidth="1"/>
    <col min="9486" max="9486" width="11" style="1392" customWidth="1"/>
    <col min="9487" max="9488" width="9.7109375" style="1392" customWidth="1"/>
    <col min="9489" max="9489" width="10" style="1392" customWidth="1"/>
    <col min="9490" max="9491" width="17" style="1392" customWidth="1"/>
    <col min="9492" max="9728" width="8.85546875" style="1392"/>
    <col min="9729" max="9729" width="86.7109375" style="1392" customWidth="1"/>
    <col min="9730" max="9730" width="23" style="1392" customWidth="1"/>
    <col min="9731" max="9731" width="17.5703125" style="1392" customWidth="1"/>
    <col min="9732" max="9732" width="27.28515625" style="1392" customWidth="1"/>
    <col min="9733" max="9733" width="33.28515625" style="1392" customWidth="1"/>
    <col min="9734" max="9734" width="27.7109375" style="1392" customWidth="1"/>
    <col min="9735" max="9735" width="22.28515625" style="1392" customWidth="1"/>
    <col min="9736" max="9736" width="32" style="1392" customWidth="1"/>
    <col min="9737" max="9737" width="23.28515625" style="1392" customWidth="1"/>
    <col min="9738" max="9738" width="18" style="1392" customWidth="1"/>
    <col min="9739" max="9739" width="16.7109375" style="1392" customWidth="1"/>
    <col min="9740" max="9740" width="13.28515625" style="1392" customWidth="1"/>
    <col min="9741" max="9741" width="15.28515625" style="1392" customWidth="1"/>
    <col min="9742" max="9742" width="11" style="1392" customWidth="1"/>
    <col min="9743" max="9744" width="9.7109375" style="1392" customWidth="1"/>
    <col min="9745" max="9745" width="10" style="1392" customWidth="1"/>
    <col min="9746" max="9747" width="17" style="1392" customWidth="1"/>
    <col min="9748" max="9984" width="8.85546875" style="1392"/>
    <col min="9985" max="9985" width="86.7109375" style="1392" customWidth="1"/>
    <col min="9986" max="9986" width="23" style="1392" customWidth="1"/>
    <col min="9987" max="9987" width="17.5703125" style="1392" customWidth="1"/>
    <col min="9988" max="9988" width="27.28515625" style="1392" customWidth="1"/>
    <col min="9989" max="9989" width="33.28515625" style="1392" customWidth="1"/>
    <col min="9990" max="9990" width="27.7109375" style="1392" customWidth="1"/>
    <col min="9991" max="9991" width="22.28515625" style="1392" customWidth="1"/>
    <col min="9992" max="9992" width="32" style="1392" customWidth="1"/>
    <col min="9993" max="9993" width="23.28515625" style="1392" customWidth="1"/>
    <col min="9994" max="9994" width="18" style="1392" customWidth="1"/>
    <col min="9995" max="9995" width="16.7109375" style="1392" customWidth="1"/>
    <col min="9996" max="9996" width="13.28515625" style="1392" customWidth="1"/>
    <col min="9997" max="9997" width="15.28515625" style="1392" customWidth="1"/>
    <col min="9998" max="9998" width="11" style="1392" customWidth="1"/>
    <col min="9999" max="10000" width="9.7109375" style="1392" customWidth="1"/>
    <col min="10001" max="10001" width="10" style="1392" customWidth="1"/>
    <col min="10002" max="10003" width="17" style="1392" customWidth="1"/>
    <col min="10004" max="10240" width="8.85546875" style="1392"/>
    <col min="10241" max="10241" width="86.7109375" style="1392" customWidth="1"/>
    <col min="10242" max="10242" width="23" style="1392" customWidth="1"/>
    <col min="10243" max="10243" width="17.5703125" style="1392" customWidth="1"/>
    <col min="10244" max="10244" width="27.28515625" style="1392" customWidth="1"/>
    <col min="10245" max="10245" width="33.28515625" style="1392" customWidth="1"/>
    <col min="10246" max="10246" width="27.7109375" style="1392" customWidth="1"/>
    <col min="10247" max="10247" width="22.28515625" style="1392" customWidth="1"/>
    <col min="10248" max="10248" width="32" style="1392" customWidth="1"/>
    <col min="10249" max="10249" width="23.28515625" style="1392" customWidth="1"/>
    <col min="10250" max="10250" width="18" style="1392" customWidth="1"/>
    <col min="10251" max="10251" width="16.7109375" style="1392" customWidth="1"/>
    <col min="10252" max="10252" width="13.28515625" style="1392" customWidth="1"/>
    <col min="10253" max="10253" width="15.28515625" style="1392" customWidth="1"/>
    <col min="10254" max="10254" width="11" style="1392" customWidth="1"/>
    <col min="10255" max="10256" width="9.7109375" style="1392" customWidth="1"/>
    <col min="10257" max="10257" width="10" style="1392" customWidth="1"/>
    <col min="10258" max="10259" width="17" style="1392" customWidth="1"/>
    <col min="10260" max="10496" width="8.85546875" style="1392"/>
    <col min="10497" max="10497" width="86.7109375" style="1392" customWidth="1"/>
    <col min="10498" max="10498" width="23" style="1392" customWidth="1"/>
    <col min="10499" max="10499" width="17.5703125" style="1392" customWidth="1"/>
    <col min="10500" max="10500" width="27.28515625" style="1392" customWidth="1"/>
    <col min="10501" max="10501" width="33.28515625" style="1392" customWidth="1"/>
    <col min="10502" max="10502" width="27.7109375" style="1392" customWidth="1"/>
    <col min="10503" max="10503" width="22.28515625" style="1392" customWidth="1"/>
    <col min="10504" max="10504" width="32" style="1392" customWidth="1"/>
    <col min="10505" max="10505" width="23.28515625" style="1392" customWidth="1"/>
    <col min="10506" max="10506" width="18" style="1392" customWidth="1"/>
    <col min="10507" max="10507" width="16.7109375" style="1392" customWidth="1"/>
    <col min="10508" max="10508" width="13.28515625" style="1392" customWidth="1"/>
    <col min="10509" max="10509" width="15.28515625" style="1392" customWidth="1"/>
    <col min="10510" max="10510" width="11" style="1392" customWidth="1"/>
    <col min="10511" max="10512" width="9.7109375" style="1392" customWidth="1"/>
    <col min="10513" max="10513" width="10" style="1392" customWidth="1"/>
    <col min="10514" max="10515" width="17" style="1392" customWidth="1"/>
    <col min="10516" max="10752" width="8.85546875" style="1392"/>
    <col min="10753" max="10753" width="86.7109375" style="1392" customWidth="1"/>
    <col min="10754" max="10754" width="23" style="1392" customWidth="1"/>
    <col min="10755" max="10755" width="17.5703125" style="1392" customWidth="1"/>
    <col min="10756" max="10756" width="27.28515625" style="1392" customWidth="1"/>
    <col min="10757" max="10757" width="33.28515625" style="1392" customWidth="1"/>
    <col min="10758" max="10758" width="27.7109375" style="1392" customWidth="1"/>
    <col min="10759" max="10759" width="22.28515625" style="1392" customWidth="1"/>
    <col min="10760" max="10760" width="32" style="1392" customWidth="1"/>
    <col min="10761" max="10761" width="23.28515625" style="1392" customWidth="1"/>
    <col min="10762" max="10762" width="18" style="1392" customWidth="1"/>
    <col min="10763" max="10763" width="16.7109375" style="1392" customWidth="1"/>
    <col min="10764" max="10764" width="13.28515625" style="1392" customWidth="1"/>
    <col min="10765" max="10765" width="15.28515625" style="1392" customWidth="1"/>
    <col min="10766" max="10766" width="11" style="1392" customWidth="1"/>
    <col min="10767" max="10768" width="9.7109375" style="1392" customWidth="1"/>
    <col min="10769" max="10769" width="10" style="1392" customWidth="1"/>
    <col min="10770" max="10771" width="17" style="1392" customWidth="1"/>
    <col min="10772" max="11008" width="8.85546875" style="1392"/>
    <col min="11009" max="11009" width="86.7109375" style="1392" customWidth="1"/>
    <col min="11010" max="11010" width="23" style="1392" customWidth="1"/>
    <col min="11011" max="11011" width="17.5703125" style="1392" customWidth="1"/>
    <col min="11012" max="11012" width="27.28515625" style="1392" customWidth="1"/>
    <col min="11013" max="11013" width="33.28515625" style="1392" customWidth="1"/>
    <col min="11014" max="11014" width="27.7109375" style="1392" customWidth="1"/>
    <col min="11015" max="11015" width="22.28515625" style="1392" customWidth="1"/>
    <col min="11016" max="11016" width="32" style="1392" customWidth="1"/>
    <col min="11017" max="11017" width="23.28515625" style="1392" customWidth="1"/>
    <col min="11018" max="11018" width="18" style="1392" customWidth="1"/>
    <col min="11019" max="11019" width="16.7109375" style="1392" customWidth="1"/>
    <col min="11020" max="11020" width="13.28515625" style="1392" customWidth="1"/>
    <col min="11021" max="11021" width="15.28515625" style="1392" customWidth="1"/>
    <col min="11022" max="11022" width="11" style="1392" customWidth="1"/>
    <col min="11023" max="11024" width="9.7109375" style="1392" customWidth="1"/>
    <col min="11025" max="11025" width="10" style="1392" customWidth="1"/>
    <col min="11026" max="11027" width="17" style="1392" customWidth="1"/>
    <col min="11028" max="11264" width="8.85546875" style="1392"/>
    <col min="11265" max="11265" width="86.7109375" style="1392" customWidth="1"/>
    <col min="11266" max="11266" width="23" style="1392" customWidth="1"/>
    <col min="11267" max="11267" width="17.5703125" style="1392" customWidth="1"/>
    <col min="11268" max="11268" width="27.28515625" style="1392" customWidth="1"/>
    <col min="11269" max="11269" width="33.28515625" style="1392" customWidth="1"/>
    <col min="11270" max="11270" width="27.7109375" style="1392" customWidth="1"/>
    <col min="11271" max="11271" width="22.28515625" style="1392" customWidth="1"/>
    <col min="11272" max="11272" width="32" style="1392" customWidth="1"/>
    <col min="11273" max="11273" width="23.28515625" style="1392" customWidth="1"/>
    <col min="11274" max="11274" width="18" style="1392" customWidth="1"/>
    <col min="11275" max="11275" width="16.7109375" style="1392" customWidth="1"/>
    <col min="11276" max="11276" width="13.28515625" style="1392" customWidth="1"/>
    <col min="11277" max="11277" width="15.28515625" style="1392" customWidth="1"/>
    <col min="11278" max="11278" width="11" style="1392" customWidth="1"/>
    <col min="11279" max="11280" width="9.7109375" style="1392" customWidth="1"/>
    <col min="11281" max="11281" width="10" style="1392" customWidth="1"/>
    <col min="11282" max="11283" width="17" style="1392" customWidth="1"/>
    <col min="11284" max="11520" width="8.85546875" style="1392"/>
    <col min="11521" max="11521" width="86.7109375" style="1392" customWidth="1"/>
    <col min="11522" max="11522" width="23" style="1392" customWidth="1"/>
    <col min="11523" max="11523" width="17.5703125" style="1392" customWidth="1"/>
    <col min="11524" max="11524" width="27.28515625" style="1392" customWidth="1"/>
    <col min="11525" max="11525" width="33.28515625" style="1392" customWidth="1"/>
    <col min="11526" max="11526" width="27.7109375" style="1392" customWidth="1"/>
    <col min="11527" max="11527" width="22.28515625" style="1392" customWidth="1"/>
    <col min="11528" max="11528" width="32" style="1392" customWidth="1"/>
    <col min="11529" max="11529" width="23.28515625" style="1392" customWidth="1"/>
    <col min="11530" max="11530" width="18" style="1392" customWidth="1"/>
    <col min="11531" max="11531" width="16.7109375" style="1392" customWidth="1"/>
    <col min="11532" max="11532" width="13.28515625" style="1392" customWidth="1"/>
    <col min="11533" max="11533" width="15.28515625" style="1392" customWidth="1"/>
    <col min="11534" max="11534" width="11" style="1392" customWidth="1"/>
    <col min="11535" max="11536" width="9.7109375" style="1392" customWidth="1"/>
    <col min="11537" max="11537" width="10" style="1392" customWidth="1"/>
    <col min="11538" max="11539" width="17" style="1392" customWidth="1"/>
    <col min="11540" max="11776" width="8.85546875" style="1392"/>
    <col min="11777" max="11777" width="86.7109375" style="1392" customWidth="1"/>
    <col min="11778" max="11778" width="23" style="1392" customWidth="1"/>
    <col min="11779" max="11779" width="17.5703125" style="1392" customWidth="1"/>
    <col min="11780" max="11780" width="27.28515625" style="1392" customWidth="1"/>
    <col min="11781" max="11781" width="33.28515625" style="1392" customWidth="1"/>
    <col min="11782" max="11782" width="27.7109375" style="1392" customWidth="1"/>
    <col min="11783" max="11783" width="22.28515625" style="1392" customWidth="1"/>
    <col min="11784" max="11784" width="32" style="1392" customWidth="1"/>
    <col min="11785" max="11785" width="23.28515625" style="1392" customWidth="1"/>
    <col min="11786" max="11786" width="18" style="1392" customWidth="1"/>
    <col min="11787" max="11787" width="16.7109375" style="1392" customWidth="1"/>
    <col min="11788" max="11788" width="13.28515625" style="1392" customWidth="1"/>
    <col min="11789" max="11789" width="15.28515625" style="1392" customWidth="1"/>
    <col min="11790" max="11790" width="11" style="1392" customWidth="1"/>
    <col min="11791" max="11792" width="9.7109375" style="1392" customWidth="1"/>
    <col min="11793" max="11793" width="10" style="1392" customWidth="1"/>
    <col min="11794" max="11795" width="17" style="1392" customWidth="1"/>
    <col min="11796" max="12032" width="8.85546875" style="1392"/>
    <col min="12033" max="12033" width="86.7109375" style="1392" customWidth="1"/>
    <col min="12034" max="12034" width="23" style="1392" customWidth="1"/>
    <col min="12035" max="12035" width="17.5703125" style="1392" customWidth="1"/>
    <col min="12036" max="12036" width="27.28515625" style="1392" customWidth="1"/>
    <col min="12037" max="12037" width="33.28515625" style="1392" customWidth="1"/>
    <col min="12038" max="12038" width="27.7109375" style="1392" customWidth="1"/>
    <col min="12039" max="12039" width="22.28515625" style="1392" customWidth="1"/>
    <col min="12040" max="12040" width="32" style="1392" customWidth="1"/>
    <col min="12041" max="12041" width="23.28515625" style="1392" customWidth="1"/>
    <col min="12042" max="12042" width="18" style="1392" customWidth="1"/>
    <col min="12043" max="12043" width="16.7109375" style="1392" customWidth="1"/>
    <col min="12044" max="12044" width="13.28515625" style="1392" customWidth="1"/>
    <col min="12045" max="12045" width="15.28515625" style="1392" customWidth="1"/>
    <col min="12046" max="12046" width="11" style="1392" customWidth="1"/>
    <col min="12047" max="12048" width="9.7109375" style="1392" customWidth="1"/>
    <col min="12049" max="12049" width="10" style="1392" customWidth="1"/>
    <col min="12050" max="12051" width="17" style="1392" customWidth="1"/>
    <col min="12052" max="12288" width="8.85546875" style="1392"/>
    <col min="12289" max="12289" width="86.7109375" style="1392" customWidth="1"/>
    <col min="12290" max="12290" width="23" style="1392" customWidth="1"/>
    <col min="12291" max="12291" width="17.5703125" style="1392" customWidth="1"/>
    <col min="12292" max="12292" width="27.28515625" style="1392" customWidth="1"/>
    <col min="12293" max="12293" width="33.28515625" style="1392" customWidth="1"/>
    <col min="12294" max="12294" width="27.7109375" style="1392" customWidth="1"/>
    <col min="12295" max="12295" width="22.28515625" style="1392" customWidth="1"/>
    <col min="12296" max="12296" width="32" style="1392" customWidth="1"/>
    <col min="12297" max="12297" width="23.28515625" style="1392" customWidth="1"/>
    <col min="12298" max="12298" width="18" style="1392" customWidth="1"/>
    <col min="12299" max="12299" width="16.7109375" style="1392" customWidth="1"/>
    <col min="12300" max="12300" width="13.28515625" style="1392" customWidth="1"/>
    <col min="12301" max="12301" width="15.28515625" style="1392" customWidth="1"/>
    <col min="12302" max="12302" width="11" style="1392" customWidth="1"/>
    <col min="12303" max="12304" width="9.7109375" style="1392" customWidth="1"/>
    <col min="12305" max="12305" width="10" style="1392" customWidth="1"/>
    <col min="12306" max="12307" width="17" style="1392" customWidth="1"/>
    <col min="12308" max="12544" width="8.85546875" style="1392"/>
    <col min="12545" max="12545" width="86.7109375" style="1392" customWidth="1"/>
    <col min="12546" max="12546" width="23" style="1392" customWidth="1"/>
    <col min="12547" max="12547" width="17.5703125" style="1392" customWidth="1"/>
    <col min="12548" max="12548" width="27.28515625" style="1392" customWidth="1"/>
    <col min="12549" max="12549" width="33.28515625" style="1392" customWidth="1"/>
    <col min="12550" max="12550" width="27.7109375" style="1392" customWidth="1"/>
    <col min="12551" max="12551" width="22.28515625" style="1392" customWidth="1"/>
    <col min="12552" max="12552" width="32" style="1392" customWidth="1"/>
    <col min="12553" max="12553" width="23.28515625" style="1392" customWidth="1"/>
    <col min="12554" max="12554" width="18" style="1392" customWidth="1"/>
    <col min="12555" max="12555" width="16.7109375" style="1392" customWidth="1"/>
    <col min="12556" max="12556" width="13.28515625" style="1392" customWidth="1"/>
    <col min="12557" max="12557" width="15.28515625" style="1392" customWidth="1"/>
    <col min="12558" max="12558" width="11" style="1392" customWidth="1"/>
    <col min="12559" max="12560" width="9.7109375" style="1392" customWidth="1"/>
    <col min="12561" max="12561" width="10" style="1392" customWidth="1"/>
    <col min="12562" max="12563" width="17" style="1392" customWidth="1"/>
    <col min="12564" max="12800" width="8.85546875" style="1392"/>
    <col min="12801" max="12801" width="86.7109375" style="1392" customWidth="1"/>
    <col min="12802" max="12802" width="23" style="1392" customWidth="1"/>
    <col min="12803" max="12803" width="17.5703125" style="1392" customWidth="1"/>
    <col min="12804" max="12804" width="27.28515625" style="1392" customWidth="1"/>
    <col min="12805" max="12805" width="33.28515625" style="1392" customWidth="1"/>
    <col min="12806" max="12806" width="27.7109375" style="1392" customWidth="1"/>
    <col min="12807" max="12807" width="22.28515625" style="1392" customWidth="1"/>
    <col min="12808" max="12808" width="32" style="1392" customWidth="1"/>
    <col min="12809" max="12809" width="23.28515625" style="1392" customWidth="1"/>
    <col min="12810" max="12810" width="18" style="1392" customWidth="1"/>
    <col min="12811" max="12811" width="16.7109375" style="1392" customWidth="1"/>
    <col min="12812" max="12812" width="13.28515625" style="1392" customWidth="1"/>
    <col min="12813" max="12813" width="15.28515625" style="1392" customWidth="1"/>
    <col min="12814" max="12814" width="11" style="1392" customWidth="1"/>
    <col min="12815" max="12816" width="9.7109375" style="1392" customWidth="1"/>
    <col min="12817" max="12817" width="10" style="1392" customWidth="1"/>
    <col min="12818" max="12819" width="17" style="1392" customWidth="1"/>
    <col min="12820" max="13056" width="8.85546875" style="1392"/>
    <col min="13057" max="13057" width="86.7109375" style="1392" customWidth="1"/>
    <col min="13058" max="13058" width="23" style="1392" customWidth="1"/>
    <col min="13059" max="13059" width="17.5703125" style="1392" customWidth="1"/>
    <col min="13060" max="13060" width="27.28515625" style="1392" customWidth="1"/>
    <col min="13061" max="13061" width="33.28515625" style="1392" customWidth="1"/>
    <col min="13062" max="13062" width="27.7109375" style="1392" customWidth="1"/>
    <col min="13063" max="13063" width="22.28515625" style="1392" customWidth="1"/>
    <col min="13064" max="13064" width="32" style="1392" customWidth="1"/>
    <col min="13065" max="13065" width="23.28515625" style="1392" customWidth="1"/>
    <col min="13066" max="13066" width="18" style="1392" customWidth="1"/>
    <col min="13067" max="13067" width="16.7109375" style="1392" customWidth="1"/>
    <col min="13068" max="13068" width="13.28515625" style="1392" customWidth="1"/>
    <col min="13069" max="13069" width="15.28515625" style="1392" customWidth="1"/>
    <col min="13070" max="13070" width="11" style="1392" customWidth="1"/>
    <col min="13071" max="13072" width="9.7109375" style="1392" customWidth="1"/>
    <col min="13073" max="13073" width="10" style="1392" customWidth="1"/>
    <col min="13074" max="13075" width="17" style="1392" customWidth="1"/>
    <col min="13076" max="13312" width="8.85546875" style="1392"/>
    <col min="13313" max="13313" width="86.7109375" style="1392" customWidth="1"/>
    <col min="13314" max="13314" width="23" style="1392" customWidth="1"/>
    <col min="13315" max="13315" width="17.5703125" style="1392" customWidth="1"/>
    <col min="13316" max="13316" width="27.28515625" style="1392" customWidth="1"/>
    <col min="13317" max="13317" width="33.28515625" style="1392" customWidth="1"/>
    <col min="13318" max="13318" width="27.7109375" style="1392" customWidth="1"/>
    <col min="13319" max="13319" width="22.28515625" style="1392" customWidth="1"/>
    <col min="13320" max="13320" width="32" style="1392" customWidth="1"/>
    <col min="13321" max="13321" width="23.28515625" style="1392" customWidth="1"/>
    <col min="13322" max="13322" width="18" style="1392" customWidth="1"/>
    <col min="13323" max="13323" width="16.7109375" style="1392" customWidth="1"/>
    <col min="13324" max="13324" width="13.28515625" style="1392" customWidth="1"/>
    <col min="13325" max="13325" width="15.28515625" style="1392" customWidth="1"/>
    <col min="13326" max="13326" width="11" style="1392" customWidth="1"/>
    <col min="13327" max="13328" width="9.7109375" style="1392" customWidth="1"/>
    <col min="13329" max="13329" width="10" style="1392" customWidth="1"/>
    <col min="13330" max="13331" width="17" style="1392" customWidth="1"/>
    <col min="13332" max="13568" width="8.85546875" style="1392"/>
    <col min="13569" max="13569" width="86.7109375" style="1392" customWidth="1"/>
    <col min="13570" max="13570" width="23" style="1392" customWidth="1"/>
    <col min="13571" max="13571" width="17.5703125" style="1392" customWidth="1"/>
    <col min="13572" max="13572" width="27.28515625" style="1392" customWidth="1"/>
    <col min="13573" max="13573" width="33.28515625" style="1392" customWidth="1"/>
    <col min="13574" max="13574" width="27.7109375" style="1392" customWidth="1"/>
    <col min="13575" max="13575" width="22.28515625" style="1392" customWidth="1"/>
    <col min="13576" max="13576" width="32" style="1392" customWidth="1"/>
    <col min="13577" max="13577" width="23.28515625" style="1392" customWidth="1"/>
    <col min="13578" max="13578" width="18" style="1392" customWidth="1"/>
    <col min="13579" max="13579" width="16.7109375" style="1392" customWidth="1"/>
    <col min="13580" max="13580" width="13.28515625" style="1392" customWidth="1"/>
    <col min="13581" max="13581" width="15.28515625" style="1392" customWidth="1"/>
    <col min="13582" max="13582" width="11" style="1392" customWidth="1"/>
    <col min="13583" max="13584" width="9.7109375" style="1392" customWidth="1"/>
    <col min="13585" max="13585" width="10" style="1392" customWidth="1"/>
    <col min="13586" max="13587" width="17" style="1392" customWidth="1"/>
    <col min="13588" max="13824" width="8.85546875" style="1392"/>
    <col min="13825" max="13825" width="86.7109375" style="1392" customWidth="1"/>
    <col min="13826" max="13826" width="23" style="1392" customWidth="1"/>
    <col min="13827" max="13827" width="17.5703125" style="1392" customWidth="1"/>
    <col min="13828" max="13828" width="27.28515625" style="1392" customWidth="1"/>
    <col min="13829" max="13829" width="33.28515625" style="1392" customWidth="1"/>
    <col min="13830" max="13830" width="27.7109375" style="1392" customWidth="1"/>
    <col min="13831" max="13831" width="22.28515625" style="1392" customWidth="1"/>
    <col min="13832" max="13832" width="32" style="1392" customWidth="1"/>
    <col min="13833" max="13833" width="23.28515625" style="1392" customWidth="1"/>
    <col min="13834" max="13834" width="18" style="1392" customWidth="1"/>
    <col min="13835" max="13835" width="16.7109375" style="1392" customWidth="1"/>
    <col min="13836" max="13836" width="13.28515625" style="1392" customWidth="1"/>
    <col min="13837" max="13837" width="15.28515625" style="1392" customWidth="1"/>
    <col min="13838" max="13838" width="11" style="1392" customWidth="1"/>
    <col min="13839" max="13840" width="9.7109375" style="1392" customWidth="1"/>
    <col min="13841" max="13841" width="10" style="1392" customWidth="1"/>
    <col min="13842" max="13843" width="17" style="1392" customWidth="1"/>
    <col min="13844" max="14080" width="8.85546875" style="1392"/>
    <col min="14081" max="14081" width="86.7109375" style="1392" customWidth="1"/>
    <col min="14082" max="14082" width="23" style="1392" customWidth="1"/>
    <col min="14083" max="14083" width="17.5703125" style="1392" customWidth="1"/>
    <col min="14084" max="14084" width="27.28515625" style="1392" customWidth="1"/>
    <col min="14085" max="14085" width="33.28515625" style="1392" customWidth="1"/>
    <col min="14086" max="14086" width="27.7109375" style="1392" customWidth="1"/>
    <col min="14087" max="14087" width="22.28515625" style="1392" customWidth="1"/>
    <col min="14088" max="14088" width="32" style="1392" customWidth="1"/>
    <col min="14089" max="14089" width="23.28515625" style="1392" customWidth="1"/>
    <col min="14090" max="14090" width="18" style="1392" customWidth="1"/>
    <col min="14091" max="14091" width="16.7109375" style="1392" customWidth="1"/>
    <col min="14092" max="14092" width="13.28515625" style="1392" customWidth="1"/>
    <col min="14093" max="14093" width="15.28515625" style="1392" customWidth="1"/>
    <col min="14094" max="14094" width="11" style="1392" customWidth="1"/>
    <col min="14095" max="14096" width="9.7109375" style="1392" customWidth="1"/>
    <col min="14097" max="14097" width="10" style="1392" customWidth="1"/>
    <col min="14098" max="14099" width="17" style="1392" customWidth="1"/>
    <col min="14100" max="14336" width="8.85546875" style="1392"/>
    <col min="14337" max="14337" width="86.7109375" style="1392" customWidth="1"/>
    <col min="14338" max="14338" width="23" style="1392" customWidth="1"/>
    <col min="14339" max="14339" width="17.5703125" style="1392" customWidth="1"/>
    <col min="14340" max="14340" width="27.28515625" style="1392" customWidth="1"/>
    <col min="14341" max="14341" width="33.28515625" style="1392" customWidth="1"/>
    <col min="14342" max="14342" width="27.7109375" style="1392" customWidth="1"/>
    <col min="14343" max="14343" width="22.28515625" style="1392" customWidth="1"/>
    <col min="14344" max="14344" width="32" style="1392" customWidth="1"/>
    <col min="14345" max="14345" width="23.28515625" style="1392" customWidth="1"/>
    <col min="14346" max="14346" width="18" style="1392" customWidth="1"/>
    <col min="14347" max="14347" width="16.7109375" style="1392" customWidth="1"/>
    <col min="14348" max="14348" width="13.28515625" style="1392" customWidth="1"/>
    <col min="14349" max="14349" width="15.28515625" style="1392" customWidth="1"/>
    <col min="14350" max="14350" width="11" style="1392" customWidth="1"/>
    <col min="14351" max="14352" width="9.7109375" style="1392" customWidth="1"/>
    <col min="14353" max="14353" width="10" style="1392" customWidth="1"/>
    <col min="14354" max="14355" width="17" style="1392" customWidth="1"/>
    <col min="14356" max="14592" width="8.85546875" style="1392"/>
    <col min="14593" max="14593" width="86.7109375" style="1392" customWidth="1"/>
    <col min="14594" max="14594" width="23" style="1392" customWidth="1"/>
    <col min="14595" max="14595" width="17.5703125" style="1392" customWidth="1"/>
    <col min="14596" max="14596" width="27.28515625" style="1392" customWidth="1"/>
    <col min="14597" max="14597" width="33.28515625" style="1392" customWidth="1"/>
    <col min="14598" max="14598" width="27.7109375" style="1392" customWidth="1"/>
    <col min="14599" max="14599" width="22.28515625" style="1392" customWidth="1"/>
    <col min="14600" max="14600" width="32" style="1392" customWidth="1"/>
    <col min="14601" max="14601" width="23.28515625" style="1392" customWidth="1"/>
    <col min="14602" max="14602" width="18" style="1392" customWidth="1"/>
    <col min="14603" max="14603" width="16.7109375" style="1392" customWidth="1"/>
    <col min="14604" max="14604" width="13.28515625" style="1392" customWidth="1"/>
    <col min="14605" max="14605" width="15.28515625" style="1392" customWidth="1"/>
    <col min="14606" max="14606" width="11" style="1392" customWidth="1"/>
    <col min="14607" max="14608" width="9.7109375" style="1392" customWidth="1"/>
    <col min="14609" max="14609" width="10" style="1392" customWidth="1"/>
    <col min="14610" max="14611" width="17" style="1392" customWidth="1"/>
    <col min="14612" max="14848" width="8.85546875" style="1392"/>
    <col min="14849" max="14849" width="86.7109375" style="1392" customWidth="1"/>
    <col min="14850" max="14850" width="23" style="1392" customWidth="1"/>
    <col min="14851" max="14851" width="17.5703125" style="1392" customWidth="1"/>
    <col min="14852" max="14852" width="27.28515625" style="1392" customWidth="1"/>
    <col min="14853" max="14853" width="33.28515625" style="1392" customWidth="1"/>
    <col min="14854" max="14854" width="27.7109375" style="1392" customWidth="1"/>
    <col min="14855" max="14855" width="22.28515625" style="1392" customWidth="1"/>
    <col min="14856" max="14856" width="32" style="1392" customWidth="1"/>
    <col min="14857" max="14857" width="23.28515625" style="1392" customWidth="1"/>
    <col min="14858" max="14858" width="18" style="1392" customWidth="1"/>
    <col min="14859" max="14859" width="16.7109375" style="1392" customWidth="1"/>
    <col min="14860" max="14860" width="13.28515625" style="1392" customWidth="1"/>
    <col min="14861" max="14861" width="15.28515625" style="1392" customWidth="1"/>
    <col min="14862" max="14862" width="11" style="1392" customWidth="1"/>
    <col min="14863" max="14864" width="9.7109375" style="1392" customWidth="1"/>
    <col min="14865" max="14865" width="10" style="1392" customWidth="1"/>
    <col min="14866" max="14867" width="17" style="1392" customWidth="1"/>
    <col min="14868" max="15104" width="8.85546875" style="1392"/>
    <col min="15105" max="15105" width="86.7109375" style="1392" customWidth="1"/>
    <col min="15106" max="15106" width="23" style="1392" customWidth="1"/>
    <col min="15107" max="15107" width="17.5703125" style="1392" customWidth="1"/>
    <col min="15108" max="15108" width="27.28515625" style="1392" customWidth="1"/>
    <col min="15109" max="15109" width="33.28515625" style="1392" customWidth="1"/>
    <col min="15110" max="15110" width="27.7109375" style="1392" customWidth="1"/>
    <col min="15111" max="15111" width="22.28515625" style="1392" customWidth="1"/>
    <col min="15112" max="15112" width="32" style="1392" customWidth="1"/>
    <col min="15113" max="15113" width="23.28515625" style="1392" customWidth="1"/>
    <col min="15114" max="15114" width="18" style="1392" customWidth="1"/>
    <col min="15115" max="15115" width="16.7109375" style="1392" customWidth="1"/>
    <col min="15116" max="15116" width="13.28515625" style="1392" customWidth="1"/>
    <col min="15117" max="15117" width="15.28515625" style="1392" customWidth="1"/>
    <col min="15118" max="15118" width="11" style="1392" customWidth="1"/>
    <col min="15119" max="15120" width="9.7109375" style="1392" customWidth="1"/>
    <col min="15121" max="15121" width="10" style="1392" customWidth="1"/>
    <col min="15122" max="15123" width="17" style="1392" customWidth="1"/>
    <col min="15124" max="15360" width="8.85546875" style="1392"/>
    <col min="15361" max="15361" width="86.7109375" style="1392" customWidth="1"/>
    <col min="15362" max="15362" width="23" style="1392" customWidth="1"/>
    <col min="15363" max="15363" width="17.5703125" style="1392" customWidth="1"/>
    <col min="15364" max="15364" width="27.28515625" style="1392" customWidth="1"/>
    <col min="15365" max="15365" width="33.28515625" style="1392" customWidth="1"/>
    <col min="15366" max="15366" width="27.7109375" style="1392" customWidth="1"/>
    <col min="15367" max="15367" width="22.28515625" style="1392" customWidth="1"/>
    <col min="15368" max="15368" width="32" style="1392" customWidth="1"/>
    <col min="15369" max="15369" width="23.28515625" style="1392" customWidth="1"/>
    <col min="15370" max="15370" width="18" style="1392" customWidth="1"/>
    <col min="15371" max="15371" width="16.7109375" style="1392" customWidth="1"/>
    <col min="15372" max="15372" width="13.28515625" style="1392" customWidth="1"/>
    <col min="15373" max="15373" width="15.28515625" style="1392" customWidth="1"/>
    <col min="15374" max="15374" width="11" style="1392" customWidth="1"/>
    <col min="15375" max="15376" width="9.7109375" style="1392" customWidth="1"/>
    <col min="15377" max="15377" width="10" style="1392" customWidth="1"/>
    <col min="15378" max="15379" width="17" style="1392" customWidth="1"/>
    <col min="15380" max="15616" width="8.85546875" style="1392"/>
    <col min="15617" max="15617" width="86.7109375" style="1392" customWidth="1"/>
    <col min="15618" max="15618" width="23" style="1392" customWidth="1"/>
    <col min="15619" max="15619" width="17.5703125" style="1392" customWidth="1"/>
    <col min="15620" max="15620" width="27.28515625" style="1392" customWidth="1"/>
    <col min="15621" max="15621" width="33.28515625" style="1392" customWidth="1"/>
    <col min="15622" max="15622" width="27.7109375" style="1392" customWidth="1"/>
    <col min="15623" max="15623" width="22.28515625" style="1392" customWidth="1"/>
    <col min="15624" max="15624" width="32" style="1392" customWidth="1"/>
    <col min="15625" max="15625" width="23.28515625" style="1392" customWidth="1"/>
    <col min="15626" max="15626" width="18" style="1392" customWidth="1"/>
    <col min="15627" max="15627" width="16.7109375" style="1392" customWidth="1"/>
    <col min="15628" max="15628" width="13.28515625" style="1392" customWidth="1"/>
    <col min="15629" max="15629" width="15.28515625" style="1392" customWidth="1"/>
    <col min="15630" max="15630" width="11" style="1392" customWidth="1"/>
    <col min="15631" max="15632" width="9.7109375" style="1392" customWidth="1"/>
    <col min="15633" max="15633" width="10" style="1392" customWidth="1"/>
    <col min="15634" max="15635" width="17" style="1392" customWidth="1"/>
    <col min="15636" max="15872" width="8.85546875" style="1392"/>
    <col min="15873" max="15873" width="86.7109375" style="1392" customWidth="1"/>
    <col min="15874" max="15874" width="23" style="1392" customWidth="1"/>
    <col min="15875" max="15875" width="17.5703125" style="1392" customWidth="1"/>
    <col min="15876" max="15876" width="27.28515625" style="1392" customWidth="1"/>
    <col min="15877" max="15877" width="33.28515625" style="1392" customWidth="1"/>
    <col min="15878" max="15878" width="27.7109375" style="1392" customWidth="1"/>
    <col min="15879" max="15879" width="22.28515625" style="1392" customWidth="1"/>
    <col min="15880" max="15880" width="32" style="1392" customWidth="1"/>
    <col min="15881" max="15881" width="23.28515625" style="1392" customWidth="1"/>
    <col min="15882" max="15882" width="18" style="1392" customWidth="1"/>
    <col min="15883" max="15883" width="16.7109375" style="1392" customWidth="1"/>
    <col min="15884" max="15884" width="13.28515625" style="1392" customWidth="1"/>
    <col min="15885" max="15885" width="15.28515625" style="1392" customWidth="1"/>
    <col min="15886" max="15886" width="11" style="1392" customWidth="1"/>
    <col min="15887" max="15888" width="9.7109375" style="1392" customWidth="1"/>
    <col min="15889" max="15889" width="10" style="1392" customWidth="1"/>
    <col min="15890" max="15891" width="17" style="1392" customWidth="1"/>
    <col min="15892" max="16128" width="8.85546875" style="1392"/>
    <col min="16129" max="16129" width="86.7109375" style="1392" customWidth="1"/>
    <col min="16130" max="16130" width="23" style="1392" customWidth="1"/>
    <col min="16131" max="16131" width="17.5703125" style="1392" customWidth="1"/>
    <col min="16132" max="16132" width="27.28515625" style="1392" customWidth="1"/>
    <col min="16133" max="16133" width="33.28515625" style="1392" customWidth="1"/>
    <col min="16134" max="16134" width="27.7109375" style="1392" customWidth="1"/>
    <col min="16135" max="16135" width="22.28515625" style="1392" customWidth="1"/>
    <col min="16136" max="16136" width="32" style="1392" customWidth="1"/>
    <col min="16137" max="16137" width="23.28515625" style="1392" customWidth="1"/>
    <col min="16138" max="16138" width="18" style="1392" customWidth="1"/>
    <col min="16139" max="16139" width="16.7109375" style="1392" customWidth="1"/>
    <col min="16140" max="16140" width="13.28515625" style="1392" customWidth="1"/>
    <col min="16141" max="16141" width="15.28515625" style="1392" customWidth="1"/>
    <col min="16142" max="16142" width="11" style="1392" customWidth="1"/>
    <col min="16143" max="16144" width="9.7109375" style="1392" customWidth="1"/>
    <col min="16145" max="16145" width="10" style="1392" customWidth="1"/>
    <col min="16146" max="16147" width="17" style="1392" customWidth="1"/>
    <col min="16148" max="16384" width="8.85546875" style="1392"/>
  </cols>
  <sheetData>
    <row r="1" spans="1:22" ht="36" x14ac:dyDescent="0.55000000000000004">
      <c r="A1" s="1391" t="s">
        <v>1990</v>
      </c>
    </row>
    <row r="2" spans="1:22" x14ac:dyDescent="0.2">
      <c r="A2" s="1393" t="s">
        <v>1854</v>
      </c>
    </row>
    <row r="3" spans="1:22" x14ac:dyDescent="0.2">
      <c r="A3" s="1393"/>
    </row>
    <row r="4" spans="1:22" s="1395" customFormat="1" ht="19.5" thickBot="1" x14ac:dyDescent="0.35">
      <c r="A4" s="1394" t="s">
        <v>366</v>
      </c>
      <c r="J4" s="1396"/>
      <c r="K4" s="1396"/>
      <c r="L4" s="1396"/>
      <c r="M4" s="1396"/>
      <c r="N4" s="1396"/>
      <c r="V4" s="1397"/>
    </row>
    <row r="5" spans="1:22" ht="15.75" thickBot="1" x14ac:dyDescent="0.3">
      <c r="A5" s="1622"/>
      <c r="B5" s="1406" t="s">
        <v>367</v>
      </c>
      <c r="C5" s="1398" t="s">
        <v>368</v>
      </c>
      <c r="D5" s="1398" t="s">
        <v>1855</v>
      </c>
      <c r="E5" s="1398" t="s">
        <v>370</v>
      </c>
      <c r="F5" s="1398" t="s">
        <v>1856</v>
      </c>
      <c r="G5" s="1398" t="s">
        <v>374</v>
      </c>
      <c r="H5" s="1399" t="s">
        <v>77</v>
      </c>
      <c r="I5" s="1399" t="s">
        <v>78</v>
      </c>
      <c r="J5" s="1399" t="s">
        <v>375</v>
      </c>
      <c r="K5" s="1399" t="s">
        <v>376</v>
      </c>
      <c r="L5" s="1399" t="s">
        <v>377</v>
      </c>
      <c r="M5" s="1398" t="s">
        <v>378</v>
      </c>
      <c r="N5" s="1398" t="s">
        <v>379</v>
      </c>
      <c r="O5" s="1398" t="s">
        <v>380</v>
      </c>
      <c r="P5" s="1398" t="s">
        <v>381</v>
      </c>
      <c r="Q5" s="1400" t="s">
        <v>138</v>
      </c>
      <c r="R5" s="1612" t="s">
        <v>1857</v>
      </c>
      <c r="S5" s="1401"/>
      <c r="U5" s="1402"/>
    </row>
    <row r="6" spans="1:22" ht="15" x14ac:dyDescent="0.25">
      <c r="A6" s="1623"/>
      <c r="B6" s="1617"/>
      <c r="C6" s="1478"/>
      <c r="D6" s="1479"/>
      <c r="E6" s="1479">
        <f>0.6*D6</f>
        <v>0</v>
      </c>
      <c r="F6" s="1479">
        <f t="shared" ref="F6:F16" si="0">D6-E6</f>
        <v>0</v>
      </c>
      <c r="G6" s="1480" t="s">
        <v>388</v>
      </c>
      <c r="H6" s="1481"/>
      <c r="I6" s="1481"/>
      <c r="J6" s="1481"/>
      <c r="K6" s="1481"/>
      <c r="L6" s="1481"/>
      <c r="M6" s="1480"/>
      <c r="N6" s="1480"/>
      <c r="O6" s="1480"/>
      <c r="P6" s="1480"/>
      <c r="Q6" s="1482"/>
      <c r="R6" s="1613"/>
      <c r="S6" s="1401"/>
      <c r="T6" s="1401" t="s">
        <v>400</v>
      </c>
      <c r="V6" s="1402" t="s">
        <v>401</v>
      </c>
    </row>
    <row r="7" spans="1:22" ht="15" x14ac:dyDescent="0.25">
      <c r="A7" s="1624" t="s">
        <v>1991</v>
      </c>
      <c r="B7" s="1617">
        <v>182</v>
      </c>
      <c r="C7" s="1478">
        <v>9</v>
      </c>
      <c r="D7" s="1479">
        <f>5300*B7</f>
        <v>964600</v>
      </c>
      <c r="E7" s="1479">
        <v>0</v>
      </c>
      <c r="F7" s="1479">
        <f t="shared" si="0"/>
        <v>964600</v>
      </c>
      <c r="G7" s="1484" t="s">
        <v>388</v>
      </c>
      <c r="H7" s="1481" t="s">
        <v>385</v>
      </c>
      <c r="I7" s="1481" t="s">
        <v>385</v>
      </c>
      <c r="J7" s="1485" t="s">
        <v>399</v>
      </c>
      <c r="K7" s="1485" t="s">
        <v>399</v>
      </c>
      <c r="L7" s="1481" t="s">
        <v>385</v>
      </c>
      <c r="M7" s="1480" t="s">
        <v>411</v>
      </c>
      <c r="N7" s="1481" t="s">
        <v>390</v>
      </c>
      <c r="O7" s="1481" t="s">
        <v>390</v>
      </c>
      <c r="P7" s="1481" t="s">
        <v>390</v>
      </c>
      <c r="Q7" s="1486" t="s">
        <v>390</v>
      </c>
      <c r="R7" s="1613">
        <v>2024</v>
      </c>
      <c r="S7" s="1401"/>
      <c r="U7" s="1402"/>
    </row>
    <row r="8" spans="1:22" ht="15" x14ac:dyDescent="0.25">
      <c r="A8" s="1624" t="s">
        <v>402</v>
      </c>
      <c r="B8" s="1617">
        <v>372</v>
      </c>
      <c r="C8" s="1478">
        <v>12</v>
      </c>
      <c r="D8" s="1479">
        <f>9300*B8</f>
        <v>3459600</v>
      </c>
      <c r="E8" s="1479">
        <v>0</v>
      </c>
      <c r="F8" s="1479">
        <f t="shared" si="0"/>
        <v>3459600</v>
      </c>
      <c r="G8" s="1484" t="s">
        <v>388</v>
      </c>
      <c r="H8" s="1481" t="s">
        <v>385</v>
      </c>
      <c r="I8" s="1481" t="s">
        <v>385</v>
      </c>
      <c r="J8" s="1481" t="s">
        <v>385</v>
      </c>
      <c r="K8" s="1485" t="s">
        <v>399</v>
      </c>
      <c r="L8" s="1481" t="s">
        <v>385</v>
      </c>
      <c r="M8" s="1487" t="s">
        <v>389</v>
      </c>
      <c r="N8" s="1481" t="s">
        <v>385</v>
      </c>
      <c r="O8" s="1481" t="s">
        <v>385</v>
      </c>
      <c r="P8" s="1481" t="s">
        <v>390</v>
      </c>
      <c r="Q8" s="1486" t="s">
        <v>390</v>
      </c>
      <c r="R8" s="1613">
        <v>2024</v>
      </c>
      <c r="S8" s="1401"/>
      <c r="U8" s="1402"/>
    </row>
    <row r="9" spans="1:22" ht="15" x14ac:dyDescent="0.25">
      <c r="A9" s="1625" t="s">
        <v>393</v>
      </c>
      <c r="B9" s="1618">
        <v>150</v>
      </c>
      <c r="C9" s="1489">
        <v>17</v>
      </c>
      <c r="D9" s="1479">
        <f>5300*B9</f>
        <v>795000</v>
      </c>
      <c r="E9" s="1479">
        <f>0*D9</f>
        <v>0</v>
      </c>
      <c r="F9" s="1479">
        <f t="shared" si="0"/>
        <v>795000</v>
      </c>
      <c r="G9" s="1484" t="s">
        <v>394</v>
      </c>
      <c r="H9" s="1490" t="s">
        <v>385</v>
      </c>
      <c r="I9" s="1490" t="s">
        <v>385</v>
      </c>
      <c r="J9" s="1490" t="s">
        <v>385</v>
      </c>
      <c r="K9" s="1490" t="s">
        <v>385</v>
      </c>
      <c r="L9" s="1490" t="s">
        <v>385</v>
      </c>
      <c r="M9" s="1484" t="s">
        <v>389</v>
      </c>
      <c r="N9" s="1481" t="s">
        <v>385</v>
      </c>
      <c r="O9" s="1481" t="s">
        <v>385</v>
      </c>
      <c r="P9" s="1481" t="s">
        <v>385</v>
      </c>
      <c r="Q9" s="1486" t="s">
        <v>399</v>
      </c>
      <c r="R9" s="1613">
        <v>2024</v>
      </c>
      <c r="S9" s="1401"/>
      <c r="U9" s="1402"/>
    </row>
    <row r="10" spans="1:22" ht="15" x14ac:dyDescent="0.25">
      <c r="A10" s="1625" t="s">
        <v>397</v>
      </c>
      <c r="B10" s="1618">
        <v>95</v>
      </c>
      <c r="C10" s="1489">
        <v>12</v>
      </c>
      <c r="D10" s="1479">
        <f>5300*B10</f>
        <v>503500</v>
      </c>
      <c r="E10" s="1479">
        <f>0*D10</f>
        <v>0</v>
      </c>
      <c r="F10" s="1479">
        <f t="shared" si="0"/>
        <v>503500</v>
      </c>
      <c r="G10" s="1484" t="s">
        <v>398</v>
      </c>
      <c r="H10" s="1490" t="s">
        <v>385</v>
      </c>
      <c r="I10" s="1490" t="s">
        <v>385</v>
      </c>
      <c r="J10" s="1490" t="s">
        <v>385</v>
      </c>
      <c r="K10" s="1491" t="s">
        <v>399</v>
      </c>
      <c r="L10" s="1490" t="s">
        <v>385</v>
      </c>
      <c r="M10" s="1484" t="s">
        <v>389</v>
      </c>
      <c r="N10" s="1490" t="s">
        <v>385</v>
      </c>
      <c r="O10" s="1490" t="s">
        <v>385</v>
      </c>
      <c r="P10" s="1490" t="s">
        <v>390</v>
      </c>
      <c r="Q10" s="1492" t="s">
        <v>390</v>
      </c>
      <c r="R10" s="1613">
        <v>2024</v>
      </c>
    </row>
    <row r="11" spans="1:22" ht="15" x14ac:dyDescent="0.25">
      <c r="A11" s="1625" t="s">
        <v>524</v>
      </c>
      <c r="B11" s="1618">
        <v>172</v>
      </c>
      <c r="C11" s="1489">
        <v>12</v>
      </c>
      <c r="D11" s="1479">
        <f>5300*B11</f>
        <v>911600</v>
      </c>
      <c r="E11" s="1479">
        <f>0*D11</f>
        <v>0</v>
      </c>
      <c r="F11" s="1479">
        <f t="shared" si="0"/>
        <v>911600</v>
      </c>
      <c r="G11" s="1484" t="s">
        <v>388</v>
      </c>
      <c r="H11" s="1490" t="s">
        <v>385</v>
      </c>
      <c r="I11" s="1490" t="s">
        <v>385</v>
      </c>
      <c r="J11" s="1490" t="s">
        <v>385</v>
      </c>
      <c r="K11" s="1491" t="s">
        <v>399</v>
      </c>
      <c r="L11" s="1491" t="s">
        <v>399</v>
      </c>
      <c r="M11" s="1484" t="s">
        <v>411</v>
      </c>
      <c r="N11" s="1490" t="s">
        <v>390</v>
      </c>
      <c r="O11" s="1490" t="s">
        <v>390</v>
      </c>
      <c r="P11" s="1490" t="s">
        <v>390</v>
      </c>
      <c r="Q11" s="1492" t="s">
        <v>390</v>
      </c>
      <c r="R11" s="1614">
        <v>2024</v>
      </c>
    </row>
    <row r="12" spans="1:22" ht="15" x14ac:dyDescent="0.25">
      <c r="A12" s="1626" t="s">
        <v>1992</v>
      </c>
      <c r="B12" s="1619"/>
      <c r="C12" s="1494"/>
      <c r="D12" s="1495">
        <v>2800000</v>
      </c>
      <c r="E12" s="1495">
        <v>0</v>
      </c>
      <c r="F12" s="1495">
        <v>2800000</v>
      </c>
      <c r="G12" s="1484" t="s">
        <v>388</v>
      </c>
      <c r="H12" s="1490" t="s">
        <v>385</v>
      </c>
      <c r="I12" s="1490" t="s">
        <v>385</v>
      </c>
      <c r="J12" s="1490" t="s">
        <v>385</v>
      </c>
      <c r="K12" s="1490" t="s">
        <v>385</v>
      </c>
      <c r="L12" s="1491" t="s">
        <v>390</v>
      </c>
      <c r="M12" s="1484" t="s">
        <v>411</v>
      </c>
      <c r="N12" s="1484" t="s">
        <v>390</v>
      </c>
      <c r="O12" s="1484" t="s">
        <v>390</v>
      </c>
      <c r="P12" s="1484" t="s">
        <v>390</v>
      </c>
      <c r="Q12" s="1493" t="s">
        <v>390</v>
      </c>
      <c r="R12" s="1615">
        <v>2023</v>
      </c>
    </row>
    <row r="13" spans="1:22" ht="15" x14ac:dyDescent="0.25">
      <c r="A13" s="1626" t="s">
        <v>1993</v>
      </c>
      <c r="B13" s="1619"/>
      <c r="C13" s="1494"/>
      <c r="D13" s="1495">
        <v>2800000</v>
      </c>
      <c r="E13" s="1495">
        <v>0</v>
      </c>
      <c r="F13" s="1495">
        <v>2800000</v>
      </c>
      <c r="G13" s="1484" t="s">
        <v>388</v>
      </c>
      <c r="H13" s="1490" t="s">
        <v>385</v>
      </c>
      <c r="I13" s="1490" t="s">
        <v>385</v>
      </c>
      <c r="J13" s="1490" t="s">
        <v>385</v>
      </c>
      <c r="K13" s="1490" t="s">
        <v>385</v>
      </c>
      <c r="L13" s="1491" t="s">
        <v>390</v>
      </c>
      <c r="M13" s="1484" t="s">
        <v>411</v>
      </c>
      <c r="N13" s="1484" t="s">
        <v>390</v>
      </c>
      <c r="O13" s="1484" t="s">
        <v>390</v>
      </c>
      <c r="P13" s="1484" t="s">
        <v>390</v>
      </c>
      <c r="Q13" s="1493" t="s">
        <v>390</v>
      </c>
      <c r="R13" s="1615">
        <v>2023</v>
      </c>
    </row>
    <row r="14" spans="1:22" ht="15" x14ac:dyDescent="0.25">
      <c r="A14" s="1625" t="s">
        <v>410</v>
      </c>
      <c r="B14" s="1618">
        <v>520</v>
      </c>
      <c r="C14" s="1489">
        <v>13</v>
      </c>
      <c r="D14" s="1479">
        <f>5300*B14</f>
        <v>2756000</v>
      </c>
      <c r="E14" s="1479">
        <f>0*D14</f>
        <v>0</v>
      </c>
      <c r="F14" s="1479">
        <f>D14-E14</f>
        <v>2756000</v>
      </c>
      <c r="G14" s="1484" t="s">
        <v>388</v>
      </c>
      <c r="H14" s="1490" t="s">
        <v>385</v>
      </c>
      <c r="I14" s="1490" t="s">
        <v>385</v>
      </c>
      <c r="J14" s="1490" t="s">
        <v>385</v>
      </c>
      <c r="K14" s="1490" t="s">
        <v>385</v>
      </c>
      <c r="L14" s="1491" t="s">
        <v>399</v>
      </c>
      <c r="M14" s="1484" t="s">
        <v>411</v>
      </c>
      <c r="N14" s="1484" t="s">
        <v>390</v>
      </c>
      <c r="O14" s="1484" t="s">
        <v>390</v>
      </c>
      <c r="P14" s="1484" t="s">
        <v>390</v>
      </c>
      <c r="Q14" s="1493" t="s">
        <v>390</v>
      </c>
      <c r="R14" s="1615">
        <v>2023</v>
      </c>
    </row>
    <row r="15" spans="1:22" ht="15" x14ac:dyDescent="0.25">
      <c r="A15" s="1626" t="s">
        <v>1994</v>
      </c>
      <c r="B15" s="1619"/>
      <c r="C15" s="1494"/>
      <c r="D15" s="1496">
        <v>80000000</v>
      </c>
      <c r="E15" s="1495">
        <v>75500000</v>
      </c>
      <c r="F15" s="1495">
        <v>4500000</v>
      </c>
      <c r="G15" s="1484" t="s">
        <v>1995</v>
      </c>
      <c r="H15" s="1497"/>
      <c r="I15" s="1497"/>
      <c r="J15" s="1497"/>
      <c r="K15" s="1498"/>
      <c r="L15" s="1498"/>
      <c r="M15" s="1499"/>
      <c r="N15" s="1497"/>
      <c r="O15" s="1497"/>
      <c r="P15" s="1497"/>
      <c r="Q15" s="1620"/>
      <c r="R15" s="1615">
        <v>2024</v>
      </c>
    </row>
    <row r="16" spans="1:22" ht="15.75" thickBot="1" x14ac:dyDescent="0.3">
      <c r="A16" s="1627" t="s">
        <v>413</v>
      </c>
      <c r="B16" s="1621">
        <v>218</v>
      </c>
      <c r="C16" s="1501">
        <v>7</v>
      </c>
      <c r="D16" s="1502">
        <v>4500000</v>
      </c>
      <c r="E16" s="1503">
        <f>0*D16</f>
        <v>0</v>
      </c>
      <c r="F16" s="1503">
        <f t="shared" si="0"/>
        <v>4500000</v>
      </c>
      <c r="G16" s="1504" t="s">
        <v>388</v>
      </c>
      <c r="H16" s="1505" t="s">
        <v>385</v>
      </c>
      <c r="I16" s="1505" t="s">
        <v>385</v>
      </c>
      <c r="J16" s="1506" t="s">
        <v>414</v>
      </c>
      <c r="K16" s="1505" t="s">
        <v>385</v>
      </c>
      <c r="L16" s="1505" t="s">
        <v>385</v>
      </c>
      <c r="M16" s="1504" t="s">
        <v>411</v>
      </c>
      <c r="N16" s="1505" t="s">
        <v>390</v>
      </c>
      <c r="O16" s="1505" t="s">
        <v>390</v>
      </c>
      <c r="P16" s="1505" t="s">
        <v>390</v>
      </c>
      <c r="Q16" s="1507" t="s">
        <v>390</v>
      </c>
      <c r="R16" s="1616">
        <v>2024</v>
      </c>
    </row>
    <row r="17" spans="1:18" ht="15" x14ac:dyDescent="0.25">
      <c r="A17" s="1509"/>
      <c r="B17" s="1509"/>
      <c r="C17" s="1509"/>
      <c r="D17" s="1509"/>
      <c r="E17" s="1509"/>
      <c r="F17" s="1509"/>
      <c r="G17" s="1509"/>
      <c r="H17" s="1509"/>
      <c r="I17" s="1509"/>
      <c r="J17" s="1509"/>
      <c r="K17" s="1509"/>
      <c r="L17" s="1509"/>
      <c r="M17" s="1509"/>
      <c r="N17" s="1509"/>
      <c r="O17" s="1509"/>
      <c r="P17" s="1509"/>
      <c r="Q17" s="1509"/>
      <c r="R17" s="1509"/>
    </row>
    <row r="18" spans="1:18" ht="15" x14ac:dyDescent="0.25">
      <c r="A18" s="1510" t="s">
        <v>415</v>
      </c>
      <c r="B18" s="1511">
        <f>SUM(B7:B16)</f>
        <v>1709</v>
      </c>
      <c r="C18" s="1509"/>
      <c r="D18" s="1512">
        <f>SUM(D6:D16)</f>
        <v>99490300</v>
      </c>
      <c r="E18" s="1512">
        <f>SUM(E6:E16)</f>
        <v>75500000</v>
      </c>
      <c r="F18" s="1512">
        <f>SUM(F6:F16)</f>
        <v>23990300</v>
      </c>
      <c r="G18" s="1509"/>
      <c r="H18" s="1509"/>
      <c r="I18" s="1509"/>
      <c r="J18" s="1509"/>
      <c r="K18" s="1509"/>
      <c r="L18" s="1509"/>
      <c r="M18" s="1509"/>
      <c r="N18" s="1509"/>
      <c r="O18" s="1509"/>
      <c r="P18" s="1509"/>
      <c r="Q18" s="1509"/>
      <c r="R18" s="1509"/>
    </row>
    <row r="19" spans="1:18" ht="15" x14ac:dyDescent="0.25">
      <c r="A19" s="1510"/>
      <c r="B19" s="1511"/>
      <c r="C19" s="1509"/>
      <c r="D19" s="1512"/>
      <c r="E19" s="1512"/>
      <c r="F19" s="1512"/>
      <c r="G19" s="1509"/>
      <c r="H19" s="1509"/>
      <c r="I19" s="1509"/>
      <c r="J19" s="1509"/>
      <c r="K19" s="1509"/>
      <c r="L19" s="1509"/>
      <c r="M19" s="1509"/>
      <c r="N19" s="1509"/>
      <c r="O19" s="1509"/>
      <c r="P19" s="1509"/>
      <c r="Q19" s="1509"/>
      <c r="R19" s="1509"/>
    </row>
    <row r="20" spans="1:18" ht="16.5" thickBot="1" x14ac:dyDescent="0.3">
      <c r="A20" s="1405" t="s">
        <v>1858</v>
      </c>
      <c r="B20" s="1509"/>
      <c r="C20" s="1509"/>
      <c r="D20" s="1509"/>
      <c r="E20" s="1509"/>
      <c r="F20" s="1509"/>
      <c r="G20" s="1509"/>
      <c r="H20" s="1509"/>
      <c r="I20" s="1509"/>
      <c r="J20" s="1509"/>
      <c r="K20" s="1509"/>
      <c r="L20" s="1509"/>
      <c r="M20" s="1509"/>
      <c r="N20" s="1509"/>
      <c r="O20" s="1509"/>
      <c r="P20" s="1509"/>
      <c r="Q20" s="1509"/>
      <c r="R20" s="1509"/>
    </row>
    <row r="21" spans="1:18" ht="15.75" thickBot="1" x14ac:dyDescent="0.3">
      <c r="A21" s="1513"/>
      <c r="B21" s="1514" t="s">
        <v>367</v>
      </c>
      <c r="C21" s="1509"/>
      <c r="D21" s="1513" t="s">
        <v>1859</v>
      </c>
      <c r="E21" s="1515" t="s">
        <v>416</v>
      </c>
      <c r="F21" s="1515" t="s">
        <v>1856</v>
      </c>
      <c r="G21" s="1515" t="s">
        <v>374</v>
      </c>
      <c r="H21" s="1515" t="s">
        <v>378</v>
      </c>
      <c r="I21" s="1515" t="s">
        <v>379</v>
      </c>
      <c r="J21" s="1515" t="s">
        <v>380</v>
      </c>
      <c r="K21" s="1515" t="s">
        <v>381</v>
      </c>
      <c r="L21" s="1514" t="s">
        <v>138</v>
      </c>
      <c r="M21" s="1514" t="s">
        <v>1857</v>
      </c>
      <c r="N21" s="1509"/>
      <c r="O21" s="1509"/>
      <c r="P21" s="1509"/>
      <c r="Q21" s="1509"/>
      <c r="R21" s="1509"/>
    </row>
    <row r="22" spans="1:18" ht="15" x14ac:dyDescent="0.25">
      <c r="A22" s="1516" t="s">
        <v>418</v>
      </c>
      <c r="B22" s="1517">
        <v>350</v>
      </c>
      <c r="C22" s="1509"/>
      <c r="D22" s="1518">
        <v>650000</v>
      </c>
      <c r="E22" s="1519">
        <v>500000</v>
      </c>
      <c r="F22" s="1520">
        <f t="shared" ref="F22:F27" si="1">D22-E22</f>
        <v>150000</v>
      </c>
      <c r="G22" s="1521" t="s">
        <v>388</v>
      </c>
      <c r="H22" s="1521" t="s">
        <v>419</v>
      </c>
      <c r="I22" s="1521" t="s">
        <v>386</v>
      </c>
      <c r="J22" s="1521" t="s">
        <v>386</v>
      </c>
      <c r="K22" s="1521" t="s">
        <v>386</v>
      </c>
      <c r="L22" s="1522" t="s">
        <v>386</v>
      </c>
      <c r="M22" s="1522">
        <v>2023</v>
      </c>
      <c r="N22" s="1523" t="s">
        <v>1860</v>
      </c>
      <c r="O22" s="1509"/>
      <c r="P22" s="1509"/>
      <c r="Q22" s="1509"/>
      <c r="R22" s="1509"/>
    </row>
    <row r="23" spans="1:18" ht="15" x14ac:dyDescent="0.25">
      <c r="A23" s="1524" t="s">
        <v>527</v>
      </c>
      <c r="B23" s="1525">
        <v>300</v>
      </c>
      <c r="C23" s="1509"/>
      <c r="D23" s="1518">
        <v>750000</v>
      </c>
      <c r="E23" s="1519">
        <v>630000</v>
      </c>
      <c r="F23" s="1520">
        <f t="shared" si="1"/>
        <v>120000</v>
      </c>
      <c r="G23" s="1521" t="s">
        <v>388</v>
      </c>
      <c r="H23" s="1521" t="s">
        <v>510</v>
      </c>
      <c r="I23" s="1521" t="s">
        <v>390</v>
      </c>
      <c r="J23" s="1521" t="s">
        <v>390</v>
      </c>
      <c r="K23" s="1521" t="s">
        <v>390</v>
      </c>
      <c r="L23" s="1522" t="s">
        <v>390</v>
      </c>
      <c r="M23" s="1522">
        <v>2024</v>
      </c>
      <c r="N23" s="1509"/>
      <c r="O23" s="1509"/>
      <c r="P23" s="1509"/>
      <c r="Q23" s="1509"/>
      <c r="R23" s="1509"/>
    </row>
    <row r="24" spans="1:18" ht="15" x14ac:dyDescent="0.25">
      <c r="A24" s="1524" t="s">
        <v>1996</v>
      </c>
      <c r="B24" s="1525">
        <v>200</v>
      </c>
      <c r="C24" s="1526"/>
      <c r="D24" s="1518">
        <v>3700000</v>
      </c>
      <c r="E24" s="1519">
        <v>0</v>
      </c>
      <c r="F24" s="1520">
        <f t="shared" si="1"/>
        <v>3700000</v>
      </c>
      <c r="G24" s="1521" t="s">
        <v>388</v>
      </c>
      <c r="H24" s="1521" t="s">
        <v>1997</v>
      </c>
      <c r="I24" s="1521" t="s">
        <v>390</v>
      </c>
      <c r="J24" s="1521" t="s">
        <v>390</v>
      </c>
      <c r="K24" s="1521" t="s">
        <v>390</v>
      </c>
      <c r="L24" s="1522" t="s">
        <v>390</v>
      </c>
      <c r="M24" s="1522">
        <v>2024</v>
      </c>
      <c r="N24" s="1509"/>
      <c r="O24" s="1509"/>
      <c r="P24" s="1509"/>
      <c r="Q24" s="1509"/>
      <c r="R24" s="1509"/>
    </row>
    <row r="25" spans="1:18" ht="15" x14ac:dyDescent="0.25">
      <c r="A25" s="1527" t="s">
        <v>1998</v>
      </c>
      <c r="B25" s="1528">
        <v>208</v>
      </c>
      <c r="C25" s="1526"/>
      <c r="D25" s="1518">
        <v>3900000</v>
      </c>
      <c r="E25" s="1519">
        <v>3400000</v>
      </c>
      <c r="F25" s="1520">
        <f t="shared" si="1"/>
        <v>500000</v>
      </c>
      <c r="G25" s="1521" t="s">
        <v>388</v>
      </c>
      <c r="H25" s="1521" t="s">
        <v>1997</v>
      </c>
      <c r="I25" s="1521" t="s">
        <v>390</v>
      </c>
      <c r="J25" s="1521" t="s">
        <v>390</v>
      </c>
      <c r="K25" s="1521" t="s">
        <v>390</v>
      </c>
      <c r="L25" s="1522" t="s">
        <v>390</v>
      </c>
      <c r="M25" s="1527">
        <v>2023</v>
      </c>
      <c r="N25" s="1509"/>
      <c r="O25" s="1509"/>
      <c r="P25" s="1509"/>
      <c r="Q25" s="1509"/>
      <c r="R25" s="1509"/>
    </row>
    <row r="26" spans="1:18" ht="15" x14ac:dyDescent="0.25">
      <c r="A26" s="1527" t="s">
        <v>1999</v>
      </c>
      <c r="B26" s="1528">
        <v>80</v>
      </c>
      <c r="C26" s="1526"/>
      <c r="D26" s="1518">
        <v>1000000</v>
      </c>
      <c r="E26" s="1519">
        <v>0</v>
      </c>
      <c r="F26" s="1520">
        <f t="shared" si="1"/>
        <v>1000000</v>
      </c>
      <c r="G26" s="1521" t="s">
        <v>388</v>
      </c>
      <c r="H26" s="1521" t="s">
        <v>1997</v>
      </c>
      <c r="I26" s="1521" t="s">
        <v>390</v>
      </c>
      <c r="J26" s="1521" t="s">
        <v>390</v>
      </c>
      <c r="K26" s="1521" t="s">
        <v>390</v>
      </c>
      <c r="L26" s="1522" t="s">
        <v>390</v>
      </c>
      <c r="M26" s="1527">
        <v>2024</v>
      </c>
      <c r="N26" s="1509"/>
      <c r="O26" s="1509"/>
      <c r="P26" s="1509"/>
      <c r="Q26" s="1509"/>
      <c r="R26" s="1509"/>
    </row>
    <row r="27" spans="1:18" ht="15" x14ac:dyDescent="0.25">
      <c r="A27" s="1527" t="s">
        <v>2000</v>
      </c>
      <c r="B27" s="1528">
        <v>120</v>
      </c>
      <c r="C27" s="1526"/>
      <c r="D27" s="1518">
        <v>1600000</v>
      </c>
      <c r="E27" s="1519">
        <v>0</v>
      </c>
      <c r="F27" s="1520">
        <f t="shared" si="1"/>
        <v>1600000</v>
      </c>
      <c r="G27" s="1521" t="s">
        <v>388</v>
      </c>
      <c r="H27" s="1521" t="s">
        <v>1997</v>
      </c>
      <c r="I27" s="1521" t="s">
        <v>390</v>
      </c>
      <c r="J27" s="1521" t="s">
        <v>390</v>
      </c>
      <c r="K27" s="1521" t="s">
        <v>390</v>
      </c>
      <c r="L27" s="1522" t="s">
        <v>390</v>
      </c>
      <c r="M27" s="1527">
        <v>2024</v>
      </c>
      <c r="N27" s="1509"/>
      <c r="O27" s="1509"/>
      <c r="P27" s="1509"/>
      <c r="Q27" s="1509"/>
      <c r="R27" s="1509"/>
    </row>
    <row r="28" spans="1:18" ht="15" x14ac:dyDescent="0.25">
      <c r="A28" s="1509"/>
      <c r="B28" s="1509"/>
      <c r="C28" s="1509"/>
      <c r="D28" s="1509"/>
      <c r="E28" s="1509"/>
      <c r="F28" s="1509"/>
      <c r="G28" s="1509"/>
      <c r="H28" s="1509"/>
      <c r="I28" s="1509"/>
      <c r="J28" s="1509"/>
      <c r="K28" s="1509"/>
      <c r="L28" s="1509"/>
      <c r="M28" s="1509"/>
      <c r="N28" s="1509"/>
      <c r="O28" s="1509"/>
      <c r="P28" s="1509"/>
      <c r="Q28" s="1509"/>
      <c r="R28" s="1509"/>
    </row>
    <row r="29" spans="1:18" ht="15" x14ac:dyDescent="0.25">
      <c r="A29" s="1510" t="s">
        <v>415</v>
      </c>
      <c r="B29" s="1511">
        <f>SUM(B22:B27)</f>
        <v>1258</v>
      </c>
      <c r="C29" s="1509"/>
      <c r="D29" s="1512">
        <f>SUM(D22:D27)</f>
        <v>11600000</v>
      </c>
      <c r="E29" s="1512">
        <f>SUM(E22:E27)</f>
        <v>4530000</v>
      </c>
      <c r="F29" s="1512">
        <f>SUM(F22:F27)</f>
        <v>7070000</v>
      </c>
      <c r="G29" s="1509"/>
      <c r="H29" s="1509"/>
      <c r="I29" s="1509"/>
      <c r="J29" s="1509"/>
      <c r="K29" s="1509"/>
      <c r="L29" s="1509"/>
      <c r="M29" s="1509"/>
      <c r="N29" s="1509"/>
      <c r="O29" s="1509"/>
      <c r="P29" s="1509"/>
      <c r="Q29" s="1509"/>
      <c r="R29" s="1509"/>
    </row>
    <row r="30" spans="1:18" ht="15" x14ac:dyDescent="0.25">
      <c r="A30" s="1509"/>
      <c r="B30" s="1509"/>
      <c r="C30" s="1509"/>
      <c r="D30" s="1509"/>
      <c r="E30" s="1512"/>
      <c r="F30" s="1509"/>
      <c r="G30" s="1509"/>
      <c r="H30" s="1509"/>
      <c r="I30" s="1509"/>
      <c r="J30" s="1509"/>
      <c r="K30" s="1509"/>
      <c r="L30" s="1509"/>
      <c r="M30" s="1509"/>
      <c r="N30" s="1509"/>
      <c r="O30" s="1509"/>
      <c r="P30" s="1509"/>
      <c r="Q30" s="1509"/>
      <c r="R30" s="1509"/>
    </row>
    <row r="31" spans="1:18" ht="16.5" thickBot="1" x14ac:dyDescent="0.3">
      <c r="A31" s="1405" t="s">
        <v>425</v>
      </c>
      <c r="B31" s="1509"/>
      <c r="C31" s="1509"/>
      <c r="D31" s="1509"/>
      <c r="E31" s="1512"/>
      <c r="F31" s="1509"/>
      <c r="G31" s="1509"/>
      <c r="H31" s="1509"/>
      <c r="I31" s="1509"/>
      <c r="J31" s="1509"/>
      <c r="K31" s="1509"/>
      <c r="L31" s="1509"/>
      <c r="M31" s="1509"/>
      <c r="N31" s="1509"/>
      <c r="O31" s="1509"/>
      <c r="P31" s="1509"/>
      <c r="Q31" s="1509"/>
      <c r="R31" s="1509"/>
    </row>
    <row r="32" spans="1:18" ht="15.75" thickBot="1" x14ac:dyDescent="0.3">
      <c r="A32" s="1529"/>
      <c r="B32" s="1509"/>
      <c r="C32" s="1509"/>
      <c r="D32" s="1513" t="s">
        <v>369</v>
      </c>
      <c r="E32" s="1530" t="s">
        <v>426</v>
      </c>
      <c r="F32" s="1515" t="s">
        <v>417</v>
      </c>
      <c r="G32" s="1515" t="s">
        <v>374</v>
      </c>
      <c r="H32" s="1515" t="s">
        <v>378</v>
      </c>
      <c r="I32" s="1515" t="s">
        <v>379</v>
      </c>
      <c r="J32" s="1515" t="s">
        <v>380</v>
      </c>
      <c r="K32" s="1515" t="s">
        <v>381</v>
      </c>
      <c r="L32" s="1514" t="s">
        <v>138</v>
      </c>
      <c r="M32" s="1514" t="s">
        <v>1857</v>
      </c>
      <c r="N32" s="1509"/>
      <c r="O32" s="1509"/>
      <c r="P32" s="1509"/>
      <c r="Q32" s="1509"/>
      <c r="R32" s="1509"/>
    </row>
    <row r="33" spans="1:18" ht="15" x14ac:dyDescent="0.25">
      <c r="A33" s="1531"/>
      <c r="B33" s="1509"/>
      <c r="C33" s="1509"/>
      <c r="D33" s="1532"/>
      <c r="E33" s="1533"/>
      <c r="F33" s="1534"/>
      <c r="G33" s="1535"/>
      <c r="H33" s="1535"/>
      <c r="I33" s="1536"/>
      <c r="J33" s="1536"/>
      <c r="K33" s="1536"/>
      <c r="L33" s="1536"/>
      <c r="M33" s="1537"/>
      <c r="N33" s="1509"/>
      <c r="O33" s="1509"/>
      <c r="P33" s="1509"/>
      <c r="Q33" s="1509"/>
      <c r="R33" s="1509"/>
    </row>
    <row r="34" spans="1:18" ht="15" x14ac:dyDescent="0.25">
      <c r="A34" s="1531"/>
      <c r="B34" s="1509"/>
      <c r="C34" s="1509"/>
      <c r="D34" s="1532"/>
      <c r="E34" s="1533"/>
      <c r="F34" s="1534"/>
      <c r="G34" s="1535"/>
      <c r="H34" s="1535"/>
      <c r="I34" s="1536"/>
      <c r="J34" s="1536"/>
      <c r="K34" s="1536"/>
      <c r="L34" s="1536"/>
      <c r="M34" s="1537"/>
      <c r="N34" s="1509"/>
      <c r="O34" s="1509"/>
      <c r="P34" s="1509"/>
      <c r="Q34" s="1509"/>
      <c r="R34" s="1509"/>
    </row>
    <row r="35" spans="1:18" ht="15.75" thickBot="1" x14ac:dyDescent="0.3">
      <c r="A35" s="1538"/>
      <c r="B35" s="1509"/>
      <c r="C35" s="1509"/>
      <c r="D35" s="1539"/>
      <c r="E35" s="1540"/>
      <c r="F35" s="1541"/>
      <c r="G35" s="1542"/>
      <c r="H35" s="1543"/>
      <c r="I35" s="1542"/>
      <c r="J35" s="1542"/>
      <c r="K35" s="1542"/>
      <c r="L35" s="1542"/>
      <c r="M35" s="1544"/>
      <c r="N35" s="1509"/>
      <c r="O35" s="1509"/>
      <c r="P35" s="1509"/>
      <c r="Q35" s="1509"/>
      <c r="R35" s="1509"/>
    </row>
    <row r="36" spans="1:18" ht="15" x14ac:dyDescent="0.25">
      <c r="A36" s="1509"/>
      <c r="B36" s="1509"/>
      <c r="C36" s="1509"/>
      <c r="D36" s="1512"/>
      <c r="E36" s="1512"/>
      <c r="F36" s="1512"/>
      <c r="G36" s="1509"/>
      <c r="H36" s="1509"/>
      <c r="I36" s="1509"/>
      <c r="J36" s="1509"/>
      <c r="K36" s="1509"/>
      <c r="L36" s="1509"/>
      <c r="M36" s="1509"/>
      <c r="N36" s="1509"/>
      <c r="O36" s="1509"/>
      <c r="P36" s="1509"/>
      <c r="Q36" s="1509"/>
      <c r="R36" s="1509"/>
    </row>
    <row r="37" spans="1:18" ht="15" x14ac:dyDescent="0.25">
      <c r="A37" s="1510" t="s">
        <v>415</v>
      </c>
      <c r="B37" s="1509"/>
      <c r="C37" s="1509"/>
      <c r="D37" s="1512">
        <f>SUM(D33:D35)</f>
        <v>0</v>
      </c>
      <c r="E37" s="1512">
        <f>SUM(E33:E35)</f>
        <v>0</v>
      </c>
      <c r="F37" s="1512">
        <f>SUM(F33:F35)</f>
        <v>0</v>
      </c>
      <c r="G37" s="1512"/>
      <c r="H37" s="1512"/>
      <c r="I37" s="1509"/>
      <c r="J37" s="1509"/>
      <c r="K37" s="1509"/>
      <c r="L37" s="1509"/>
      <c r="M37" s="1509"/>
      <c r="N37" s="1509"/>
      <c r="O37" s="1509"/>
      <c r="P37" s="1509"/>
      <c r="Q37" s="1509"/>
      <c r="R37" s="1509"/>
    </row>
    <row r="38" spans="1:18" ht="15" x14ac:dyDescent="0.25">
      <c r="A38" s="1509"/>
      <c r="B38" s="1509"/>
      <c r="C38" s="1509"/>
      <c r="D38" s="1509"/>
      <c r="E38" s="1509"/>
      <c r="F38" s="1509"/>
      <c r="G38" s="1509"/>
      <c r="H38" s="1509"/>
      <c r="I38" s="1509"/>
      <c r="J38" s="1509"/>
      <c r="K38" s="1509"/>
      <c r="L38" s="1509"/>
      <c r="M38" s="1509"/>
      <c r="N38" s="1509"/>
      <c r="O38" s="1509"/>
      <c r="P38" s="1509"/>
      <c r="Q38" s="1509"/>
      <c r="R38" s="1509"/>
    </row>
    <row r="39" spans="1:18" ht="15" x14ac:dyDescent="0.25">
      <c r="A39" s="1509"/>
      <c r="B39" s="1509"/>
      <c r="C39" s="1509"/>
      <c r="D39" s="1509"/>
      <c r="E39" s="1509"/>
      <c r="F39" s="1509"/>
      <c r="G39" s="1509"/>
      <c r="H39" s="1509"/>
      <c r="I39" s="1509"/>
      <c r="J39" s="1509"/>
      <c r="K39" s="1509"/>
      <c r="L39" s="1509"/>
      <c r="M39" s="1509"/>
      <c r="N39" s="1509"/>
      <c r="O39" s="1509"/>
      <c r="P39" s="1509"/>
      <c r="Q39" s="1509"/>
      <c r="R39" s="1509"/>
    </row>
    <row r="40" spans="1:18" ht="16.5" thickBot="1" x14ac:dyDescent="0.3">
      <c r="A40" s="1405" t="s">
        <v>435</v>
      </c>
      <c r="B40" s="1509"/>
      <c r="C40" s="1509"/>
      <c r="D40" s="1509"/>
      <c r="E40" s="1512"/>
      <c r="F40" s="1509"/>
      <c r="G40" s="1509"/>
      <c r="H40" s="1509"/>
      <c r="I40" s="1509"/>
      <c r="J40" s="1509"/>
      <c r="K40" s="1509"/>
      <c r="L40" s="1509"/>
      <c r="M40" s="1509"/>
      <c r="N40" s="1509"/>
      <c r="O40" s="1509"/>
      <c r="P40" s="1509"/>
      <c r="Q40" s="1509"/>
      <c r="R40" s="1509"/>
    </row>
    <row r="41" spans="1:18" ht="15.75" thickBot="1" x14ac:dyDescent="0.3">
      <c r="A41" s="1529"/>
      <c r="B41" s="1509"/>
      <c r="C41" s="1509"/>
      <c r="D41" s="1513" t="s">
        <v>369</v>
      </c>
      <c r="E41" s="1530" t="s">
        <v>1861</v>
      </c>
      <c r="F41" s="1515" t="s">
        <v>417</v>
      </c>
      <c r="G41" s="1514" t="s">
        <v>374</v>
      </c>
      <c r="H41" s="1515" t="s">
        <v>378</v>
      </c>
      <c r="I41" s="1515" t="s">
        <v>379</v>
      </c>
      <c r="J41" s="1515" t="s">
        <v>380</v>
      </c>
      <c r="K41" s="1515" t="s">
        <v>381</v>
      </c>
      <c r="L41" s="1514" t="s">
        <v>138</v>
      </c>
      <c r="M41" s="1514" t="s">
        <v>1857</v>
      </c>
      <c r="N41" s="1509"/>
      <c r="O41" s="1509"/>
      <c r="P41" s="1509"/>
      <c r="Q41" s="1509"/>
      <c r="R41" s="1509"/>
    </row>
    <row r="42" spans="1:18" ht="15" x14ac:dyDescent="0.25">
      <c r="A42" s="1545" t="s">
        <v>2001</v>
      </c>
      <c r="B42" s="1509"/>
      <c r="C42" s="1509"/>
      <c r="D42" s="1546">
        <v>2500000</v>
      </c>
      <c r="E42" s="1547">
        <v>0</v>
      </c>
      <c r="F42" s="1548">
        <v>2500000</v>
      </c>
      <c r="G42" s="1549" t="s">
        <v>388</v>
      </c>
      <c r="H42" s="1550" t="s">
        <v>2002</v>
      </c>
      <c r="I42" s="1550" t="s">
        <v>386</v>
      </c>
      <c r="J42" s="1550" t="s">
        <v>386</v>
      </c>
      <c r="K42" s="1550" t="s">
        <v>386</v>
      </c>
      <c r="L42" s="1550" t="s">
        <v>390</v>
      </c>
      <c r="M42" s="1549">
        <v>2023</v>
      </c>
      <c r="N42" s="1509"/>
      <c r="O42" s="1509"/>
      <c r="P42" s="1509"/>
      <c r="Q42" s="1509"/>
      <c r="R42" s="1509"/>
    </row>
    <row r="43" spans="1:18" ht="15" x14ac:dyDescent="0.25">
      <c r="A43" s="1545" t="s">
        <v>1862</v>
      </c>
      <c r="B43" s="1509"/>
      <c r="C43" s="1509"/>
      <c r="D43" s="1546">
        <v>110000000</v>
      </c>
      <c r="E43" s="1547">
        <f>0.65*D43</f>
        <v>71500000</v>
      </c>
      <c r="F43" s="1548">
        <f>D43-E43</f>
        <v>38500000</v>
      </c>
      <c r="G43" s="1549" t="s">
        <v>1863</v>
      </c>
      <c r="H43" s="1550" t="s">
        <v>1864</v>
      </c>
      <c r="I43" s="1550" t="s">
        <v>386</v>
      </c>
      <c r="J43" s="1550" t="s">
        <v>386</v>
      </c>
      <c r="K43" s="1550" t="s">
        <v>386</v>
      </c>
      <c r="L43" s="1550" t="s">
        <v>1865</v>
      </c>
      <c r="M43" s="1549">
        <v>2023</v>
      </c>
      <c r="N43" s="1509"/>
      <c r="O43" s="1509"/>
      <c r="P43" s="1509"/>
      <c r="Q43" s="1509"/>
      <c r="R43" s="1509"/>
    </row>
    <row r="44" spans="1:18" ht="15" x14ac:dyDescent="0.25">
      <c r="A44" s="1545" t="s">
        <v>437</v>
      </c>
      <c r="B44" s="1509"/>
      <c r="C44" s="1509"/>
      <c r="D44" s="1546">
        <v>2000000</v>
      </c>
      <c r="E44" s="1547">
        <f>0.5*D44</f>
        <v>1000000</v>
      </c>
      <c r="F44" s="1548">
        <f>D44-E44</f>
        <v>1000000</v>
      </c>
      <c r="G44" s="1549" t="s">
        <v>388</v>
      </c>
      <c r="H44" s="1550" t="s">
        <v>1866</v>
      </c>
      <c r="I44" s="1550" t="s">
        <v>390</v>
      </c>
      <c r="J44" s="1550" t="s">
        <v>390</v>
      </c>
      <c r="K44" s="1550" t="s">
        <v>390</v>
      </c>
      <c r="L44" s="1550" t="s">
        <v>390</v>
      </c>
      <c r="M44" s="1549" t="s">
        <v>1867</v>
      </c>
      <c r="N44" s="1509"/>
      <c r="O44" s="1509"/>
      <c r="P44" s="1509"/>
      <c r="Q44" s="1509"/>
      <c r="R44" s="1509"/>
    </row>
    <row r="45" spans="1:18" ht="15" x14ac:dyDescent="0.25">
      <c r="A45" s="1545" t="s">
        <v>1868</v>
      </c>
      <c r="B45" s="1526"/>
      <c r="C45" s="1526"/>
      <c r="D45" s="1546">
        <v>5000000</v>
      </c>
      <c r="E45" s="1547">
        <v>0</v>
      </c>
      <c r="F45" s="1548">
        <f>D45-E45</f>
        <v>5000000</v>
      </c>
      <c r="G45" s="1549" t="s">
        <v>388</v>
      </c>
      <c r="H45" s="1550" t="s">
        <v>1869</v>
      </c>
      <c r="I45" s="1550" t="s">
        <v>386</v>
      </c>
      <c r="J45" s="1550" t="s">
        <v>390</v>
      </c>
      <c r="K45" s="1550" t="s">
        <v>390</v>
      </c>
      <c r="L45" s="1550" t="s">
        <v>390</v>
      </c>
      <c r="M45" s="1549" t="s">
        <v>1867</v>
      </c>
      <c r="N45" s="1510"/>
      <c r="O45" s="1510"/>
      <c r="P45" s="1510"/>
      <c r="Q45" s="1510"/>
      <c r="R45" s="1510"/>
    </row>
    <row r="46" spans="1:18" ht="15" x14ac:dyDescent="0.25">
      <c r="A46" s="1545" t="s">
        <v>1870</v>
      </c>
      <c r="B46" s="1509"/>
      <c r="C46" s="1509"/>
      <c r="D46" s="1546">
        <v>3000000</v>
      </c>
      <c r="E46" s="1547">
        <v>1500000</v>
      </c>
      <c r="F46" s="1548">
        <f>D46-E46</f>
        <v>1500000</v>
      </c>
      <c r="G46" s="1549" t="s">
        <v>388</v>
      </c>
      <c r="H46" s="1550" t="s">
        <v>1866</v>
      </c>
      <c r="I46" s="1550" t="s">
        <v>386</v>
      </c>
      <c r="J46" s="1550" t="s">
        <v>386</v>
      </c>
      <c r="K46" s="1550" t="s">
        <v>386</v>
      </c>
      <c r="L46" s="1550" t="s">
        <v>386</v>
      </c>
      <c r="M46" s="1549" t="s">
        <v>1867</v>
      </c>
      <c r="N46" s="1509"/>
      <c r="O46" s="1509"/>
      <c r="P46" s="1509"/>
      <c r="Q46" s="1509"/>
      <c r="R46" s="1509"/>
    </row>
    <row r="47" spans="1:18" ht="15" x14ac:dyDescent="0.25">
      <c r="A47" s="1545" t="s">
        <v>2003</v>
      </c>
      <c r="B47" s="1509"/>
      <c r="C47" s="1509"/>
      <c r="D47" s="1551">
        <v>1500000</v>
      </c>
      <c r="E47" s="1552">
        <f>F47</f>
        <v>750000</v>
      </c>
      <c r="F47" s="1553">
        <f>D47/2</f>
        <v>750000</v>
      </c>
      <c r="G47" s="1554" t="s">
        <v>388</v>
      </c>
      <c r="H47" s="1550"/>
      <c r="I47" s="1550"/>
      <c r="J47" s="1550"/>
      <c r="K47" s="1550"/>
      <c r="L47" s="1550"/>
      <c r="M47" s="1549" t="s">
        <v>1867</v>
      </c>
      <c r="N47" s="1509"/>
      <c r="O47" s="1509"/>
      <c r="P47" s="1509"/>
      <c r="Q47" s="1509"/>
      <c r="R47" s="1509"/>
    </row>
    <row r="48" spans="1:18" ht="15" x14ac:dyDescent="0.25">
      <c r="A48" s="1545" t="s">
        <v>1685</v>
      </c>
      <c r="B48" s="1509"/>
      <c r="C48" s="1509"/>
      <c r="D48" s="1546">
        <v>130000000</v>
      </c>
      <c r="E48" s="1547">
        <v>60000000</v>
      </c>
      <c r="F48" s="1548">
        <v>70000000</v>
      </c>
      <c r="G48" s="1549" t="s">
        <v>388</v>
      </c>
      <c r="H48" s="1550"/>
      <c r="I48" s="1550" t="s">
        <v>390</v>
      </c>
      <c r="J48" s="1550" t="s">
        <v>390</v>
      </c>
      <c r="K48" s="1550" t="s">
        <v>390</v>
      </c>
      <c r="L48" s="1550" t="s">
        <v>390</v>
      </c>
      <c r="M48" s="1549">
        <v>2024</v>
      </c>
      <c r="N48" s="1509"/>
      <c r="O48" s="1509"/>
      <c r="P48" s="1509"/>
      <c r="Q48" s="1509"/>
      <c r="R48" s="1509"/>
    </row>
    <row r="49" spans="1:18" ht="15.75" thickBot="1" x14ac:dyDescent="0.3">
      <c r="A49" s="1555" t="s">
        <v>439</v>
      </c>
      <c r="B49" s="1509"/>
      <c r="C49" s="1509"/>
      <c r="D49" s="1556">
        <v>7000000</v>
      </c>
      <c r="E49" s="1557">
        <f>0.5*D49</f>
        <v>3500000</v>
      </c>
      <c r="F49" s="1558">
        <f>D49-E49</f>
        <v>3500000</v>
      </c>
      <c r="G49" s="1559" t="s">
        <v>388</v>
      </c>
      <c r="H49" s="1550" t="s">
        <v>431</v>
      </c>
      <c r="I49" s="1550" t="s">
        <v>386</v>
      </c>
      <c r="J49" s="1550" t="s">
        <v>386</v>
      </c>
      <c r="K49" s="1550" t="s">
        <v>386</v>
      </c>
      <c r="L49" s="1550" t="s">
        <v>386</v>
      </c>
      <c r="M49" s="1549" t="s">
        <v>1867</v>
      </c>
      <c r="N49" s="1509"/>
      <c r="O49" s="1509"/>
      <c r="P49" s="1509"/>
      <c r="Q49" s="1509"/>
      <c r="R49" s="1509"/>
    </row>
    <row r="50" spans="1:18" ht="15" x14ac:dyDescent="0.25">
      <c r="A50" s="1509"/>
      <c r="B50" s="1509"/>
      <c r="C50" s="1509"/>
      <c r="D50" s="1512"/>
      <c r="E50" s="1512"/>
      <c r="F50" s="1512"/>
      <c r="G50" s="1509"/>
      <c r="H50" s="1509"/>
      <c r="I50" s="1509"/>
      <c r="J50" s="1509"/>
      <c r="K50" s="1509"/>
      <c r="L50" s="1509"/>
      <c r="M50" s="1509"/>
      <c r="N50" s="1509"/>
      <c r="O50" s="1509"/>
      <c r="P50" s="1509"/>
      <c r="Q50" s="1509"/>
      <c r="R50" s="1509"/>
    </row>
    <row r="51" spans="1:18" ht="15" x14ac:dyDescent="0.25">
      <c r="A51" s="1510" t="s">
        <v>415</v>
      </c>
      <c r="B51" s="1509"/>
      <c r="C51" s="1509"/>
      <c r="D51" s="1512">
        <f>SUM(D42:D49)</f>
        <v>261000000</v>
      </c>
      <c r="E51" s="1512">
        <f>SUM(E42:E49)</f>
        <v>138250000</v>
      </c>
      <c r="F51" s="1512">
        <f>SUM(F42:F49)</f>
        <v>122750000</v>
      </c>
      <c r="G51" s="1512"/>
      <c r="H51" s="1509"/>
      <c r="I51" s="1509"/>
      <c r="J51" s="1509"/>
      <c r="K51" s="1509"/>
      <c r="L51" s="1509"/>
      <c r="M51" s="1509"/>
      <c r="N51" s="1509"/>
      <c r="O51" s="1509"/>
      <c r="P51" s="1509"/>
      <c r="Q51" s="1509"/>
      <c r="R51" s="1509"/>
    </row>
    <row r="52" spans="1:18" ht="15" x14ac:dyDescent="0.25">
      <c r="A52" s="1509"/>
      <c r="B52" s="1509"/>
      <c r="C52" s="1509"/>
      <c r="D52" s="1509"/>
      <c r="E52" s="1509"/>
      <c r="F52" s="1509"/>
      <c r="G52" s="1509"/>
      <c r="H52" s="1509"/>
      <c r="I52" s="1509"/>
      <c r="J52" s="1509"/>
      <c r="K52" s="1509"/>
      <c r="L52" s="1509"/>
      <c r="M52" s="1509"/>
      <c r="N52" s="1509"/>
      <c r="O52" s="1509"/>
      <c r="P52" s="1509"/>
      <c r="Q52" s="1509"/>
      <c r="R52" s="1509"/>
    </row>
    <row r="53" spans="1:18" ht="15" x14ac:dyDescent="0.25">
      <c r="A53" s="1509"/>
      <c r="B53" s="1509"/>
      <c r="C53" s="1509"/>
      <c r="D53" s="1509"/>
      <c r="E53" s="1509"/>
      <c r="F53" s="1509"/>
      <c r="G53" s="1509"/>
      <c r="H53" s="1509"/>
      <c r="I53" s="1509"/>
      <c r="J53" s="1509"/>
      <c r="K53" s="1509"/>
      <c r="L53" s="1509"/>
      <c r="M53" s="1509"/>
      <c r="N53" s="1509"/>
      <c r="O53" s="1509"/>
      <c r="P53" s="1509"/>
      <c r="Q53" s="1509"/>
      <c r="R53" s="1509"/>
    </row>
    <row r="54" spans="1:18" ht="16.5" thickBot="1" x14ac:dyDescent="0.3">
      <c r="A54" s="1405" t="s">
        <v>440</v>
      </c>
      <c r="B54" s="1509"/>
      <c r="C54" s="1509"/>
      <c r="D54" s="1509"/>
      <c r="E54" s="1512"/>
      <c r="F54" s="1509"/>
      <c r="G54" s="1509"/>
      <c r="H54" s="1509"/>
      <c r="I54" s="1509"/>
      <c r="J54" s="1509"/>
      <c r="K54" s="1509"/>
      <c r="L54" s="1509"/>
      <c r="M54" s="1509"/>
      <c r="N54" s="1509"/>
      <c r="O54" s="1509"/>
      <c r="P54" s="1509"/>
      <c r="Q54" s="1509"/>
      <c r="R54" s="1509"/>
    </row>
    <row r="55" spans="1:18" ht="15.75" thickBot="1" x14ac:dyDescent="0.3">
      <c r="A55" s="1529"/>
      <c r="B55" s="1509"/>
      <c r="C55" s="1509"/>
      <c r="D55" s="1513" t="s">
        <v>369</v>
      </c>
      <c r="E55" s="1530" t="s">
        <v>426</v>
      </c>
      <c r="F55" s="1515" t="s">
        <v>417</v>
      </c>
      <c r="G55" s="1514" t="s">
        <v>374</v>
      </c>
      <c r="H55" s="1515" t="s">
        <v>378</v>
      </c>
      <c r="I55" s="1515" t="s">
        <v>379</v>
      </c>
      <c r="J55" s="1515" t="s">
        <v>380</v>
      </c>
      <c r="K55" s="1515" t="s">
        <v>381</v>
      </c>
      <c r="L55" s="1514" t="s">
        <v>138</v>
      </c>
      <c r="M55" s="1514" t="s">
        <v>1857</v>
      </c>
      <c r="N55" s="1509"/>
      <c r="O55" s="1509"/>
      <c r="P55" s="1509"/>
      <c r="Q55" s="1509"/>
      <c r="R55" s="1509"/>
    </row>
    <row r="56" spans="1:18" ht="15" x14ac:dyDescent="0.25">
      <c r="A56" s="1560" t="s">
        <v>1871</v>
      </c>
      <c r="B56" s="1509"/>
      <c r="C56" s="1509"/>
      <c r="D56" s="1561">
        <v>35000000</v>
      </c>
      <c r="E56" s="1562">
        <v>12000000</v>
      </c>
      <c r="F56" s="1563">
        <f>D56-E56</f>
        <v>23000000</v>
      </c>
      <c r="G56" s="1564" t="s">
        <v>388</v>
      </c>
      <c r="H56" s="1565" t="s">
        <v>1970</v>
      </c>
      <c r="I56" s="1565" t="s">
        <v>386</v>
      </c>
      <c r="J56" s="1565" t="s">
        <v>386</v>
      </c>
      <c r="K56" s="1565" t="s">
        <v>386</v>
      </c>
      <c r="L56" s="1565" t="s">
        <v>386</v>
      </c>
      <c r="M56" s="1564">
        <v>2023</v>
      </c>
      <c r="N56" s="1509"/>
      <c r="O56" s="1509"/>
      <c r="P56" s="1509"/>
      <c r="Q56" s="1509"/>
      <c r="R56" s="1509"/>
    </row>
    <row r="57" spans="1:18" ht="15" x14ac:dyDescent="0.25">
      <c r="A57" s="1560" t="s">
        <v>1874</v>
      </c>
      <c r="B57" s="1509"/>
      <c r="C57" s="1509"/>
      <c r="D57" s="1561">
        <v>32000000</v>
      </c>
      <c r="E57" s="1562">
        <v>15505276</v>
      </c>
      <c r="F57" s="1563">
        <f>D57-E57</f>
        <v>16494724</v>
      </c>
      <c r="G57" s="1564" t="s">
        <v>388</v>
      </c>
      <c r="H57" s="1565" t="s">
        <v>1872</v>
      </c>
      <c r="I57" s="1565" t="s">
        <v>2004</v>
      </c>
      <c r="J57" s="1565" t="s">
        <v>390</v>
      </c>
      <c r="K57" s="1565" t="s">
        <v>1873</v>
      </c>
      <c r="L57" s="1565" t="s">
        <v>390</v>
      </c>
      <c r="M57" s="1564">
        <v>2023</v>
      </c>
      <c r="N57" s="1509"/>
      <c r="O57" s="1509"/>
      <c r="P57" s="1509"/>
      <c r="Q57" s="1509"/>
      <c r="R57" s="1509"/>
    </row>
    <row r="58" spans="1:18" ht="15" x14ac:dyDescent="0.25">
      <c r="A58" s="1560" t="s">
        <v>444</v>
      </c>
      <c r="B58" s="1509"/>
      <c r="C58" s="1509"/>
      <c r="D58" s="1561">
        <v>20400000</v>
      </c>
      <c r="E58" s="1562">
        <v>7500000</v>
      </c>
      <c r="F58" s="1563">
        <f>D58-E58</f>
        <v>12900000</v>
      </c>
      <c r="G58" s="1564" t="s">
        <v>388</v>
      </c>
      <c r="H58" s="1565" t="s">
        <v>1971</v>
      </c>
      <c r="I58" s="1565" t="s">
        <v>386</v>
      </c>
      <c r="J58" s="1565" t="s">
        <v>386</v>
      </c>
      <c r="K58" s="1565" t="s">
        <v>386</v>
      </c>
      <c r="L58" s="1565" t="s">
        <v>386</v>
      </c>
      <c r="M58" s="1564">
        <v>2023</v>
      </c>
      <c r="N58" s="1509"/>
      <c r="O58" s="1509"/>
      <c r="P58" s="1509"/>
      <c r="Q58" s="1509"/>
      <c r="R58" s="1509"/>
    </row>
    <row r="59" spans="1:18" ht="15" x14ac:dyDescent="0.25">
      <c r="A59" s="1560" t="s">
        <v>2005</v>
      </c>
      <c r="B59" s="1509"/>
      <c r="C59" s="1509"/>
      <c r="D59" s="1561">
        <v>35000000</v>
      </c>
      <c r="E59" s="1562">
        <v>19250000</v>
      </c>
      <c r="F59" s="1563">
        <f>D59-E59</f>
        <v>15750000</v>
      </c>
      <c r="G59" s="1564" t="s">
        <v>388</v>
      </c>
      <c r="H59" s="1565" t="s">
        <v>2006</v>
      </c>
      <c r="I59" s="1565" t="s">
        <v>386</v>
      </c>
      <c r="J59" s="1565" t="s">
        <v>386</v>
      </c>
      <c r="K59" s="1565" t="s">
        <v>386</v>
      </c>
      <c r="L59" s="1565" t="s">
        <v>386</v>
      </c>
      <c r="M59" s="1564">
        <v>2024</v>
      </c>
      <c r="N59" s="1509"/>
      <c r="O59" s="1509"/>
      <c r="P59" s="1509"/>
      <c r="Q59" s="1509"/>
      <c r="R59" s="1509"/>
    </row>
    <row r="60" spans="1:18" ht="15" x14ac:dyDescent="0.25">
      <c r="A60" s="1566" t="s">
        <v>2007</v>
      </c>
      <c r="B60" s="1509"/>
      <c r="C60" s="1509"/>
      <c r="D60" s="1567">
        <v>2000000</v>
      </c>
      <c r="E60" s="1562">
        <v>0</v>
      </c>
      <c r="F60" s="1563">
        <v>2000000</v>
      </c>
      <c r="G60" s="1564" t="s">
        <v>388</v>
      </c>
      <c r="H60" s="1565"/>
      <c r="I60" s="1565" t="s">
        <v>390</v>
      </c>
      <c r="J60" s="1566" t="s">
        <v>390</v>
      </c>
      <c r="K60" s="1566" t="s">
        <v>390</v>
      </c>
      <c r="L60" s="1566" t="s">
        <v>390</v>
      </c>
      <c r="M60" s="1566">
        <v>2024</v>
      </c>
      <c r="N60" s="1509"/>
      <c r="O60" s="1509"/>
      <c r="P60" s="1509"/>
      <c r="Q60" s="1509"/>
      <c r="R60" s="1509"/>
    </row>
    <row r="61" spans="1:18" ht="15" x14ac:dyDescent="0.25">
      <c r="A61" s="1566" t="s">
        <v>2008</v>
      </c>
      <c r="B61" s="1509"/>
      <c r="C61" s="1509"/>
      <c r="D61" s="1567">
        <v>2500000</v>
      </c>
      <c r="E61" s="1567">
        <v>0</v>
      </c>
      <c r="F61" s="1567">
        <v>2500000</v>
      </c>
      <c r="G61" s="1564" t="s">
        <v>388</v>
      </c>
      <c r="H61" s="1566" t="s">
        <v>2009</v>
      </c>
      <c r="I61" s="1566" t="s">
        <v>390</v>
      </c>
      <c r="J61" s="1566" t="s">
        <v>390</v>
      </c>
      <c r="K61" s="1566" t="s">
        <v>390</v>
      </c>
      <c r="L61" s="1566" t="s">
        <v>390</v>
      </c>
      <c r="M61" s="1566">
        <v>2023</v>
      </c>
      <c r="N61" s="1509"/>
      <c r="O61" s="1509"/>
      <c r="P61" s="1509"/>
      <c r="Q61" s="1509"/>
      <c r="R61" s="1509"/>
    </row>
    <row r="62" spans="1:18" ht="15" x14ac:dyDescent="0.25">
      <c r="A62" s="1509"/>
      <c r="B62" s="1509"/>
      <c r="C62" s="1509"/>
      <c r="D62" s="1512"/>
      <c r="E62" s="1512"/>
      <c r="F62" s="1512"/>
      <c r="G62" s="1509"/>
      <c r="H62" s="1509"/>
      <c r="I62" s="1509"/>
      <c r="J62" s="1509"/>
      <c r="K62" s="1509"/>
      <c r="L62" s="1509"/>
      <c r="M62" s="1509"/>
      <c r="N62" s="1509"/>
      <c r="O62" s="1509"/>
      <c r="P62" s="1509"/>
      <c r="Q62" s="1509"/>
      <c r="R62" s="1509"/>
    </row>
    <row r="63" spans="1:18" ht="15" x14ac:dyDescent="0.25">
      <c r="A63" s="1510" t="s">
        <v>415</v>
      </c>
      <c r="B63" s="1509"/>
      <c r="C63" s="1509"/>
      <c r="D63" s="1512">
        <f>SUM(D56:D61)</f>
        <v>126900000</v>
      </c>
      <c r="E63" s="1512">
        <f>SUM(E56:E61)</f>
        <v>54255276</v>
      </c>
      <c r="F63" s="1512">
        <f>SUM(F56:F61)</f>
        <v>72644724</v>
      </c>
      <c r="G63" s="1512"/>
      <c r="H63" s="1509"/>
      <c r="I63" s="1509"/>
      <c r="J63" s="1509"/>
      <c r="K63" s="1509"/>
      <c r="L63" s="1509"/>
      <c r="M63" s="1509"/>
      <c r="N63" s="1509"/>
      <c r="O63" s="1509"/>
      <c r="P63" s="1509"/>
      <c r="Q63" s="1509"/>
      <c r="R63" s="1509"/>
    </row>
    <row r="64" spans="1:18" ht="15" x14ac:dyDescent="0.25">
      <c r="A64" s="1510"/>
      <c r="B64" s="1509"/>
      <c r="C64" s="1509"/>
      <c r="D64" s="1512"/>
      <c r="E64" s="1512"/>
      <c r="F64" s="1512"/>
      <c r="G64" s="1512"/>
      <c r="H64" s="1509"/>
      <c r="I64" s="1509"/>
      <c r="J64" s="1509"/>
      <c r="K64" s="1509"/>
      <c r="L64" s="1509"/>
      <c r="M64" s="1509"/>
      <c r="N64" s="1509"/>
      <c r="O64" s="1509"/>
      <c r="P64" s="1509"/>
      <c r="Q64" s="1509"/>
      <c r="R64" s="1509"/>
    </row>
    <row r="65" spans="1:18" ht="15" x14ac:dyDescent="0.25">
      <c r="A65" s="1509"/>
      <c r="B65" s="1568" t="s">
        <v>446</v>
      </c>
      <c r="C65" s="1568"/>
      <c r="D65" s="1509"/>
      <c r="E65" s="1509"/>
      <c r="F65" s="1509"/>
      <c r="G65" s="1509"/>
      <c r="H65" s="1509"/>
      <c r="I65" s="1509"/>
      <c r="J65" s="1509"/>
      <c r="K65" s="1509"/>
      <c r="L65" s="1509"/>
      <c r="M65" s="1509"/>
      <c r="N65" s="1509"/>
      <c r="O65" s="1509"/>
      <c r="P65" s="1509"/>
      <c r="Q65" s="1509"/>
      <c r="R65" s="1509"/>
    </row>
    <row r="66" spans="1:18" ht="15" x14ac:dyDescent="0.25">
      <c r="A66" s="1510" t="s">
        <v>448</v>
      </c>
      <c r="B66" s="1512">
        <f>D18+D29+D37+D51+D63</f>
        <v>498990300</v>
      </c>
      <c r="C66" s="1512"/>
      <c r="D66" s="1512"/>
      <c r="E66" s="1512"/>
      <c r="F66" s="1512"/>
      <c r="G66" s="1512"/>
      <c r="H66" s="1509"/>
      <c r="I66" s="1509"/>
      <c r="J66" s="1509"/>
      <c r="K66" s="1509"/>
      <c r="L66" s="1509"/>
      <c r="M66" s="1509"/>
      <c r="N66" s="1509"/>
      <c r="O66" s="1509"/>
      <c r="P66" s="1509"/>
      <c r="Q66" s="1509"/>
      <c r="R66" s="1509"/>
    </row>
    <row r="67" spans="1:18" ht="15" x14ac:dyDescent="0.25">
      <c r="A67" s="1510" t="s">
        <v>449</v>
      </c>
      <c r="B67" s="1512">
        <f>E18+E29+E37+E51+E63</f>
        <v>272535276</v>
      </c>
      <c r="C67" s="1512"/>
      <c r="D67" s="1509"/>
      <c r="E67" s="1509"/>
      <c r="F67" s="1512"/>
      <c r="G67" s="1509"/>
      <c r="H67" s="1509"/>
      <c r="I67" s="1509"/>
      <c r="J67" s="1509"/>
      <c r="K67" s="1509"/>
      <c r="L67" s="1509"/>
      <c r="M67" s="1509"/>
      <c r="N67" s="1509"/>
      <c r="O67" s="1509"/>
      <c r="P67" s="1509"/>
      <c r="Q67" s="1509"/>
      <c r="R67" s="1509"/>
    </row>
    <row r="68" spans="1:18" ht="15" x14ac:dyDescent="0.25">
      <c r="A68" s="1510" t="s">
        <v>450</v>
      </c>
      <c r="B68" s="1512">
        <f>B66-B67</f>
        <v>226455024</v>
      </c>
      <c r="C68" s="1512"/>
      <c r="D68" s="1509"/>
      <c r="E68" s="1509"/>
      <c r="F68" s="1509"/>
      <c r="G68" s="1509"/>
      <c r="H68" s="1509"/>
      <c r="I68" s="1509"/>
      <c r="J68" s="1509"/>
      <c r="K68" s="1509"/>
      <c r="L68" s="1509"/>
      <c r="M68" s="1509"/>
      <c r="N68" s="1509"/>
      <c r="O68" s="1509"/>
      <c r="P68" s="1509"/>
      <c r="Q68" s="1509"/>
      <c r="R68" s="1509"/>
    </row>
    <row r="69" spans="1:18" ht="15" x14ac:dyDescent="0.25">
      <c r="A69" s="1569" t="s">
        <v>451</v>
      </c>
      <c r="B69" s="1570">
        <f>F18</f>
        <v>23990300</v>
      </c>
      <c r="C69" s="1570"/>
      <c r="D69" s="1509"/>
      <c r="E69" s="1509"/>
      <c r="F69" s="1509"/>
      <c r="G69" s="1509"/>
      <c r="H69" s="1509"/>
      <c r="I69" s="1509"/>
      <c r="J69" s="1509"/>
      <c r="K69" s="1509"/>
      <c r="L69" s="1509"/>
      <c r="M69" s="1509"/>
      <c r="N69" s="1509"/>
      <c r="O69" s="1509"/>
      <c r="P69" s="1509"/>
      <c r="Q69" s="1509"/>
      <c r="R69" s="1509"/>
    </row>
    <row r="70" spans="1:18" ht="15" x14ac:dyDescent="0.25">
      <c r="A70" s="1569" t="s">
        <v>1875</v>
      </c>
      <c r="B70" s="1509"/>
      <c r="C70" s="1570">
        <f>F29</f>
        <v>7070000</v>
      </c>
      <c r="D70" s="1509"/>
      <c r="E70" s="1509"/>
      <c r="F70" s="1509"/>
      <c r="G70" s="1509"/>
      <c r="H70" s="1509"/>
      <c r="I70" s="1509"/>
      <c r="J70" s="1509"/>
      <c r="K70" s="1509"/>
      <c r="L70" s="1509"/>
      <c r="M70" s="1509"/>
      <c r="N70" s="1509"/>
      <c r="O70" s="1509"/>
      <c r="P70" s="1509"/>
      <c r="Q70" s="1509"/>
      <c r="R70" s="1509"/>
    </row>
    <row r="71" spans="1:18" ht="15" x14ac:dyDescent="0.25">
      <c r="A71" s="1569" t="s">
        <v>453</v>
      </c>
      <c r="B71" s="1509"/>
      <c r="C71" s="1570">
        <f>F51</f>
        <v>122750000</v>
      </c>
      <c r="D71" s="1509"/>
      <c r="E71" s="1509"/>
      <c r="F71" s="1509"/>
      <c r="G71" s="1509"/>
      <c r="H71" s="1509"/>
      <c r="I71" s="1509"/>
      <c r="J71" s="1509"/>
      <c r="K71" s="1509"/>
      <c r="L71" s="1509"/>
      <c r="M71" s="1509"/>
      <c r="N71" s="1509"/>
      <c r="O71" s="1509"/>
      <c r="P71" s="1509"/>
      <c r="Q71" s="1509"/>
      <c r="R71" s="1509"/>
    </row>
    <row r="72" spans="1:18" ht="15" x14ac:dyDescent="0.25">
      <c r="A72" s="1569" t="s">
        <v>454</v>
      </c>
      <c r="B72" s="1509"/>
      <c r="C72" s="1570">
        <f>F63</f>
        <v>72644724</v>
      </c>
      <c r="D72" s="1509"/>
      <c r="E72" s="1509"/>
      <c r="F72" s="1509"/>
      <c r="G72" s="1509"/>
      <c r="H72" s="1509"/>
      <c r="I72" s="1509"/>
      <c r="J72" s="1509"/>
      <c r="K72" s="1509"/>
      <c r="L72" s="1509"/>
      <c r="M72" s="1509"/>
      <c r="N72" s="1509"/>
      <c r="O72" s="1509"/>
      <c r="P72" s="1509"/>
      <c r="Q72" s="1509"/>
      <c r="R72" s="1509"/>
    </row>
    <row r="73" spans="1:18" ht="15" x14ac:dyDescent="0.25">
      <c r="A73" s="1569" t="s">
        <v>455</v>
      </c>
      <c r="B73" s="1509"/>
      <c r="C73" s="1570">
        <f>F37</f>
        <v>0</v>
      </c>
      <c r="D73" s="1509"/>
      <c r="E73" s="1509"/>
      <c r="F73" s="1509"/>
      <c r="G73" s="1509"/>
      <c r="H73" s="1509"/>
      <c r="I73" s="1509"/>
      <c r="J73" s="1509"/>
      <c r="K73" s="1509"/>
      <c r="L73" s="1509"/>
      <c r="M73" s="1509"/>
      <c r="N73" s="1509"/>
      <c r="O73" s="1509"/>
      <c r="P73" s="1509"/>
      <c r="Q73" s="1509"/>
      <c r="R73" s="1509"/>
    </row>
    <row r="74" spans="1:18" ht="15" x14ac:dyDescent="0.25">
      <c r="A74" s="1509"/>
      <c r="B74" s="1509"/>
      <c r="C74" s="1509"/>
      <c r="D74" s="1509"/>
      <c r="E74" s="1509"/>
      <c r="F74" s="1509"/>
      <c r="G74" s="1509"/>
      <c r="H74" s="1509"/>
      <c r="I74" s="1509"/>
      <c r="J74" s="1509"/>
      <c r="K74" s="1509"/>
      <c r="L74" s="1509"/>
      <c r="M74" s="1509"/>
      <c r="N74" s="1509"/>
      <c r="O74" s="1509"/>
      <c r="P74" s="1509"/>
      <c r="Q74" s="1509"/>
      <c r="R74" s="1509"/>
    </row>
    <row r="75" spans="1:18" ht="15" x14ac:dyDescent="0.25">
      <c r="A75" s="1510" t="s">
        <v>1876</v>
      </c>
      <c r="B75" s="1571">
        <f>15000000*4</f>
        <v>60000000</v>
      </c>
      <c r="C75" s="1512"/>
      <c r="D75" s="1509"/>
      <c r="E75" s="1509"/>
      <c r="F75" s="1509"/>
      <c r="G75" s="1509"/>
      <c r="H75" s="1509"/>
      <c r="I75" s="1509"/>
      <c r="J75" s="1509"/>
      <c r="K75" s="1509"/>
      <c r="L75" s="1509"/>
      <c r="M75" s="1509"/>
      <c r="N75" s="1509"/>
      <c r="O75" s="1509"/>
      <c r="P75" s="1509"/>
      <c r="Q75" s="1509"/>
      <c r="R75" s="1509"/>
    </row>
    <row r="76" spans="1:18" ht="15" x14ac:dyDescent="0.25">
      <c r="A76" s="1509"/>
      <c r="B76" s="1509"/>
      <c r="C76" s="1509"/>
      <c r="D76" s="1509"/>
      <c r="E76" s="1509"/>
      <c r="F76" s="1509"/>
      <c r="G76" s="1509"/>
      <c r="H76" s="1509"/>
      <c r="I76" s="1509"/>
      <c r="J76" s="1509"/>
      <c r="K76" s="1509"/>
      <c r="L76" s="1509"/>
      <c r="M76" s="1509"/>
      <c r="N76" s="1509"/>
      <c r="O76" s="1509"/>
      <c r="P76" s="1509"/>
      <c r="Q76" s="1509"/>
      <c r="R76" s="1509"/>
    </row>
    <row r="77" spans="1:18" ht="15" x14ac:dyDescent="0.25">
      <c r="A77" s="1510" t="s">
        <v>457</v>
      </c>
      <c r="B77" s="1571">
        <f>B68-SUM(B75:B75)</f>
        <v>166455024</v>
      </c>
      <c r="C77" s="1571"/>
      <c r="D77" s="1509"/>
      <c r="E77" s="1509"/>
      <c r="F77" s="1509"/>
      <c r="G77" s="1509"/>
      <c r="H77" s="1509"/>
      <c r="I77" s="1509"/>
      <c r="J77" s="1509"/>
      <c r="K77" s="1509"/>
      <c r="L77" s="1509"/>
      <c r="M77" s="1509"/>
      <c r="N77" s="1509"/>
      <c r="O77" s="1509"/>
      <c r="P77" s="1509"/>
      <c r="Q77" s="1509"/>
      <c r="R77" s="1509"/>
    </row>
    <row r="78" spans="1:18" ht="15" x14ac:dyDescent="0.25">
      <c r="A78" s="1509"/>
      <c r="B78" s="1509"/>
      <c r="C78" s="1509"/>
      <c r="D78" s="1509"/>
      <c r="E78" s="1509"/>
      <c r="F78" s="1509"/>
      <c r="G78" s="1509"/>
      <c r="H78" s="1509"/>
      <c r="I78" s="1509"/>
      <c r="J78" s="1509"/>
      <c r="K78" s="1509"/>
      <c r="L78" s="1509"/>
      <c r="M78" s="1509"/>
      <c r="N78" s="1509"/>
      <c r="O78" s="1509"/>
      <c r="P78" s="1509"/>
      <c r="Q78" s="1509"/>
      <c r="R78" s="1509"/>
    </row>
    <row r="79" spans="1:18" ht="15" x14ac:dyDescent="0.25">
      <c r="A79" s="1510" t="s">
        <v>458</v>
      </c>
      <c r="B79" s="1509"/>
      <c r="C79" s="1512"/>
      <c r="D79" s="1509"/>
      <c r="E79" s="1509"/>
      <c r="F79" s="1509"/>
      <c r="G79" s="1509"/>
      <c r="H79" s="1509"/>
      <c r="I79" s="1509"/>
      <c r="J79" s="1509"/>
      <c r="K79" s="1509"/>
      <c r="L79" s="1509"/>
      <c r="M79" s="1509"/>
      <c r="N79" s="1509"/>
      <c r="O79" s="1509"/>
      <c r="P79" s="1509"/>
      <c r="Q79" s="1509"/>
      <c r="R79" s="1509"/>
    </row>
    <row r="80" spans="1:18" ht="15" x14ac:dyDescent="0.25">
      <c r="A80" s="1569" t="s">
        <v>459</v>
      </c>
      <c r="B80" s="1512">
        <v>40000000</v>
      </c>
      <c r="C80" s="1512"/>
      <c r="D80" s="1512"/>
      <c r="E80" s="1509"/>
      <c r="F80" s="1509"/>
      <c r="G80" s="1509"/>
      <c r="H80" s="1509"/>
      <c r="I80" s="1509"/>
      <c r="J80" s="1509"/>
      <c r="K80" s="1509"/>
      <c r="L80" s="1509"/>
      <c r="M80" s="1509"/>
      <c r="N80" s="1509"/>
      <c r="O80" s="1509"/>
      <c r="P80" s="1509"/>
      <c r="Q80" s="1509"/>
      <c r="R80" s="1509"/>
    </row>
    <row r="81" spans="1:18" ht="15" x14ac:dyDescent="0.25">
      <c r="A81" s="1569" t="s">
        <v>1877</v>
      </c>
      <c r="B81" s="1512">
        <v>105000000</v>
      </c>
      <c r="C81" s="1512"/>
      <c r="D81" s="1509"/>
      <c r="E81" s="1509"/>
      <c r="F81" s="1509"/>
      <c r="G81" s="1509"/>
      <c r="H81" s="1509"/>
      <c r="I81" s="1509"/>
      <c r="J81" s="1509"/>
      <c r="K81" s="1509"/>
      <c r="L81" s="1509"/>
      <c r="M81" s="1509"/>
      <c r="N81" s="1509"/>
      <c r="O81" s="1509"/>
      <c r="P81" s="1509"/>
      <c r="Q81" s="1509"/>
      <c r="R81" s="1509"/>
    </row>
    <row r="82" spans="1:18" ht="15" x14ac:dyDescent="0.25">
      <c r="A82" s="1569" t="s">
        <v>1878</v>
      </c>
      <c r="B82" s="1512">
        <v>36000000</v>
      </c>
      <c r="C82" s="1512"/>
      <c r="D82" s="1509"/>
      <c r="E82" s="1509"/>
      <c r="F82" s="1509"/>
      <c r="G82" s="1509"/>
      <c r="H82" s="1509"/>
      <c r="I82" s="1509"/>
      <c r="J82" s="1509"/>
      <c r="K82" s="1509"/>
      <c r="L82" s="1509"/>
      <c r="M82" s="1509"/>
      <c r="N82" s="1509"/>
      <c r="O82" s="1509"/>
      <c r="P82" s="1509"/>
      <c r="Q82" s="1509"/>
      <c r="R82" s="1509"/>
    </row>
    <row r="83" spans="1:18" ht="15" x14ac:dyDescent="0.25">
      <c r="A83" s="1570"/>
      <c r="B83" s="1512"/>
      <c r="C83" s="1512"/>
      <c r="D83" s="1509"/>
      <c r="E83" s="1509"/>
      <c r="F83" s="1509"/>
      <c r="G83" s="1509"/>
      <c r="H83" s="1509"/>
      <c r="I83" s="1509"/>
      <c r="J83" s="1509"/>
      <c r="K83" s="1509"/>
      <c r="L83" s="1509"/>
      <c r="M83" s="1509"/>
      <c r="N83" s="1509"/>
      <c r="O83" s="1509"/>
      <c r="P83" s="1509"/>
      <c r="Q83" s="1509"/>
      <c r="R83" s="1509"/>
    </row>
    <row r="84" spans="1:18" ht="15" x14ac:dyDescent="0.25">
      <c r="A84" s="1510" t="s">
        <v>463</v>
      </c>
      <c r="B84" s="1571">
        <f>SUM(B80:B82)</f>
        <v>181000000</v>
      </c>
      <c r="C84" s="1512"/>
      <c r="D84" s="1509"/>
      <c r="E84" s="1509"/>
      <c r="F84" s="1509"/>
      <c r="G84" s="1509"/>
      <c r="H84" s="1509"/>
      <c r="I84" s="1509"/>
      <c r="J84" s="1509"/>
      <c r="K84" s="1509"/>
      <c r="L84" s="1509"/>
      <c r="M84" s="1509"/>
      <c r="N84" s="1509"/>
      <c r="O84" s="1509"/>
      <c r="P84" s="1509"/>
      <c r="Q84" s="1509"/>
      <c r="R84" s="1509"/>
    </row>
    <row r="85" spans="1:18" ht="15" x14ac:dyDescent="0.25">
      <c r="A85" s="1510"/>
      <c r="B85" s="1512"/>
      <c r="C85" s="1512"/>
      <c r="D85" s="1509"/>
      <c r="E85" s="1509"/>
      <c r="F85" s="1509"/>
      <c r="G85" s="1509"/>
      <c r="H85" s="1509"/>
      <c r="I85" s="1509"/>
      <c r="J85" s="1509"/>
      <c r="K85" s="1509"/>
      <c r="L85" s="1509"/>
      <c r="M85" s="1509"/>
      <c r="N85" s="1509"/>
      <c r="O85" s="1509"/>
      <c r="P85" s="1509"/>
      <c r="Q85" s="1509"/>
      <c r="R85" s="1509"/>
    </row>
    <row r="86" spans="1:18" ht="15" x14ac:dyDescent="0.25">
      <c r="A86" s="1510" t="s">
        <v>1879</v>
      </c>
      <c r="B86" s="1571">
        <f>13500000+5500000</f>
        <v>19000000</v>
      </c>
      <c r="C86" s="1512"/>
      <c r="D86" s="1509"/>
      <c r="E86" s="1509"/>
      <c r="F86" s="1509"/>
      <c r="G86" s="1509"/>
      <c r="H86" s="1509"/>
      <c r="I86" s="1509"/>
      <c r="J86" s="1509"/>
      <c r="K86" s="1509"/>
      <c r="L86" s="1509"/>
      <c r="M86" s="1509"/>
      <c r="N86" s="1509"/>
      <c r="O86" s="1509"/>
      <c r="P86" s="1509"/>
      <c r="Q86" s="1509"/>
      <c r="R86" s="1509"/>
    </row>
    <row r="87" spans="1:18" ht="15" x14ac:dyDescent="0.25">
      <c r="A87" s="1510"/>
      <c r="B87" s="1512"/>
      <c r="C87" s="1512"/>
      <c r="D87" s="1509"/>
      <c r="E87" s="1509"/>
      <c r="F87" s="1509"/>
      <c r="G87" s="1509"/>
      <c r="H87" s="1509"/>
      <c r="I87" s="1509"/>
      <c r="J87" s="1509"/>
      <c r="K87" s="1509"/>
      <c r="L87" s="1509"/>
      <c r="M87" s="1509"/>
      <c r="N87" s="1509"/>
      <c r="O87" s="1509"/>
      <c r="P87" s="1509"/>
      <c r="Q87" s="1509"/>
      <c r="R87" s="1509"/>
    </row>
    <row r="88" spans="1:18" ht="15" x14ac:dyDescent="0.25">
      <c r="A88" s="1510" t="s">
        <v>1880</v>
      </c>
      <c r="B88" s="1571">
        <v>0</v>
      </c>
      <c r="C88" s="1512"/>
      <c r="D88" s="1509"/>
      <c r="E88" s="1509"/>
      <c r="F88" s="1509"/>
      <c r="G88" s="1509"/>
      <c r="H88" s="1509"/>
      <c r="I88" s="1509"/>
      <c r="J88" s="1509"/>
      <c r="K88" s="1509"/>
      <c r="L88" s="1509"/>
      <c r="M88" s="1509"/>
      <c r="N88" s="1509"/>
      <c r="O88" s="1509"/>
      <c r="P88" s="1509"/>
      <c r="Q88" s="1509"/>
      <c r="R88" s="1509"/>
    </row>
    <row r="89" spans="1:18" ht="15" x14ac:dyDescent="0.25">
      <c r="A89" s="1509"/>
      <c r="B89" s="1512"/>
      <c r="C89" s="1512"/>
      <c r="D89" s="1509"/>
      <c r="E89" s="1509"/>
      <c r="F89" s="1509"/>
      <c r="G89" s="1509"/>
      <c r="H89" s="1509"/>
      <c r="I89" s="1509"/>
      <c r="J89" s="1509"/>
      <c r="K89" s="1509"/>
      <c r="L89" s="1509"/>
      <c r="M89" s="1509"/>
      <c r="N89" s="1509"/>
      <c r="O89" s="1509"/>
      <c r="P89" s="1509"/>
      <c r="Q89" s="1509"/>
      <c r="R89" s="1509"/>
    </row>
    <row r="90" spans="1:18" ht="15" x14ac:dyDescent="0.25">
      <c r="A90" s="1510" t="s">
        <v>1881</v>
      </c>
      <c r="B90" s="1571">
        <v>4000000</v>
      </c>
      <c r="C90" s="1512"/>
      <c r="D90" s="1509"/>
      <c r="E90" s="1509"/>
      <c r="F90" s="1509"/>
      <c r="G90" s="1509"/>
      <c r="H90" s="1509"/>
      <c r="I90" s="1509"/>
      <c r="J90" s="1509"/>
      <c r="K90" s="1509"/>
      <c r="L90" s="1509"/>
      <c r="M90" s="1509"/>
      <c r="N90" s="1509"/>
      <c r="O90" s="1509"/>
      <c r="P90" s="1509"/>
      <c r="Q90" s="1509"/>
      <c r="R90" s="1509"/>
    </row>
    <row r="91" spans="1:18" ht="15" x14ac:dyDescent="0.25">
      <c r="A91" s="1509"/>
      <c r="B91" s="1512"/>
      <c r="C91" s="1512"/>
      <c r="D91" s="1509"/>
      <c r="E91" s="1509"/>
      <c r="F91" s="1509"/>
      <c r="G91" s="1509"/>
      <c r="H91" s="1509"/>
      <c r="I91" s="1509"/>
      <c r="J91" s="1509"/>
      <c r="K91" s="1509"/>
      <c r="L91" s="1509"/>
      <c r="M91" s="1509"/>
      <c r="N91" s="1509"/>
      <c r="O91" s="1509"/>
      <c r="P91" s="1509"/>
      <c r="Q91" s="1509"/>
      <c r="R91" s="1509"/>
    </row>
    <row r="92" spans="1:18" ht="15" x14ac:dyDescent="0.25">
      <c r="A92" s="1510" t="s">
        <v>1882</v>
      </c>
      <c r="B92" s="1571">
        <f>SUM(B84,B86,B88,B90)</f>
        <v>204000000</v>
      </c>
      <c r="C92" s="1509"/>
      <c r="D92" s="1509"/>
      <c r="E92" s="1509"/>
      <c r="F92" s="1509"/>
      <c r="G92" s="1509"/>
      <c r="H92" s="1509"/>
      <c r="I92" s="1509"/>
      <c r="J92" s="1509"/>
      <c r="K92" s="1509"/>
      <c r="L92" s="1509"/>
      <c r="M92" s="1509"/>
      <c r="N92" s="1509"/>
      <c r="O92" s="1509"/>
      <c r="P92" s="1509"/>
      <c r="Q92" s="1509"/>
      <c r="R92" s="1509"/>
    </row>
    <row r="93" spans="1:18" ht="15" x14ac:dyDescent="0.25">
      <c r="A93" s="1510"/>
      <c r="B93" s="1512"/>
      <c r="C93" s="1509"/>
      <c r="D93" s="1509"/>
      <c r="E93" s="1509"/>
      <c r="F93" s="1509"/>
      <c r="G93" s="1509"/>
      <c r="H93" s="1509"/>
      <c r="I93" s="1509"/>
      <c r="J93" s="1509"/>
      <c r="K93" s="1509"/>
      <c r="L93" s="1509"/>
      <c r="M93" s="1509"/>
      <c r="N93" s="1509"/>
      <c r="O93" s="1509"/>
      <c r="P93" s="1509"/>
      <c r="Q93" s="1509"/>
      <c r="R93" s="1509"/>
    </row>
    <row r="94" spans="1:18" ht="21" x14ac:dyDescent="0.35">
      <c r="A94" s="1572" t="s">
        <v>1883</v>
      </c>
      <c r="B94" s="1573">
        <f>B92-B77</f>
        <v>37544976</v>
      </c>
      <c r="C94" s="1509"/>
      <c r="D94" s="1509"/>
      <c r="E94" s="1509"/>
      <c r="F94" s="1509"/>
      <c r="G94" s="1509"/>
      <c r="H94" s="1509"/>
      <c r="I94" s="1509"/>
      <c r="J94" s="1509"/>
      <c r="K94" s="1509"/>
      <c r="L94" s="1509"/>
      <c r="M94" s="1509"/>
      <c r="N94" s="1509"/>
      <c r="O94" s="1509"/>
      <c r="P94" s="1509"/>
      <c r="Q94" s="1509"/>
      <c r="R94" s="1509"/>
    </row>
    <row r="95" spans="1:18" ht="15" x14ac:dyDescent="0.25">
      <c r="A95" s="1509"/>
      <c r="B95" s="1509"/>
      <c r="C95" s="1509"/>
      <c r="D95" s="1509"/>
      <c r="E95" s="1509"/>
      <c r="F95" s="1509"/>
      <c r="G95" s="1509"/>
      <c r="H95" s="1509"/>
      <c r="I95" s="1509"/>
      <c r="J95" s="1509"/>
      <c r="K95" s="1509"/>
      <c r="L95" s="1509"/>
      <c r="M95" s="1509"/>
      <c r="N95" s="1509"/>
      <c r="O95" s="1509"/>
      <c r="P95" s="1509"/>
      <c r="Q95" s="1509"/>
      <c r="R95" s="1509"/>
    </row>
    <row r="96" spans="1:18" ht="21" x14ac:dyDescent="0.35">
      <c r="A96" s="1572" t="s">
        <v>2010</v>
      </c>
      <c r="B96" s="1573">
        <v>126137552</v>
      </c>
      <c r="C96" s="1512"/>
      <c r="D96" s="1512"/>
      <c r="E96" s="1509"/>
      <c r="F96" s="1509"/>
      <c r="G96" s="1509"/>
      <c r="H96" s="1509"/>
      <c r="I96" s="1509"/>
      <c r="J96" s="1509"/>
      <c r="K96" s="1509"/>
      <c r="L96" s="1509"/>
      <c r="M96" s="1509"/>
      <c r="N96" s="1509"/>
      <c r="O96" s="1509"/>
      <c r="P96" s="1509"/>
      <c r="Q96" s="1509"/>
      <c r="R96" s="1509"/>
    </row>
    <row r="97" spans="1:18" ht="15" x14ac:dyDescent="0.25">
      <c r="A97" s="1569" t="s">
        <v>1884</v>
      </c>
      <c r="B97" s="1570">
        <v>11818172</v>
      </c>
      <c r="C97" s="1570" t="s">
        <v>1885</v>
      </c>
      <c r="D97" s="1512"/>
      <c r="E97" s="1574"/>
      <c r="F97" s="1509"/>
      <c r="G97" s="1509"/>
      <c r="H97" s="1509"/>
      <c r="I97" s="1509"/>
      <c r="J97" s="1509"/>
      <c r="K97" s="1509"/>
      <c r="L97" s="1509"/>
      <c r="M97" s="1509"/>
      <c r="N97" s="1509"/>
      <c r="O97" s="1509"/>
      <c r="P97" s="1509"/>
      <c r="Q97" s="1509"/>
      <c r="R97" s="1509"/>
    </row>
    <row r="98" spans="1:18" ht="15" x14ac:dyDescent="0.25">
      <c r="A98" s="1569" t="s">
        <v>1886</v>
      </c>
      <c r="B98" s="1570">
        <v>72938360</v>
      </c>
      <c r="C98" s="1570" t="s">
        <v>1887</v>
      </c>
      <c r="D98" s="1512"/>
      <c r="E98" s="1574"/>
      <c r="F98" s="1509"/>
      <c r="G98" s="1509"/>
      <c r="H98" s="1509"/>
      <c r="I98" s="1509"/>
      <c r="J98" s="1509"/>
      <c r="K98" s="1509"/>
      <c r="L98" s="1509"/>
      <c r="M98" s="1509"/>
      <c r="N98" s="1509"/>
      <c r="O98" s="1509"/>
      <c r="P98" s="1509"/>
      <c r="Q98" s="1509"/>
      <c r="R98" s="1509"/>
    </row>
    <row r="99" spans="1:18" ht="15" x14ac:dyDescent="0.25">
      <c r="A99" s="1569" t="s">
        <v>1888</v>
      </c>
      <c r="B99" s="1570">
        <v>41381020</v>
      </c>
      <c r="C99" s="1570" t="s">
        <v>1889</v>
      </c>
      <c r="D99" s="1512"/>
      <c r="E99" s="1574"/>
      <c r="F99" s="1509"/>
      <c r="G99" s="1509"/>
      <c r="H99" s="1509"/>
      <c r="I99" s="1509"/>
      <c r="J99" s="1509"/>
      <c r="K99" s="1509"/>
      <c r="L99" s="1509"/>
      <c r="M99" s="1509"/>
      <c r="N99" s="1509"/>
      <c r="O99" s="1509"/>
      <c r="P99" s="1509"/>
      <c r="Q99" s="1509"/>
      <c r="R99" s="1509"/>
    </row>
    <row r="100" spans="1:18" ht="15" x14ac:dyDescent="0.25">
      <c r="A100" s="1510"/>
      <c r="B100" s="1512"/>
      <c r="C100" s="1512"/>
      <c r="D100" s="1509"/>
      <c r="E100" s="1509"/>
      <c r="F100" s="1509"/>
      <c r="G100" s="1509"/>
      <c r="H100" s="1509"/>
      <c r="I100" s="1509"/>
      <c r="J100" s="1509"/>
      <c r="K100" s="1509"/>
      <c r="L100" s="1509"/>
      <c r="M100" s="1509"/>
      <c r="N100" s="1509"/>
      <c r="O100" s="1509"/>
      <c r="P100" s="1509"/>
      <c r="Q100" s="1509"/>
      <c r="R100" s="1509"/>
    </row>
    <row r="101" spans="1:18" ht="15" hidden="1" x14ac:dyDescent="0.25">
      <c r="A101" s="1575" t="s">
        <v>1890</v>
      </c>
      <c r="B101" s="1576">
        <f>61000000</f>
        <v>61000000</v>
      </c>
      <c r="C101" s="1512"/>
      <c r="D101" s="1509"/>
      <c r="E101" s="1509"/>
      <c r="F101" s="1509"/>
      <c r="G101" s="1509"/>
      <c r="H101" s="1509"/>
      <c r="I101" s="1509"/>
      <c r="J101" s="1509"/>
      <c r="K101" s="1509"/>
      <c r="L101" s="1509"/>
      <c r="M101" s="1509"/>
      <c r="N101" s="1509"/>
      <c r="O101" s="1509"/>
      <c r="P101" s="1509"/>
      <c r="Q101" s="1509"/>
      <c r="R101" s="1509"/>
    </row>
    <row r="102" spans="1:18" ht="15" hidden="1" x14ac:dyDescent="0.25">
      <c r="A102" s="1575"/>
      <c r="B102" s="1576"/>
      <c r="C102" s="1512"/>
      <c r="D102" s="1509"/>
      <c r="E102" s="1509"/>
      <c r="F102" s="1509"/>
      <c r="G102" s="1509"/>
      <c r="H102" s="1509"/>
      <c r="I102" s="1509"/>
      <c r="J102" s="1509"/>
      <c r="K102" s="1509"/>
      <c r="L102" s="1509"/>
      <c r="M102" s="1509"/>
      <c r="N102" s="1509"/>
      <c r="O102" s="1509"/>
      <c r="P102" s="1509"/>
      <c r="Q102" s="1509"/>
      <c r="R102" s="1509"/>
    </row>
    <row r="103" spans="1:18" ht="21" hidden="1" x14ac:dyDescent="0.35">
      <c r="A103" s="1577" t="s">
        <v>1891</v>
      </c>
      <c r="B103" s="1578">
        <f>B96-B108</f>
        <v>43137552</v>
      </c>
      <c r="C103" s="1512"/>
      <c r="D103" s="1509"/>
      <c r="E103" s="1509"/>
      <c r="F103" s="1509"/>
      <c r="G103" s="1509"/>
      <c r="H103" s="1509"/>
      <c r="I103" s="1509"/>
      <c r="J103" s="1509"/>
      <c r="K103" s="1509"/>
      <c r="L103" s="1509"/>
      <c r="M103" s="1509"/>
      <c r="N103" s="1509"/>
      <c r="O103" s="1509"/>
      <c r="P103" s="1509"/>
      <c r="Q103" s="1509"/>
      <c r="R103" s="1509"/>
    </row>
    <row r="104" spans="1:18" ht="15" hidden="1" x14ac:dyDescent="0.25">
      <c r="A104" s="1579" t="s">
        <v>1884</v>
      </c>
      <c r="B104" s="1580">
        <v>0</v>
      </c>
      <c r="C104" s="1512"/>
      <c r="D104" s="1509"/>
      <c r="E104" s="1509"/>
      <c r="F104" s="1509"/>
      <c r="G104" s="1509"/>
      <c r="H104" s="1509"/>
      <c r="I104" s="1509"/>
      <c r="J104" s="1509"/>
      <c r="K104" s="1509"/>
      <c r="L104" s="1509"/>
      <c r="M104" s="1509"/>
      <c r="N104" s="1509"/>
      <c r="O104" s="1509"/>
      <c r="P104" s="1509"/>
      <c r="Q104" s="1509"/>
      <c r="R104" s="1509"/>
    </row>
    <row r="105" spans="1:18" ht="15" hidden="1" x14ac:dyDescent="0.25">
      <c r="A105" s="1579" t="s">
        <v>1886</v>
      </c>
      <c r="B105" s="1580">
        <v>65000000</v>
      </c>
      <c r="C105" s="1512"/>
      <c r="D105" s="1509"/>
      <c r="E105" s="1509"/>
      <c r="F105" s="1509"/>
      <c r="G105" s="1509"/>
      <c r="H105" s="1509"/>
      <c r="I105" s="1509"/>
      <c r="J105" s="1509"/>
      <c r="K105" s="1509"/>
      <c r="L105" s="1509"/>
      <c r="M105" s="1509"/>
      <c r="N105" s="1509"/>
      <c r="O105" s="1509"/>
      <c r="P105" s="1509"/>
      <c r="Q105" s="1509"/>
      <c r="R105" s="1509"/>
    </row>
    <row r="106" spans="1:18" ht="15" hidden="1" x14ac:dyDescent="0.25">
      <c r="A106" s="1579" t="s">
        <v>1888</v>
      </c>
      <c r="B106" s="1580">
        <v>20000000</v>
      </c>
      <c r="C106" s="1512"/>
      <c r="D106" s="1509"/>
      <c r="E106" s="1509"/>
      <c r="F106" s="1509"/>
      <c r="G106" s="1509"/>
      <c r="H106" s="1509"/>
      <c r="I106" s="1509"/>
      <c r="J106" s="1509"/>
      <c r="K106" s="1509"/>
      <c r="L106" s="1509"/>
      <c r="M106" s="1509"/>
      <c r="N106" s="1509"/>
      <c r="O106" s="1509"/>
      <c r="P106" s="1509"/>
      <c r="Q106" s="1509"/>
      <c r="R106" s="1509"/>
    </row>
    <row r="107" spans="1:18" ht="15" hidden="1" x14ac:dyDescent="0.25">
      <c r="A107" s="1581"/>
      <c r="B107" s="1576"/>
      <c r="C107" s="1512"/>
      <c r="D107" s="1509"/>
      <c r="E107" s="1509"/>
      <c r="F107" s="1509"/>
      <c r="G107" s="1509"/>
      <c r="H107" s="1509"/>
      <c r="I107" s="1509"/>
      <c r="J107" s="1509"/>
      <c r="K107" s="1509"/>
      <c r="L107" s="1509"/>
      <c r="M107" s="1509"/>
      <c r="N107" s="1509"/>
      <c r="O107" s="1509"/>
      <c r="P107" s="1509"/>
      <c r="Q107" s="1509"/>
      <c r="R107" s="1509"/>
    </row>
    <row r="108" spans="1:18" ht="15" hidden="1" x14ac:dyDescent="0.25">
      <c r="A108" s="1575" t="s">
        <v>1890</v>
      </c>
      <c r="B108" s="1576">
        <v>83000000</v>
      </c>
      <c r="C108" s="1512"/>
      <c r="D108" s="1509"/>
      <c r="E108" s="1509"/>
      <c r="F108" s="1509"/>
      <c r="G108" s="1509"/>
      <c r="H108" s="1509"/>
      <c r="I108" s="1509"/>
      <c r="J108" s="1509"/>
      <c r="K108" s="1509"/>
      <c r="L108" s="1509"/>
      <c r="M108" s="1509"/>
      <c r="N108" s="1509"/>
      <c r="O108" s="1509"/>
      <c r="P108" s="1509"/>
      <c r="Q108" s="1509"/>
      <c r="R108" s="1509"/>
    </row>
    <row r="109" spans="1:18" ht="15" x14ac:dyDescent="0.25">
      <c r="A109" s="1581" t="s">
        <v>1892</v>
      </c>
      <c r="B109" s="1581">
        <v>2024</v>
      </c>
      <c r="C109" s="1571"/>
      <c r="D109" s="1509"/>
      <c r="E109" s="1509"/>
      <c r="F109" s="1509"/>
      <c r="G109" s="1509"/>
      <c r="H109" s="1509"/>
      <c r="I109" s="1509"/>
      <c r="J109" s="1509"/>
      <c r="K109" s="1509"/>
      <c r="L109" s="1509"/>
      <c r="M109" s="1509"/>
      <c r="N109" s="1509"/>
      <c r="O109" s="1509"/>
      <c r="P109" s="1509"/>
      <c r="Q109" s="1509"/>
      <c r="R109" s="1509"/>
    </row>
    <row r="110" spans="1:18" ht="36" x14ac:dyDescent="0.55000000000000004">
      <c r="A110" s="1582" t="s">
        <v>1893</v>
      </c>
      <c r="B110" s="1509"/>
      <c r="C110" s="1509"/>
      <c r="D110" s="1509"/>
      <c r="E110" s="1509"/>
      <c r="F110" s="1509"/>
      <c r="G110" s="1509"/>
      <c r="H110" s="1509"/>
      <c r="I110" s="1509"/>
      <c r="J110" s="1509"/>
      <c r="K110" s="1509"/>
      <c r="L110" s="1509"/>
      <c r="M110" s="1509"/>
      <c r="N110" s="1509"/>
      <c r="O110" s="1509"/>
      <c r="P110" s="1509"/>
      <c r="Q110" s="1509"/>
      <c r="R110" s="1509"/>
    </row>
    <row r="111" spans="1:18" ht="36" x14ac:dyDescent="0.55000000000000004">
      <c r="A111" s="1582"/>
      <c r="B111" s="1509"/>
      <c r="C111" s="1509"/>
      <c r="D111" s="1509"/>
      <c r="E111" s="1509"/>
      <c r="F111" s="1509"/>
      <c r="G111" s="1509"/>
      <c r="H111" s="1509"/>
      <c r="I111" s="1509"/>
      <c r="J111" s="1509"/>
      <c r="K111" s="1509"/>
      <c r="L111" s="1509"/>
      <c r="M111" s="1509"/>
      <c r="N111" s="1509"/>
      <c r="O111" s="1509"/>
      <c r="P111" s="1509"/>
      <c r="Q111" s="1509"/>
      <c r="R111" s="1509"/>
    </row>
    <row r="112" spans="1:18" ht="19.5" thickBot="1" x14ac:dyDescent="0.35">
      <c r="A112" s="1583" t="s">
        <v>366</v>
      </c>
      <c r="B112" s="1510"/>
      <c r="C112" s="1510"/>
      <c r="D112" s="1509"/>
      <c r="E112" s="1509"/>
      <c r="F112" s="1509"/>
      <c r="G112" s="1509"/>
      <c r="H112" s="1509"/>
      <c r="I112" s="1509"/>
      <c r="J112" s="1509"/>
      <c r="K112" s="1509"/>
      <c r="L112" s="1509"/>
      <c r="M112" s="1509"/>
      <c r="N112" s="1509"/>
      <c r="O112" s="1509"/>
      <c r="P112" s="1509"/>
      <c r="Q112" s="1509"/>
      <c r="R112" s="1509"/>
    </row>
    <row r="113" spans="1:21" ht="18.75" x14ac:dyDescent="0.3">
      <c r="A113" s="1584"/>
      <c r="B113" s="1585" t="s">
        <v>367</v>
      </c>
      <c r="C113" s="1585" t="s">
        <v>368</v>
      </c>
      <c r="D113" s="1585" t="s">
        <v>1855</v>
      </c>
      <c r="E113" s="1585" t="s">
        <v>370</v>
      </c>
      <c r="F113" s="1585" t="s">
        <v>1856</v>
      </c>
      <c r="G113" s="1585" t="s">
        <v>374</v>
      </c>
      <c r="H113" s="1586" t="s">
        <v>77</v>
      </c>
      <c r="I113" s="1586" t="s">
        <v>78</v>
      </c>
      <c r="J113" s="1586" t="s">
        <v>375</v>
      </c>
      <c r="K113" s="1586" t="s">
        <v>376</v>
      </c>
      <c r="L113" s="1586" t="s">
        <v>377</v>
      </c>
      <c r="M113" s="1585" t="s">
        <v>378</v>
      </c>
      <c r="N113" s="1585" t="s">
        <v>379</v>
      </c>
      <c r="O113" s="1585" t="s">
        <v>380</v>
      </c>
      <c r="P113" s="1585" t="s">
        <v>381</v>
      </c>
      <c r="Q113" s="1587" t="s">
        <v>138</v>
      </c>
      <c r="R113" s="1509"/>
    </row>
    <row r="114" spans="1:21" ht="15" x14ac:dyDescent="0.25">
      <c r="A114" s="1488" t="s">
        <v>1894</v>
      </c>
      <c r="B114" s="1489"/>
      <c r="C114" s="1489">
        <v>1</v>
      </c>
      <c r="D114" s="1479">
        <v>26100000</v>
      </c>
      <c r="E114" s="1479">
        <v>13100000</v>
      </c>
      <c r="F114" s="1479">
        <f>D114-E114</f>
        <v>13000000</v>
      </c>
      <c r="G114" s="1484" t="s">
        <v>388</v>
      </c>
      <c r="H114" s="1490" t="s">
        <v>385</v>
      </c>
      <c r="I114" s="1490" t="s">
        <v>385</v>
      </c>
      <c r="J114" s="1490" t="s">
        <v>385</v>
      </c>
      <c r="K114" s="1491" t="s">
        <v>385</v>
      </c>
      <c r="L114" s="1491" t="s">
        <v>385</v>
      </c>
      <c r="M114" s="1484" t="s">
        <v>2011</v>
      </c>
      <c r="N114" s="1484" t="s">
        <v>390</v>
      </c>
      <c r="O114" s="1484" t="s">
        <v>390</v>
      </c>
      <c r="P114" s="1484" t="s">
        <v>390</v>
      </c>
      <c r="Q114" s="1493" t="s">
        <v>390</v>
      </c>
      <c r="R114" s="1509"/>
    </row>
    <row r="115" spans="1:21" ht="15" x14ac:dyDescent="0.25">
      <c r="A115" s="1477" t="s">
        <v>2012</v>
      </c>
      <c r="B115" s="1478"/>
      <c r="C115" s="1478"/>
      <c r="D115" s="1479">
        <v>17300000</v>
      </c>
      <c r="E115" s="1479">
        <v>13000000</v>
      </c>
      <c r="F115" s="1479">
        <f>D115-E115</f>
        <v>4300000</v>
      </c>
      <c r="G115" s="1484" t="s">
        <v>388</v>
      </c>
      <c r="H115" s="1490" t="s">
        <v>385</v>
      </c>
      <c r="I115" s="1490" t="s">
        <v>385</v>
      </c>
      <c r="J115" s="1490" t="s">
        <v>385</v>
      </c>
      <c r="K115" s="1491" t="s">
        <v>385</v>
      </c>
      <c r="L115" s="1491" t="s">
        <v>385</v>
      </c>
      <c r="M115" s="1484" t="s">
        <v>2011</v>
      </c>
      <c r="N115" s="1484" t="s">
        <v>390</v>
      </c>
      <c r="O115" s="1484" t="s">
        <v>390</v>
      </c>
      <c r="P115" s="1484" t="s">
        <v>390</v>
      </c>
      <c r="Q115" s="1493" t="s">
        <v>390</v>
      </c>
      <c r="R115" s="1509"/>
    </row>
    <row r="116" spans="1:21" ht="15" x14ac:dyDescent="0.25">
      <c r="A116" s="1488" t="s">
        <v>1895</v>
      </c>
      <c r="B116" s="1489">
        <v>180</v>
      </c>
      <c r="C116" s="1489">
        <v>12</v>
      </c>
      <c r="D116" s="1479">
        <f>5300*B116</f>
        <v>954000</v>
      </c>
      <c r="E116" s="1479">
        <f>0*D116</f>
        <v>0</v>
      </c>
      <c r="F116" s="1479">
        <f>D116-E116</f>
        <v>954000</v>
      </c>
      <c r="G116" s="1484" t="s">
        <v>388</v>
      </c>
      <c r="H116" s="1490" t="s">
        <v>385</v>
      </c>
      <c r="I116" s="1490" t="s">
        <v>385</v>
      </c>
      <c r="J116" s="1490" t="s">
        <v>385</v>
      </c>
      <c r="K116" s="1491" t="s">
        <v>399</v>
      </c>
      <c r="L116" s="1491" t="s">
        <v>399</v>
      </c>
      <c r="M116" s="1484" t="s">
        <v>411</v>
      </c>
      <c r="N116" s="1484" t="s">
        <v>390</v>
      </c>
      <c r="O116" s="1484" t="s">
        <v>390</v>
      </c>
      <c r="P116" s="1484" t="s">
        <v>390</v>
      </c>
      <c r="Q116" s="1493" t="s">
        <v>390</v>
      </c>
      <c r="R116" s="1509"/>
    </row>
    <row r="117" spans="1:21" ht="15" x14ac:dyDescent="0.25">
      <c r="A117" s="1483" t="s">
        <v>1896</v>
      </c>
      <c r="B117" s="1478">
        <v>100</v>
      </c>
      <c r="C117" s="1489">
        <v>17</v>
      </c>
      <c r="D117" s="1479">
        <f>5300*B117</f>
        <v>530000</v>
      </c>
      <c r="E117" s="1479">
        <v>0</v>
      </c>
      <c r="F117" s="1479">
        <f>D117-E117</f>
        <v>530000</v>
      </c>
      <c r="G117" s="1484" t="s">
        <v>388</v>
      </c>
      <c r="H117" s="1481" t="s">
        <v>385</v>
      </c>
      <c r="I117" s="1481" t="s">
        <v>385</v>
      </c>
      <c r="J117" s="1481" t="s">
        <v>385</v>
      </c>
      <c r="K117" s="1485" t="s">
        <v>399</v>
      </c>
      <c r="L117" s="1481" t="s">
        <v>385</v>
      </c>
      <c r="M117" s="1480" t="s">
        <v>411</v>
      </c>
      <c r="N117" s="1480" t="s">
        <v>390</v>
      </c>
      <c r="O117" s="1480" t="s">
        <v>390</v>
      </c>
      <c r="P117" s="1480" t="s">
        <v>390</v>
      </c>
      <c r="Q117" s="1482" t="s">
        <v>390</v>
      </c>
      <c r="R117" s="1509"/>
      <c r="S117" s="1401"/>
      <c r="U117" s="1402"/>
    </row>
    <row r="118" spans="1:21" ht="15.75" thickBot="1" x14ac:dyDescent="0.3">
      <c r="A118" s="1500" t="s">
        <v>1897</v>
      </c>
      <c r="B118" s="1501">
        <v>70</v>
      </c>
      <c r="C118" s="1501">
        <v>17</v>
      </c>
      <c r="D118" s="1503">
        <f>5300*B118</f>
        <v>371000</v>
      </c>
      <c r="E118" s="1503">
        <f>0*D118</f>
        <v>0</v>
      </c>
      <c r="F118" s="1503">
        <f>D118-E118</f>
        <v>371000</v>
      </c>
      <c r="G118" s="1504" t="s">
        <v>388</v>
      </c>
      <c r="H118" s="1505" t="s">
        <v>385</v>
      </c>
      <c r="I118" s="1505" t="s">
        <v>385</v>
      </c>
      <c r="J118" s="1505" t="s">
        <v>385</v>
      </c>
      <c r="K118" s="1505" t="s">
        <v>385</v>
      </c>
      <c r="L118" s="1505" t="s">
        <v>385</v>
      </c>
      <c r="M118" s="1504" t="s">
        <v>411</v>
      </c>
      <c r="N118" s="1504" t="s">
        <v>390</v>
      </c>
      <c r="O118" s="1504" t="s">
        <v>390</v>
      </c>
      <c r="P118" s="1504" t="s">
        <v>390</v>
      </c>
      <c r="Q118" s="1508" t="s">
        <v>390</v>
      </c>
      <c r="R118" s="1509"/>
    </row>
    <row r="119" spans="1:21" ht="15" x14ac:dyDescent="0.25">
      <c r="A119" s="1523"/>
      <c r="B119" s="1570"/>
      <c r="C119" s="1570"/>
      <c r="D119" s="1509"/>
      <c r="E119" s="1509"/>
      <c r="F119" s="1509"/>
      <c r="G119" s="1509"/>
      <c r="H119" s="1509"/>
      <c r="I119" s="1509"/>
      <c r="J119" s="1509"/>
      <c r="K119" s="1509"/>
      <c r="L119" s="1509"/>
      <c r="M119" s="1509"/>
      <c r="N119" s="1509"/>
      <c r="O119" s="1509"/>
      <c r="P119" s="1509"/>
      <c r="Q119" s="1509"/>
      <c r="R119" s="1509"/>
    </row>
    <row r="120" spans="1:21" ht="15" x14ac:dyDescent="0.25">
      <c r="A120" s="1523" t="s">
        <v>2</v>
      </c>
      <c r="B120" s="1588">
        <f>SUM(B116:B118)</f>
        <v>350</v>
      </c>
      <c r="C120" s="1570"/>
      <c r="D120" s="1570">
        <f>SUM(D114:D118)</f>
        <v>45255000</v>
      </c>
      <c r="E120" s="1512">
        <f>SUM(E114:E118)</f>
        <v>26100000</v>
      </c>
      <c r="F120" s="1570">
        <f>SUM(F114:F118)</f>
        <v>19155000</v>
      </c>
      <c r="G120" s="1509"/>
      <c r="H120" s="1509"/>
      <c r="I120" s="1509"/>
      <c r="J120" s="1509"/>
      <c r="K120" s="1509"/>
      <c r="L120" s="1509"/>
      <c r="M120" s="1509"/>
      <c r="N120" s="1509"/>
      <c r="O120" s="1509"/>
      <c r="P120" s="1509"/>
      <c r="Q120" s="1509"/>
      <c r="R120" s="1509"/>
    </row>
    <row r="121" spans="1:21" ht="15" x14ac:dyDescent="0.25">
      <c r="A121" s="1523"/>
      <c r="B121" s="1570"/>
      <c r="C121" s="1570"/>
      <c r="D121" s="1509"/>
      <c r="E121" s="1509"/>
      <c r="F121" s="1570"/>
      <c r="G121" s="1509"/>
      <c r="H121" s="1509"/>
      <c r="I121" s="1509"/>
      <c r="J121" s="1509"/>
      <c r="K121" s="1509"/>
      <c r="L121" s="1509"/>
      <c r="M121" s="1509"/>
      <c r="N121" s="1509"/>
      <c r="O121" s="1509"/>
      <c r="P121" s="1509"/>
      <c r="Q121" s="1509"/>
      <c r="R121" s="1509"/>
    </row>
    <row r="122" spans="1:21" ht="19.5" thickBot="1" x14ac:dyDescent="0.35">
      <c r="A122" s="1583" t="s">
        <v>1858</v>
      </c>
      <c r="B122" s="1570"/>
      <c r="C122" s="1570"/>
      <c r="D122" s="1509"/>
      <c r="E122" s="1509"/>
      <c r="F122" s="1509"/>
      <c r="G122" s="1509"/>
      <c r="H122" s="1509"/>
      <c r="I122" s="1509"/>
      <c r="J122" s="1509"/>
      <c r="K122" s="1509"/>
      <c r="L122" s="1509"/>
      <c r="M122" s="1509"/>
      <c r="N122" s="1509"/>
      <c r="O122" s="1509"/>
      <c r="P122" s="1509"/>
      <c r="Q122" s="1509"/>
      <c r="R122" s="1509"/>
    </row>
    <row r="123" spans="1:21" ht="19.5" thickBot="1" x14ac:dyDescent="0.35">
      <c r="A123" s="1583"/>
      <c r="B123" s="1529" t="s">
        <v>367</v>
      </c>
      <c r="C123" s="1509"/>
      <c r="D123" s="1513" t="s">
        <v>1859</v>
      </c>
      <c r="E123" s="1515" t="s">
        <v>416</v>
      </c>
      <c r="F123" s="1515" t="s">
        <v>1856</v>
      </c>
      <c r="G123" s="1514" t="s">
        <v>374</v>
      </c>
      <c r="H123" s="1509"/>
      <c r="I123" s="1509"/>
      <c r="J123" s="1509"/>
      <c r="K123" s="1509"/>
      <c r="L123" s="1509"/>
      <c r="M123" s="1509"/>
      <c r="N123" s="1509"/>
      <c r="O123" s="1509"/>
      <c r="P123" s="1509"/>
      <c r="Q123" s="1509"/>
      <c r="R123" s="1509"/>
    </row>
    <row r="124" spans="1:21" ht="15.75" thickBot="1" x14ac:dyDescent="0.3">
      <c r="A124" s="1628" t="s">
        <v>2013</v>
      </c>
      <c r="B124" s="1629">
        <v>3000</v>
      </c>
      <c r="C124" s="1526"/>
      <c r="D124" s="1589">
        <v>500000</v>
      </c>
      <c r="E124" s="1590">
        <v>0</v>
      </c>
      <c r="F124" s="1590">
        <f>D124-E124</f>
        <v>500000</v>
      </c>
      <c r="G124" s="1631" t="s">
        <v>388</v>
      </c>
      <c r="H124" s="1630" t="s">
        <v>419</v>
      </c>
      <c r="I124" s="1527" t="s">
        <v>386</v>
      </c>
      <c r="J124" s="1527" t="s">
        <v>386</v>
      </c>
      <c r="K124" s="1527" t="s">
        <v>390</v>
      </c>
      <c r="L124" s="1527" t="s">
        <v>390</v>
      </c>
      <c r="M124" s="1527">
        <v>2024</v>
      </c>
      <c r="N124" s="1509"/>
      <c r="O124" s="1509"/>
      <c r="P124" s="1509"/>
      <c r="Q124" s="1509"/>
      <c r="R124" s="1509"/>
    </row>
    <row r="125" spans="1:21" ht="15" x14ac:dyDescent="0.25">
      <c r="A125" s="1523" t="s">
        <v>2</v>
      </c>
      <c r="B125" s="1570"/>
      <c r="C125" s="1570"/>
      <c r="D125" s="1570">
        <f>D124</f>
        <v>500000</v>
      </c>
      <c r="E125" s="1570">
        <f>E12</f>
        <v>0</v>
      </c>
      <c r="F125" s="1570">
        <v>0</v>
      </c>
      <c r="G125" s="1509"/>
      <c r="H125" s="1509"/>
      <c r="I125" s="1509"/>
      <c r="J125" s="1509"/>
      <c r="K125" s="1509"/>
      <c r="L125" s="1509"/>
      <c r="M125" s="1509"/>
      <c r="N125" s="1509"/>
      <c r="O125" s="1509"/>
      <c r="P125" s="1509"/>
      <c r="Q125" s="1509"/>
      <c r="R125" s="1509"/>
    </row>
    <row r="126" spans="1:21" ht="21" x14ac:dyDescent="0.35">
      <c r="A126" s="1572"/>
      <c r="B126" s="1509"/>
      <c r="C126" s="1591"/>
      <c r="D126" s="1509"/>
      <c r="E126" s="1509"/>
      <c r="F126" s="1509"/>
      <c r="G126" s="1509"/>
      <c r="H126" s="1509"/>
      <c r="I126" s="1509"/>
      <c r="J126" s="1509"/>
      <c r="K126" s="1509"/>
      <c r="L126" s="1509"/>
      <c r="M126" s="1509"/>
      <c r="N126" s="1509"/>
      <c r="O126" s="1509"/>
      <c r="P126" s="1509"/>
      <c r="Q126" s="1509"/>
      <c r="R126" s="1509"/>
    </row>
    <row r="127" spans="1:21" ht="19.5" thickBot="1" x14ac:dyDescent="0.35">
      <c r="A127" s="1583" t="s">
        <v>435</v>
      </c>
      <c r="B127" s="1509"/>
      <c r="C127" s="1509"/>
      <c r="D127" s="1509"/>
      <c r="E127" s="1512"/>
      <c r="F127" s="1509"/>
      <c r="G127" s="1509"/>
      <c r="H127" s="1509"/>
      <c r="I127" s="1509"/>
      <c r="J127" s="1509"/>
      <c r="K127" s="1509"/>
      <c r="L127" s="1509"/>
      <c r="M127" s="1509"/>
      <c r="N127" s="1509"/>
      <c r="O127" s="1509"/>
      <c r="P127" s="1509"/>
      <c r="Q127" s="1509"/>
      <c r="R127" s="1509"/>
    </row>
    <row r="128" spans="1:21" ht="15.75" thickBot="1" x14ac:dyDescent="0.3">
      <c r="A128" s="1529"/>
      <c r="B128" s="1509"/>
      <c r="C128" s="1509"/>
      <c r="D128" s="1513" t="s">
        <v>369</v>
      </c>
      <c r="E128" s="1530" t="s">
        <v>1861</v>
      </c>
      <c r="F128" s="1515" t="s">
        <v>417</v>
      </c>
      <c r="G128" s="1514" t="s">
        <v>374</v>
      </c>
      <c r="H128" s="1509"/>
      <c r="I128" s="1509"/>
      <c r="J128" s="1509"/>
      <c r="K128" s="1509"/>
      <c r="L128" s="1509"/>
      <c r="M128" s="1509"/>
      <c r="N128" s="1509"/>
      <c r="O128" s="1509"/>
      <c r="P128" s="1509"/>
      <c r="Q128" s="1509"/>
      <c r="R128" s="1509"/>
    </row>
    <row r="129" spans="1:18" ht="15" x14ac:dyDescent="0.25">
      <c r="A129" s="1545" t="s">
        <v>2014</v>
      </c>
      <c r="B129" s="1509"/>
      <c r="C129" s="1509"/>
      <c r="D129" s="1546">
        <v>17000000</v>
      </c>
      <c r="E129" s="1547">
        <v>4000000</v>
      </c>
      <c r="F129" s="1548">
        <f>D129-E129</f>
        <v>13000000</v>
      </c>
      <c r="G129" s="1549" t="s">
        <v>388</v>
      </c>
      <c r="H129" s="1509"/>
      <c r="I129" s="1509"/>
      <c r="J129" s="1509"/>
      <c r="K129" s="1509"/>
      <c r="L129" s="1509"/>
      <c r="M129" s="1509"/>
      <c r="N129" s="1509"/>
      <c r="O129" s="1509"/>
      <c r="P129" s="1509"/>
      <c r="Q129" s="1509"/>
      <c r="R129" s="1509"/>
    </row>
    <row r="130" spans="1:18" ht="15" x14ac:dyDescent="0.25">
      <c r="A130" s="1545" t="s">
        <v>436</v>
      </c>
      <c r="B130" s="1509"/>
      <c r="C130" s="1509"/>
      <c r="D130" s="1546">
        <v>28000000</v>
      </c>
      <c r="E130" s="1547">
        <v>19000000</v>
      </c>
      <c r="F130" s="1548">
        <f>D130-E130</f>
        <v>9000000</v>
      </c>
      <c r="G130" s="1549" t="s">
        <v>384</v>
      </c>
      <c r="H130" s="1509"/>
      <c r="I130" s="1509"/>
      <c r="J130" s="1509"/>
      <c r="K130" s="1509"/>
      <c r="L130" s="1509"/>
      <c r="M130" s="1509"/>
      <c r="N130" s="1509"/>
      <c r="O130" s="1509"/>
      <c r="P130" s="1509"/>
      <c r="Q130" s="1509"/>
      <c r="R130" s="1509"/>
    </row>
    <row r="131" spans="1:18" ht="15" x14ac:dyDescent="0.25">
      <c r="A131" s="1545" t="s">
        <v>2015</v>
      </c>
      <c r="B131" s="1509"/>
      <c r="C131" s="1509"/>
      <c r="D131" s="1551">
        <v>55000000</v>
      </c>
      <c r="E131" s="1552">
        <f>F131</f>
        <v>27500000</v>
      </c>
      <c r="F131" s="1553">
        <f>D131/2</f>
        <v>27500000</v>
      </c>
      <c r="G131" s="1592" t="s">
        <v>388</v>
      </c>
      <c r="H131" s="1593" t="s">
        <v>2016</v>
      </c>
      <c r="I131" s="1593" t="s">
        <v>390</v>
      </c>
      <c r="J131" s="1593" t="s">
        <v>390</v>
      </c>
      <c r="K131" s="1593" t="s">
        <v>390</v>
      </c>
      <c r="L131" s="1593" t="s">
        <v>390</v>
      </c>
      <c r="M131" s="1593">
        <v>2025</v>
      </c>
      <c r="N131" s="1509"/>
      <c r="O131" s="1509"/>
      <c r="P131" s="1509"/>
      <c r="Q131" s="1509"/>
      <c r="R131" s="1509"/>
    </row>
    <row r="132" spans="1:18" ht="15" x14ac:dyDescent="0.25">
      <c r="A132" s="1509" t="s">
        <v>2</v>
      </c>
      <c r="B132" s="1509"/>
      <c r="C132" s="1509"/>
      <c r="D132" s="1570">
        <f>SUM(D129:D131)</f>
        <v>100000000</v>
      </c>
      <c r="E132" s="1570">
        <f>SUM(E129:E131)</f>
        <v>50500000</v>
      </c>
      <c r="F132" s="1570">
        <f>SUM(F129:F131)</f>
        <v>49500000</v>
      </c>
      <c r="G132" s="1509"/>
      <c r="H132" s="1509"/>
      <c r="I132" s="1509"/>
      <c r="J132" s="1509"/>
      <c r="K132" s="1509"/>
      <c r="L132" s="1509"/>
      <c r="M132" s="1509"/>
      <c r="N132" s="1509"/>
      <c r="O132" s="1509"/>
      <c r="P132" s="1509"/>
      <c r="Q132" s="1509"/>
      <c r="R132" s="1509"/>
    </row>
    <row r="133" spans="1:18" ht="15" x14ac:dyDescent="0.25">
      <c r="A133" s="1509"/>
      <c r="B133" s="1509"/>
      <c r="C133" s="1509"/>
      <c r="D133" s="1509"/>
      <c r="E133" s="1509"/>
      <c r="F133" s="1509"/>
      <c r="G133" s="1509"/>
      <c r="H133" s="1509"/>
      <c r="I133" s="1509"/>
      <c r="J133" s="1509"/>
      <c r="K133" s="1509"/>
      <c r="L133" s="1509"/>
      <c r="M133" s="1509"/>
      <c r="N133" s="1509"/>
      <c r="O133" s="1509"/>
      <c r="P133" s="1509"/>
      <c r="Q133" s="1509"/>
      <c r="R133" s="1509"/>
    </row>
    <row r="134" spans="1:18" ht="19.5" thickBot="1" x14ac:dyDescent="0.35">
      <c r="A134" s="1583" t="s">
        <v>440</v>
      </c>
      <c r="B134" s="1509"/>
      <c r="C134" s="1509"/>
      <c r="D134" s="1509"/>
      <c r="E134" s="1512"/>
      <c r="F134" s="1509"/>
      <c r="G134" s="1509"/>
      <c r="H134" s="1509"/>
      <c r="I134" s="1509"/>
      <c r="J134" s="1509"/>
      <c r="K134" s="1509"/>
      <c r="L134" s="1509"/>
      <c r="M134" s="1509"/>
      <c r="N134" s="1509"/>
      <c r="O134" s="1509"/>
      <c r="P134" s="1509"/>
      <c r="Q134" s="1509"/>
      <c r="R134" s="1509"/>
    </row>
    <row r="135" spans="1:18" ht="15.75" thickBot="1" x14ac:dyDescent="0.3">
      <c r="A135" s="1529"/>
      <c r="B135" s="1509"/>
      <c r="C135" s="1509"/>
      <c r="D135" s="1594" t="s">
        <v>369</v>
      </c>
      <c r="E135" s="1595" t="s">
        <v>426</v>
      </c>
      <c r="F135" s="1596" t="s">
        <v>417</v>
      </c>
      <c r="G135" s="1597" t="s">
        <v>374</v>
      </c>
      <c r="H135" s="1509"/>
      <c r="I135" s="1509"/>
      <c r="J135" s="1509"/>
      <c r="K135" s="1509"/>
      <c r="L135" s="1509"/>
      <c r="M135" s="1509"/>
      <c r="N135" s="1509"/>
      <c r="O135" s="1509"/>
      <c r="P135" s="1509"/>
      <c r="Q135" s="1509"/>
      <c r="R135" s="1509"/>
    </row>
    <row r="136" spans="1:18" ht="15" x14ac:dyDescent="0.25">
      <c r="A136" s="1560" t="s">
        <v>443</v>
      </c>
      <c r="B136" s="1509"/>
      <c r="C136" s="1509"/>
      <c r="D136" s="1599">
        <v>8500000</v>
      </c>
      <c r="E136" s="1567">
        <v>3500000</v>
      </c>
      <c r="F136" s="1567">
        <f>D136-E136</f>
        <v>5000000</v>
      </c>
      <c r="G136" s="1601" t="s">
        <v>388</v>
      </c>
      <c r="H136" s="1509"/>
      <c r="I136" s="1509"/>
      <c r="J136" s="1509"/>
      <c r="K136" s="1509"/>
      <c r="L136" s="1509"/>
      <c r="M136" s="1509"/>
      <c r="N136" s="1509"/>
      <c r="O136" s="1509"/>
      <c r="P136" s="1509"/>
      <c r="Q136" s="1509"/>
      <c r="R136" s="1509"/>
    </row>
    <row r="137" spans="1:18" ht="15" x14ac:dyDescent="0.25">
      <c r="A137" s="1560" t="s">
        <v>2017</v>
      </c>
      <c r="B137" s="1509"/>
      <c r="C137" s="1509"/>
      <c r="D137" s="1599">
        <v>363000000</v>
      </c>
      <c r="E137" s="1567">
        <v>150000000</v>
      </c>
      <c r="F137" s="1567">
        <v>213000000</v>
      </c>
      <c r="G137" s="1601" t="s">
        <v>388</v>
      </c>
      <c r="H137" s="1598" t="s">
        <v>2018</v>
      </c>
      <c r="I137" s="1566" t="s">
        <v>386</v>
      </c>
      <c r="J137" s="1566" t="s">
        <v>386</v>
      </c>
      <c r="K137" s="1566" t="s">
        <v>386</v>
      </c>
      <c r="L137" s="1566" t="s">
        <v>1873</v>
      </c>
      <c r="M137" s="1566">
        <v>2024</v>
      </c>
      <c r="N137" s="1509"/>
      <c r="O137" s="1509"/>
      <c r="P137" s="1509"/>
      <c r="Q137" s="1509"/>
      <c r="R137" s="1509"/>
    </row>
    <row r="138" spans="1:18" ht="15" x14ac:dyDescent="0.25">
      <c r="A138" s="1560" t="s">
        <v>535</v>
      </c>
      <c r="B138" s="1509"/>
      <c r="C138" s="1509"/>
      <c r="D138" s="1561">
        <v>1130000000</v>
      </c>
      <c r="E138" s="1562">
        <f>0.78*D138</f>
        <v>881400000</v>
      </c>
      <c r="F138" s="1563">
        <f>(D138-E138)*0.64</f>
        <v>159104000</v>
      </c>
      <c r="G138" s="1564" t="s">
        <v>536</v>
      </c>
      <c r="H138" s="1598" t="s">
        <v>2019</v>
      </c>
      <c r="I138" s="1566" t="s">
        <v>386</v>
      </c>
      <c r="J138" s="1566" t="s">
        <v>386</v>
      </c>
      <c r="K138" s="1566" t="s">
        <v>1873</v>
      </c>
      <c r="L138" s="1566" t="s">
        <v>1873</v>
      </c>
      <c r="M138" s="1566">
        <v>2025</v>
      </c>
      <c r="N138" s="1509"/>
      <c r="O138" s="1509"/>
      <c r="P138" s="1509"/>
      <c r="Q138" s="1509"/>
      <c r="R138" s="1509"/>
    </row>
    <row r="139" spans="1:18" ht="15" x14ac:dyDescent="0.25">
      <c r="A139" s="1560" t="s">
        <v>1972</v>
      </c>
      <c r="B139" s="1509"/>
      <c r="C139" s="1509"/>
      <c r="D139" s="1599">
        <v>65000000</v>
      </c>
      <c r="E139" s="1600">
        <v>0</v>
      </c>
      <c r="F139" s="1567">
        <v>65000000</v>
      </c>
      <c r="G139" s="1601" t="s">
        <v>388</v>
      </c>
      <c r="H139" s="1598" t="s">
        <v>1669</v>
      </c>
      <c r="I139" s="1566" t="s">
        <v>390</v>
      </c>
      <c r="J139" s="1566" t="s">
        <v>390</v>
      </c>
      <c r="K139" s="1566" t="s">
        <v>1873</v>
      </c>
      <c r="L139" s="1566" t="s">
        <v>390</v>
      </c>
      <c r="M139" s="1601">
        <v>2026</v>
      </c>
      <c r="N139" s="1509"/>
      <c r="O139" s="1509"/>
      <c r="P139" s="1509"/>
      <c r="Q139" s="1509"/>
      <c r="R139" s="1509"/>
    </row>
    <row r="140" spans="1:18" ht="15" x14ac:dyDescent="0.25">
      <c r="A140" s="1560" t="s">
        <v>441</v>
      </c>
      <c r="B140" s="1509"/>
      <c r="C140" s="1509"/>
      <c r="D140" s="1561">
        <v>15000000</v>
      </c>
      <c r="E140" s="1562">
        <v>0</v>
      </c>
      <c r="F140" s="1563">
        <f>D140-E140</f>
        <v>15000000</v>
      </c>
      <c r="G140" s="1564" t="s">
        <v>388</v>
      </c>
      <c r="H140" s="1609" t="s">
        <v>2020</v>
      </c>
      <c r="I140" s="1565" t="s">
        <v>390</v>
      </c>
      <c r="J140" s="1565" t="s">
        <v>390</v>
      </c>
      <c r="K140" s="1565" t="s">
        <v>1873</v>
      </c>
      <c r="L140" s="1565" t="s">
        <v>390</v>
      </c>
      <c r="M140" s="1564">
        <v>2025</v>
      </c>
      <c r="N140" s="1509"/>
      <c r="O140" s="1509"/>
      <c r="P140" s="1509"/>
      <c r="Q140" s="1509"/>
      <c r="R140" s="1509"/>
    </row>
    <row r="141" spans="1:18" ht="15.75" thickBot="1" x14ac:dyDescent="0.3">
      <c r="A141" s="1602" t="s">
        <v>445</v>
      </c>
      <c r="B141" s="1509"/>
      <c r="C141" s="1509"/>
      <c r="D141" s="1603">
        <v>3000000</v>
      </c>
      <c r="E141" s="1604">
        <v>0</v>
      </c>
      <c r="F141" s="1605">
        <f>D141-E141</f>
        <v>3000000</v>
      </c>
      <c r="G141" s="1606" t="s">
        <v>388</v>
      </c>
      <c r="H141" s="1610" t="s">
        <v>431</v>
      </c>
      <c r="I141" s="1607" t="s">
        <v>386</v>
      </c>
      <c r="J141" s="1607" t="s">
        <v>386</v>
      </c>
      <c r="K141" s="1607" t="s">
        <v>386</v>
      </c>
      <c r="L141" s="1607" t="s">
        <v>386</v>
      </c>
      <c r="M141" s="1606">
        <v>2025</v>
      </c>
      <c r="N141" s="1509"/>
      <c r="O141" s="1509"/>
      <c r="P141" s="1509"/>
      <c r="Q141" s="1509"/>
      <c r="R141" s="1509"/>
    </row>
    <row r="142" spans="1:18" ht="15" x14ac:dyDescent="0.25">
      <c r="A142" s="1526"/>
      <c r="B142" s="1526"/>
      <c r="C142" s="1526"/>
      <c r="D142" s="1608"/>
      <c r="E142" s="1608"/>
      <c r="F142" s="1608"/>
      <c r="G142" s="1526"/>
      <c r="H142" s="1526"/>
      <c r="I142" s="1526"/>
      <c r="J142" s="1526"/>
      <c r="K142" s="1526"/>
      <c r="L142" s="1526"/>
      <c r="M142" s="1526"/>
      <c r="N142" s="1509"/>
      <c r="O142" s="1509"/>
      <c r="P142" s="1509"/>
      <c r="Q142" s="1509"/>
      <c r="R142" s="1509"/>
    </row>
    <row r="143" spans="1:18" ht="15" x14ac:dyDescent="0.25">
      <c r="A143" s="1523" t="s">
        <v>415</v>
      </c>
      <c r="B143" s="1523"/>
      <c r="C143" s="1523"/>
      <c r="D143" s="1570">
        <f>SUM(D136:D141)</f>
        <v>1584500000</v>
      </c>
      <c r="E143" s="1570">
        <f>SUM(E136:E141)</f>
        <v>1034900000</v>
      </c>
      <c r="F143" s="1570">
        <f>SUM(F136:F141)</f>
        <v>460104000</v>
      </c>
      <c r="G143" s="1512"/>
      <c r="H143" s="1509"/>
      <c r="I143" s="1509"/>
      <c r="J143" s="1509"/>
      <c r="K143" s="1509"/>
      <c r="L143" s="1509"/>
      <c r="M143" s="1509"/>
      <c r="N143" s="1509"/>
      <c r="O143" s="1509"/>
      <c r="P143" s="1509"/>
      <c r="Q143" s="1509"/>
      <c r="R143" s="1509"/>
    </row>
    <row r="144" spans="1:18" x14ac:dyDescent="0.2"/>
    <row r="145" spans="1:3" x14ac:dyDescent="0.2"/>
    <row r="146" spans="1:3" ht="15" x14ac:dyDescent="0.25">
      <c r="A146" s="1401" t="s">
        <v>415</v>
      </c>
    </row>
    <row r="147" spans="1:3" ht="15" x14ac:dyDescent="0.25">
      <c r="A147" s="1401"/>
    </row>
    <row r="148" spans="1:3" ht="15" x14ac:dyDescent="0.25">
      <c r="B148" s="1409"/>
    </row>
    <row r="149" spans="1:3" ht="15" x14ac:dyDescent="0.25">
      <c r="A149" s="1401" t="s">
        <v>448</v>
      </c>
      <c r="B149" s="1412">
        <f>D120+D125+D132+D143</f>
        <v>1730255000</v>
      </c>
    </row>
    <row r="150" spans="1:3" ht="15" x14ac:dyDescent="0.25">
      <c r="A150" s="1401" t="s">
        <v>449</v>
      </c>
      <c r="B150" s="1412">
        <f>E120+E125+E132+E143</f>
        <v>1111500000</v>
      </c>
    </row>
    <row r="151" spans="1:3" ht="15" x14ac:dyDescent="0.25">
      <c r="A151" s="1401" t="s">
        <v>450</v>
      </c>
      <c r="B151" s="1412">
        <f>F120+F125+F132+F143</f>
        <v>528759000</v>
      </c>
    </row>
    <row r="152" spans="1:3" ht="15" x14ac:dyDescent="0.25">
      <c r="A152" s="1410" t="s">
        <v>451</v>
      </c>
      <c r="B152" s="1413">
        <f>F120</f>
        <v>19155000</v>
      </c>
    </row>
    <row r="153" spans="1:3" ht="15" x14ac:dyDescent="0.25">
      <c r="A153" s="1410" t="s">
        <v>452</v>
      </c>
      <c r="C153" s="1411">
        <f>F125</f>
        <v>0</v>
      </c>
    </row>
    <row r="154" spans="1:3" ht="15" x14ac:dyDescent="0.25">
      <c r="A154" s="1410" t="s">
        <v>453</v>
      </c>
      <c r="C154" s="1411">
        <f>F132</f>
        <v>49500000</v>
      </c>
    </row>
    <row r="155" spans="1:3" ht="15" x14ac:dyDescent="0.25">
      <c r="A155" s="1410" t="s">
        <v>454</v>
      </c>
      <c r="C155" s="1411">
        <f>F143</f>
        <v>460104000</v>
      </c>
    </row>
    <row r="156" spans="1:3" ht="15" x14ac:dyDescent="0.25">
      <c r="A156" s="1410"/>
      <c r="C156" s="1411"/>
    </row>
    <row r="157" spans="1:3" x14ac:dyDescent="0.2"/>
    <row r="158" spans="1:3" ht="18.75" x14ac:dyDescent="0.3">
      <c r="A158" s="1414" t="s">
        <v>1898</v>
      </c>
      <c r="B158" s="1611">
        <v>120000000</v>
      </c>
      <c r="C158" s="1415" t="s">
        <v>1899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2"/>
  <sheetViews>
    <sheetView workbookViewId="0"/>
  </sheetViews>
  <sheetFormatPr defaultColWidth="8.7109375" defaultRowHeight="12" x14ac:dyDescent="0.2"/>
  <cols>
    <col min="1" max="1" width="50.85546875" style="1632" customWidth="1"/>
    <col min="2" max="2" width="12.85546875" style="1632" customWidth="1"/>
    <col min="3" max="3" width="13.7109375" style="1632" customWidth="1"/>
    <col min="4" max="4" width="10.28515625" style="1632" customWidth="1"/>
    <col min="5" max="5" width="10.5703125" style="1632" customWidth="1"/>
    <col min="6" max="6" width="9.5703125" style="2367" customWidth="1"/>
    <col min="7" max="7" width="6" style="1634" customWidth="1"/>
    <col min="8" max="8" width="14.28515625" style="1733" customWidth="1"/>
    <col min="9" max="9" width="11.28515625" style="1633" customWidth="1"/>
    <col min="10" max="21" width="8.7109375" style="1632"/>
    <col min="22" max="22" width="9.85546875" style="1633" bestFit="1" customWidth="1"/>
    <col min="23" max="16384" width="8.7109375" style="1632"/>
  </cols>
  <sheetData>
    <row r="1" spans="1:60" x14ac:dyDescent="0.2">
      <c r="I1" s="1636">
        <v>2023</v>
      </c>
      <c r="V1" s="1633">
        <v>2024</v>
      </c>
      <c r="AI1" s="1633">
        <v>2025</v>
      </c>
      <c r="AV1" s="1633">
        <v>2026</v>
      </c>
    </row>
    <row r="2" spans="1:60" x14ac:dyDescent="0.2">
      <c r="A2" s="1633" t="s">
        <v>2158</v>
      </c>
      <c r="B2" s="1636"/>
      <c r="G2" s="2368" t="s">
        <v>2030</v>
      </c>
      <c r="H2" s="2368"/>
      <c r="J2" s="1632" t="s">
        <v>609</v>
      </c>
      <c r="K2" s="1632" t="s">
        <v>610</v>
      </c>
      <c r="L2" s="1632" t="s">
        <v>611</v>
      </c>
      <c r="M2" s="1632" t="s">
        <v>612</v>
      </c>
      <c r="N2" s="1632" t="s">
        <v>613</v>
      </c>
      <c r="O2" s="1632" t="s">
        <v>188</v>
      </c>
      <c r="P2" s="1632" t="s">
        <v>189</v>
      </c>
      <c r="Q2" s="1632" t="s">
        <v>614</v>
      </c>
      <c r="R2" s="1632" t="s">
        <v>615</v>
      </c>
      <c r="S2" s="1632" t="s">
        <v>616</v>
      </c>
      <c r="T2" s="1632" t="s">
        <v>617</v>
      </c>
      <c r="U2" s="1632" t="s">
        <v>618</v>
      </c>
      <c r="W2" s="1632" t="s">
        <v>609</v>
      </c>
      <c r="X2" s="1632" t="s">
        <v>610</v>
      </c>
      <c r="Y2" s="1632" t="s">
        <v>611</v>
      </c>
      <c r="Z2" s="1632" t="s">
        <v>612</v>
      </c>
      <c r="AA2" s="1632" t="s">
        <v>613</v>
      </c>
      <c r="AB2" s="1632" t="s">
        <v>188</v>
      </c>
      <c r="AC2" s="1632" t="s">
        <v>189</v>
      </c>
      <c r="AD2" s="1632" t="s">
        <v>614</v>
      </c>
      <c r="AE2" s="1632" t="s">
        <v>615</v>
      </c>
      <c r="AF2" s="1632" t="s">
        <v>616</v>
      </c>
      <c r="AG2" s="1632" t="s">
        <v>617</v>
      </c>
      <c r="AH2" s="1632" t="s">
        <v>618</v>
      </c>
      <c r="AJ2" s="1632" t="s">
        <v>609</v>
      </c>
      <c r="AK2" s="1632" t="s">
        <v>610</v>
      </c>
      <c r="AL2" s="1632" t="s">
        <v>611</v>
      </c>
      <c r="AM2" s="1632" t="s">
        <v>612</v>
      </c>
      <c r="AN2" s="1632" t="s">
        <v>613</v>
      </c>
      <c r="AO2" s="1632" t="s">
        <v>188</v>
      </c>
      <c r="AP2" s="1632" t="s">
        <v>189</v>
      </c>
      <c r="AQ2" s="1632" t="s">
        <v>614</v>
      </c>
      <c r="AR2" s="1632" t="s">
        <v>615</v>
      </c>
      <c r="AS2" s="1632" t="s">
        <v>616</v>
      </c>
      <c r="AT2" s="1632" t="s">
        <v>617</v>
      </c>
      <c r="AU2" s="1632" t="s">
        <v>618</v>
      </c>
      <c r="AW2" s="1632" t="s">
        <v>609</v>
      </c>
      <c r="AX2" s="1632" t="s">
        <v>610</v>
      </c>
      <c r="AY2" s="1632" t="s">
        <v>611</v>
      </c>
      <c r="AZ2" s="1632" t="s">
        <v>612</v>
      </c>
      <c r="BA2" s="1632" t="s">
        <v>613</v>
      </c>
      <c r="BB2" s="1632" t="s">
        <v>188</v>
      </c>
      <c r="BC2" s="1632" t="s">
        <v>189</v>
      </c>
      <c r="BD2" s="1632" t="s">
        <v>614</v>
      </c>
      <c r="BE2" s="1632" t="s">
        <v>615</v>
      </c>
      <c r="BF2" s="1632" t="s">
        <v>616</v>
      </c>
      <c r="BG2" s="1632" t="s">
        <v>617</v>
      </c>
      <c r="BH2" s="1632" t="s">
        <v>618</v>
      </c>
    </row>
    <row r="3" spans="1:60" x14ac:dyDescent="0.2">
      <c r="C3" s="1636"/>
      <c r="D3" s="1636"/>
      <c r="E3" s="1636"/>
      <c r="F3" s="1637"/>
    </row>
    <row r="4" spans="1:60" x14ac:dyDescent="0.2">
      <c r="A4" s="1633" t="s">
        <v>2028</v>
      </c>
      <c r="B4" s="2369">
        <f>+B8+B17+B6+B16+B5</f>
        <v>362778511.56999999</v>
      </c>
      <c r="C4" s="1636">
        <f>+B4-B62</f>
        <v>-109796188.43000001</v>
      </c>
      <c r="D4" s="1636"/>
      <c r="E4" s="1636"/>
      <c r="F4" s="1637"/>
    </row>
    <row r="5" spans="1:60" x14ac:dyDescent="0.2">
      <c r="A5" s="1633" t="s">
        <v>4</v>
      </c>
      <c r="B5" s="1633">
        <f>+C21+C33++C44+C54</f>
        <v>243428511.56999999</v>
      </c>
      <c r="C5" s="1636"/>
      <c r="D5" s="1636"/>
      <c r="E5" s="1636"/>
      <c r="F5" s="1637"/>
    </row>
    <row r="6" spans="1:60" x14ac:dyDescent="0.2">
      <c r="A6" s="1633" t="s">
        <v>2157</v>
      </c>
      <c r="B6" s="1633">
        <f>35000000*3</f>
        <v>105000000</v>
      </c>
      <c r="C6" s="1636"/>
      <c r="D6" s="1636"/>
      <c r="E6" s="1636"/>
      <c r="F6" s="1637"/>
      <c r="H6" s="1733">
        <f>840-540</f>
        <v>300</v>
      </c>
    </row>
    <row r="7" spans="1:60" x14ac:dyDescent="0.2">
      <c r="C7" s="1636"/>
      <c r="D7" s="1636"/>
      <c r="E7" s="1636"/>
      <c r="F7" s="1637"/>
    </row>
    <row r="8" spans="1:60" x14ac:dyDescent="0.2">
      <c r="A8" s="2370" t="s">
        <v>458</v>
      </c>
      <c r="B8" s="1633">
        <f>SUM(B9:B14)</f>
        <v>14350000</v>
      </c>
      <c r="C8" s="1636"/>
      <c r="E8" s="1636"/>
      <c r="F8" s="1637"/>
    </row>
    <row r="9" spans="1:60" x14ac:dyDescent="0.2">
      <c r="A9" s="2367" t="s">
        <v>459</v>
      </c>
      <c r="C9" s="1632">
        <f>'zásobník projektů 2023-2027'!B80</f>
        <v>40000000</v>
      </c>
      <c r="D9" s="1636"/>
      <c r="E9" s="1636"/>
      <c r="F9" s="1637"/>
    </row>
    <row r="10" spans="1:60" x14ac:dyDescent="0.2">
      <c r="A10" s="2367" t="s">
        <v>1877</v>
      </c>
      <c r="C10" s="1632">
        <f>'zásobník projektů 2023-2027'!B81</f>
        <v>105000000</v>
      </c>
      <c r="D10" s="1636">
        <f>+C10/E10</f>
        <v>5526.3157894736842</v>
      </c>
      <c r="E10" s="1636">
        <f>+F10/2</f>
        <v>19000</v>
      </c>
      <c r="F10" s="1637">
        <v>38000</v>
      </c>
    </row>
    <row r="11" spans="1:60" x14ac:dyDescent="0.2">
      <c r="A11" s="2367" t="s">
        <v>1878</v>
      </c>
      <c r="D11" s="1636"/>
      <c r="E11" s="1636">
        <f>+E10*6000</f>
        <v>114000000</v>
      </c>
      <c r="F11" s="1637">
        <f>+F10*5000</f>
        <v>190000000</v>
      </c>
    </row>
    <row r="12" spans="1:60" x14ac:dyDescent="0.2">
      <c r="A12" s="2367" t="s">
        <v>2131</v>
      </c>
      <c r="B12" s="1632">
        <f>13050000-4000000</f>
        <v>9050000</v>
      </c>
      <c r="C12" s="1636"/>
      <c r="D12" s="1636"/>
      <c r="E12" s="1636"/>
      <c r="F12" s="1637"/>
    </row>
    <row r="13" spans="1:60" x14ac:dyDescent="0.2">
      <c r="A13" s="2367" t="s">
        <v>2134</v>
      </c>
      <c r="C13" s="1636"/>
      <c r="D13" s="1636"/>
      <c r="E13" s="1636"/>
      <c r="F13" s="1637"/>
    </row>
    <row r="14" spans="1:60" x14ac:dyDescent="0.2">
      <c r="A14" s="2367" t="s">
        <v>2133</v>
      </c>
      <c r="B14" s="1632">
        <v>5300000</v>
      </c>
      <c r="C14" s="1636" t="s">
        <v>2135</v>
      </c>
      <c r="D14" s="1636"/>
      <c r="E14" s="1636"/>
      <c r="F14" s="1637"/>
    </row>
    <row r="15" spans="1:60" x14ac:dyDescent="0.2">
      <c r="C15" s="1636"/>
      <c r="D15" s="1636"/>
      <c r="E15" s="1636"/>
      <c r="F15" s="1637"/>
    </row>
    <row r="16" spans="1:60" x14ac:dyDescent="0.2">
      <c r="A16" s="2369" t="s">
        <v>779</v>
      </c>
      <c r="B16" s="2371"/>
      <c r="C16" s="1636"/>
      <c r="D16" s="1636"/>
      <c r="E16" s="1636"/>
      <c r="F16" s="1637"/>
    </row>
    <row r="17" spans="1:60" x14ac:dyDescent="0.2">
      <c r="A17" s="2369" t="s">
        <v>2029</v>
      </c>
      <c r="B17" s="2369"/>
      <c r="C17" s="1636" t="s">
        <v>2132</v>
      </c>
      <c r="D17" s="1636"/>
      <c r="E17" s="1636"/>
      <c r="F17" s="1637"/>
    </row>
    <row r="18" spans="1:60" x14ac:dyDescent="0.2">
      <c r="A18" s="1633"/>
      <c r="C18" s="1636"/>
      <c r="D18" s="1636"/>
      <c r="E18" s="1636"/>
      <c r="F18" s="1637"/>
    </row>
    <row r="19" spans="1:60" x14ac:dyDescent="0.2">
      <c r="A19" s="1633"/>
      <c r="B19" s="1636" t="s">
        <v>2025</v>
      </c>
      <c r="C19" s="1636" t="s">
        <v>4</v>
      </c>
      <c r="D19" s="1636" t="s">
        <v>2026</v>
      </c>
      <c r="E19" s="1636" t="s">
        <v>2027</v>
      </c>
      <c r="F19" s="1632"/>
      <c r="G19" s="1733" t="s">
        <v>2030</v>
      </c>
      <c r="H19" s="2368" t="s">
        <v>236</v>
      </c>
    </row>
    <row r="20" spans="1:60" x14ac:dyDescent="0.2">
      <c r="A20" s="1633" t="s">
        <v>2031</v>
      </c>
      <c r="E20" s="2367"/>
      <c r="F20" s="1632"/>
      <c r="I20" s="1636">
        <v>2023</v>
      </c>
      <c r="V20" s="1633">
        <v>2024</v>
      </c>
      <c r="AI20" s="1633">
        <v>2025</v>
      </c>
      <c r="AV20" s="1633">
        <v>2026</v>
      </c>
    </row>
    <row r="21" spans="1:60" x14ac:dyDescent="0.2">
      <c r="A21" s="1637" t="s">
        <v>363</v>
      </c>
      <c r="B21" s="1633">
        <f>SUM(B22:B31)</f>
        <v>93974700</v>
      </c>
      <c r="C21" s="1633">
        <f t="shared" ref="C21:D21" si="0">SUM(C22:C31)</f>
        <v>75500000</v>
      </c>
      <c r="D21" s="1633">
        <f t="shared" si="0"/>
        <v>18474700</v>
      </c>
      <c r="E21" s="2367"/>
      <c r="F21" s="1632"/>
      <c r="J21" s="1632" t="s">
        <v>609</v>
      </c>
      <c r="K21" s="1632" t="s">
        <v>610</v>
      </c>
      <c r="L21" s="1632" t="s">
        <v>611</v>
      </c>
      <c r="M21" s="1632" t="s">
        <v>612</v>
      </c>
      <c r="N21" s="1632" t="s">
        <v>613</v>
      </c>
      <c r="O21" s="1632" t="s">
        <v>188</v>
      </c>
      <c r="P21" s="1632" t="s">
        <v>189</v>
      </c>
      <c r="Q21" s="1632" t="s">
        <v>614</v>
      </c>
      <c r="R21" s="1632" t="s">
        <v>615</v>
      </c>
      <c r="S21" s="1632" t="s">
        <v>616</v>
      </c>
      <c r="T21" s="1632" t="s">
        <v>617</v>
      </c>
      <c r="U21" s="1632" t="s">
        <v>618</v>
      </c>
      <c r="W21" s="1632" t="s">
        <v>609</v>
      </c>
      <c r="X21" s="1632" t="s">
        <v>610</v>
      </c>
      <c r="Y21" s="1632" t="s">
        <v>611</v>
      </c>
      <c r="Z21" s="1632" t="s">
        <v>612</v>
      </c>
      <c r="AA21" s="1632" t="s">
        <v>613</v>
      </c>
      <c r="AB21" s="1632" t="s">
        <v>188</v>
      </c>
      <c r="AC21" s="1632" t="s">
        <v>189</v>
      </c>
      <c r="AD21" s="1632" t="s">
        <v>614</v>
      </c>
      <c r="AE21" s="1632" t="s">
        <v>615</v>
      </c>
      <c r="AF21" s="1632" t="s">
        <v>616</v>
      </c>
      <c r="AG21" s="1632" t="s">
        <v>617</v>
      </c>
      <c r="AH21" s="1632" t="s">
        <v>618</v>
      </c>
      <c r="AJ21" s="1632" t="s">
        <v>609</v>
      </c>
      <c r="AK21" s="1632" t="s">
        <v>610</v>
      </c>
      <c r="AL21" s="1632" t="s">
        <v>611</v>
      </c>
      <c r="AM21" s="1632" t="s">
        <v>612</v>
      </c>
      <c r="AN21" s="1632" t="s">
        <v>613</v>
      </c>
      <c r="AO21" s="1632" t="s">
        <v>188</v>
      </c>
      <c r="AP21" s="1632" t="s">
        <v>189</v>
      </c>
      <c r="AQ21" s="1632" t="s">
        <v>614</v>
      </c>
      <c r="AR21" s="1632" t="s">
        <v>615</v>
      </c>
      <c r="AS21" s="1632" t="s">
        <v>616</v>
      </c>
      <c r="AT21" s="1632" t="s">
        <v>617</v>
      </c>
      <c r="AU21" s="1632" t="s">
        <v>618</v>
      </c>
      <c r="AW21" s="1632" t="s">
        <v>609</v>
      </c>
      <c r="AX21" s="1632" t="s">
        <v>610</v>
      </c>
      <c r="AY21" s="1632" t="s">
        <v>611</v>
      </c>
      <c r="AZ21" s="1632" t="s">
        <v>612</v>
      </c>
      <c r="BA21" s="1632" t="s">
        <v>613</v>
      </c>
      <c r="BB21" s="1632" t="s">
        <v>188</v>
      </c>
      <c r="BC21" s="1632" t="s">
        <v>189</v>
      </c>
      <c r="BD21" s="1632" t="s">
        <v>614</v>
      </c>
      <c r="BE21" s="1632" t="s">
        <v>615</v>
      </c>
      <c r="BF21" s="1632" t="s">
        <v>616</v>
      </c>
      <c r="BG21" s="1632" t="s">
        <v>617</v>
      </c>
      <c r="BH21" s="1632" t="s">
        <v>618</v>
      </c>
    </row>
    <row r="22" spans="1:60" x14ac:dyDescent="0.2">
      <c r="A22" s="2367" t="s">
        <v>1991</v>
      </c>
      <c r="B22" s="1632">
        <f>+'zásobník projektů 2023-2027'!D7</f>
        <v>964600</v>
      </c>
      <c r="C22" s="1632">
        <f>+'zásobník projektů 2023-2027'!E7</f>
        <v>0</v>
      </c>
      <c r="D22" s="1632">
        <f>+B22-C22</f>
        <v>964600</v>
      </c>
      <c r="E22" s="2367">
        <f>+'zásobník projektů 2023-2027'!R7</f>
        <v>2024</v>
      </c>
      <c r="F22" s="1632"/>
      <c r="G22" s="2372"/>
      <c r="H22" s="2373"/>
    </row>
    <row r="23" spans="1:60" x14ac:dyDescent="0.2">
      <c r="A23" s="2965" t="s">
        <v>402</v>
      </c>
      <c r="B23" s="1634">
        <f>+'zásobník projektů 2023-2027'!D8</f>
        <v>4200000</v>
      </c>
      <c r="C23" s="1634">
        <f>+'zásobník projektů 2023-2027'!E8</f>
        <v>0</v>
      </c>
      <c r="D23" s="1634">
        <f t="shared" ref="D23:D28" si="1">+B23-C23</f>
        <v>4200000</v>
      </c>
      <c r="E23" s="2965">
        <f>+'zásobník projektů 2023-2027'!R8</f>
        <v>2024</v>
      </c>
      <c r="F23" s="1632"/>
      <c r="G23" s="2372">
        <f t="shared" ref="G23:G28" si="2">+C23/B23</f>
        <v>0</v>
      </c>
      <c r="H23" s="2373" t="s">
        <v>2110</v>
      </c>
      <c r="V23" s="1633">
        <f>+B23</f>
        <v>4200000</v>
      </c>
    </row>
    <row r="24" spans="1:60" x14ac:dyDescent="0.2">
      <c r="A24" s="2367" t="s">
        <v>393</v>
      </c>
      <c r="B24" s="1632">
        <f>+'zásobník projektů 2023-2027'!D9</f>
        <v>795000</v>
      </c>
      <c r="C24" s="1632">
        <f>+'zásobník projektů 2023-2027'!E9</f>
        <v>0</v>
      </c>
      <c r="D24" s="1632">
        <f t="shared" si="1"/>
        <v>795000</v>
      </c>
      <c r="E24" s="2367">
        <f>+'zásobník projektů 2023-2027'!R9</f>
        <v>2024</v>
      </c>
      <c r="F24" s="1632"/>
      <c r="G24" s="2372">
        <f t="shared" si="2"/>
        <v>0</v>
      </c>
      <c r="H24" s="2373" t="s">
        <v>2110</v>
      </c>
      <c r="V24" s="1633">
        <f>+B24</f>
        <v>795000</v>
      </c>
    </row>
    <row r="25" spans="1:60" x14ac:dyDescent="0.2">
      <c r="A25" s="2367" t="s">
        <v>397</v>
      </c>
      <c r="B25" s="1632">
        <f>+'zásobník projektů 2023-2027'!D10</f>
        <v>503500</v>
      </c>
      <c r="C25" s="1632">
        <f>+'zásobník projektů 2023-2027'!E10</f>
        <v>0</v>
      </c>
      <c r="D25" s="1632">
        <f t="shared" si="1"/>
        <v>503500</v>
      </c>
      <c r="E25" s="2367">
        <f>+'zásobník projektů 2023-2027'!R10</f>
        <v>2024</v>
      </c>
      <c r="F25" s="1632"/>
      <c r="G25" s="2372">
        <f t="shared" si="2"/>
        <v>0</v>
      </c>
      <c r="H25" s="2373" t="s">
        <v>2110</v>
      </c>
      <c r="V25" s="1633">
        <f>+B25</f>
        <v>503500</v>
      </c>
    </row>
    <row r="26" spans="1:60" x14ac:dyDescent="0.2">
      <c r="A26" s="2367" t="s">
        <v>524</v>
      </c>
      <c r="B26" s="1632">
        <f>+'zásobník projektů 2023-2027'!D11</f>
        <v>911600</v>
      </c>
      <c r="C26" s="1632">
        <f>+'zásobník projektů 2023-2027'!E11</f>
        <v>0</v>
      </c>
      <c r="D26" s="1632">
        <f t="shared" si="1"/>
        <v>911600</v>
      </c>
      <c r="E26" s="2367">
        <f>+'zásobník projektů 2023-2027'!R11</f>
        <v>2024</v>
      </c>
      <c r="F26" s="1632"/>
      <c r="G26" s="2372">
        <f t="shared" si="2"/>
        <v>0</v>
      </c>
      <c r="H26" s="2373" t="s">
        <v>2110</v>
      </c>
      <c r="V26" s="1633">
        <f>+B26</f>
        <v>911600</v>
      </c>
    </row>
    <row r="27" spans="1:60" x14ac:dyDescent="0.2">
      <c r="A27" s="2367" t="s">
        <v>1992</v>
      </c>
      <c r="B27" s="1632">
        <f>+'zásobník projektů 2023-2027'!D12</f>
        <v>1100000</v>
      </c>
      <c r="C27" s="1632">
        <f>+'zásobník projektů 2023-2027'!E12</f>
        <v>0</v>
      </c>
      <c r="D27" s="1632">
        <f t="shared" si="1"/>
        <v>1100000</v>
      </c>
      <c r="E27" s="2367">
        <f>+'zásobník projektů 2023-2027'!R12</f>
        <v>2024</v>
      </c>
      <c r="F27" s="1632"/>
      <c r="G27" s="2372">
        <f t="shared" si="2"/>
        <v>0</v>
      </c>
      <c r="H27" s="2373" t="s">
        <v>2110</v>
      </c>
      <c r="V27" s="1633">
        <f>+B27</f>
        <v>1100000</v>
      </c>
    </row>
    <row r="28" spans="1:60" x14ac:dyDescent="0.2">
      <c r="A28" s="2367" t="s">
        <v>1993</v>
      </c>
      <c r="B28" s="1632">
        <f>+'zásobník projektů 2023-2027'!D13</f>
        <v>500000</v>
      </c>
      <c r="C28" s="1632">
        <f>+'zásobník projektů 2023-2027'!E13</f>
        <v>0</v>
      </c>
      <c r="D28" s="1632">
        <f t="shared" si="1"/>
        <v>500000</v>
      </c>
      <c r="E28" s="2367">
        <f>+'zásobník projektů 2023-2027'!R13</f>
        <v>2024</v>
      </c>
      <c r="F28" s="1632"/>
      <c r="G28" s="2372">
        <f t="shared" si="2"/>
        <v>0</v>
      </c>
      <c r="H28" s="2373" t="s">
        <v>2110</v>
      </c>
      <c r="I28" s="1633">
        <f>+B28</f>
        <v>500000</v>
      </c>
    </row>
    <row r="29" spans="1:60" x14ac:dyDescent="0.2">
      <c r="A29" s="2367" t="s">
        <v>1994</v>
      </c>
      <c r="B29" s="1632">
        <f>+'zásobník projektů 2023-2027'!D14</f>
        <v>80000000</v>
      </c>
      <c r="C29" s="1632">
        <f>+'zásobník projektů 2023-2027'!E14</f>
        <v>75500000</v>
      </c>
      <c r="D29" s="1632">
        <f>+B29-C29</f>
        <v>4500000</v>
      </c>
      <c r="E29" s="2367" t="str">
        <f>+'zásobník projektů 2023-2027'!R14</f>
        <v>2024 - 2026</v>
      </c>
      <c r="F29" s="1632"/>
      <c r="G29" s="2372">
        <f>+C29/B29</f>
        <v>0.94374999999999998</v>
      </c>
      <c r="H29" s="2373" t="s">
        <v>2110</v>
      </c>
      <c r="I29" s="1633">
        <f>+B29</f>
        <v>80000000</v>
      </c>
    </row>
    <row r="30" spans="1:60" x14ac:dyDescent="0.2">
      <c r="A30" s="2367" t="s">
        <v>413</v>
      </c>
      <c r="B30" s="1632">
        <f>+'zásobník projektů 2023-2027'!D15</f>
        <v>4500000</v>
      </c>
      <c r="C30" s="1632">
        <f>+'zásobník projektů 2023-2027'!E15</f>
        <v>0</v>
      </c>
      <c r="D30" s="1632">
        <f>+B30-C30</f>
        <v>4500000</v>
      </c>
      <c r="E30" s="2367">
        <f>+'zásobník projektů 2023-2027'!R15</f>
        <v>2024</v>
      </c>
      <c r="F30" s="1632"/>
      <c r="G30" s="2372">
        <f>+C30/B30</f>
        <v>0</v>
      </c>
      <c r="H30" s="2373" t="s">
        <v>2110</v>
      </c>
      <c r="V30" s="1633">
        <f>+B30</f>
        <v>4500000</v>
      </c>
    </row>
    <row r="31" spans="1:60" x14ac:dyDescent="0.2">
      <c r="A31" s="2367" t="s">
        <v>410</v>
      </c>
      <c r="B31" s="1632">
        <f>'zásobník projektů 2023-2027'!D13</f>
        <v>500000</v>
      </c>
      <c r="C31" s="1632">
        <f>'zásobník projektů 2023-2027'!E13</f>
        <v>0</v>
      </c>
      <c r="D31" s="1632">
        <f>+B31-C31</f>
        <v>500000</v>
      </c>
      <c r="E31" s="2367">
        <f>+'zásobník projektů 2023-2027'!R16</f>
        <v>0</v>
      </c>
      <c r="F31" s="1632"/>
      <c r="G31" s="2372">
        <f>+C31/B31</f>
        <v>0</v>
      </c>
      <c r="H31" s="2373" t="s">
        <v>2110</v>
      </c>
      <c r="I31" s="1633">
        <f>+B31</f>
        <v>500000</v>
      </c>
    </row>
    <row r="32" spans="1:60" x14ac:dyDescent="0.2">
      <c r="A32" s="2367"/>
      <c r="E32" s="2367"/>
      <c r="F32" s="1632"/>
    </row>
    <row r="33" spans="1:22" x14ac:dyDescent="0.2">
      <c r="A33" s="1637" t="s">
        <v>2024</v>
      </c>
      <c r="B33" s="1633">
        <f>SUM(B34:B41)</f>
        <v>16400000</v>
      </c>
      <c r="C33" s="1633">
        <f t="shared" ref="C33:D33" si="3">SUM(C34:C41)</f>
        <v>5530000</v>
      </c>
      <c r="D33" s="1633">
        <f t="shared" si="3"/>
        <v>10870000</v>
      </c>
      <c r="E33" s="2367"/>
      <c r="F33" s="1632"/>
    </row>
    <row r="34" spans="1:22" x14ac:dyDescent="0.2">
      <c r="A34" s="2367" t="s">
        <v>418</v>
      </c>
      <c r="B34" s="1632">
        <f>+'zásobník projektů 2023-2027'!D21</f>
        <v>650000</v>
      </c>
      <c r="C34" s="1632">
        <f>+'zásobník projektů 2023-2027'!E21</f>
        <v>500000</v>
      </c>
      <c r="D34" s="1632">
        <f t="shared" ref="D34:D41" si="4">+B34-C34</f>
        <v>150000</v>
      </c>
      <c r="E34" s="2367">
        <f>+'zásobník projektů 2023-2027'!M21</f>
        <v>2024</v>
      </c>
      <c r="F34" s="1632"/>
      <c r="G34" s="2372">
        <f t="shared" ref="G34:G39" si="5">+C34/B34</f>
        <v>0.76923076923076927</v>
      </c>
      <c r="H34" s="2373" t="s">
        <v>2110</v>
      </c>
      <c r="I34" s="1633">
        <f>+B34</f>
        <v>650000</v>
      </c>
    </row>
    <row r="35" spans="1:22" x14ac:dyDescent="0.2">
      <c r="A35" s="2367" t="s">
        <v>2390</v>
      </c>
      <c r="B35" s="1632">
        <f>+'zásobník projektů 2023-2027'!D22</f>
        <v>2500000</v>
      </c>
      <c r="C35" s="1632">
        <f>+'zásobník projektů 2023-2027'!E22</f>
        <v>0</v>
      </c>
      <c r="D35" s="1632">
        <f t="shared" si="4"/>
        <v>2500000</v>
      </c>
      <c r="E35" s="2367">
        <f>+'zásobník projektů 2023-2027'!M22</f>
        <v>2024</v>
      </c>
      <c r="F35" s="1632"/>
      <c r="G35" s="2372">
        <f t="shared" si="5"/>
        <v>0</v>
      </c>
      <c r="H35" s="2373" t="s">
        <v>2110</v>
      </c>
      <c r="V35" s="1633">
        <f>+B35</f>
        <v>2500000</v>
      </c>
    </row>
    <row r="36" spans="1:22" x14ac:dyDescent="0.2">
      <c r="A36" s="2367" t="s">
        <v>527</v>
      </c>
      <c r="B36" s="1632">
        <f>+'zásobník projektů 2023-2027'!D23</f>
        <v>750000</v>
      </c>
      <c r="C36" s="1632">
        <f>+'zásobník projektů 2023-2027'!E23</f>
        <v>630000</v>
      </c>
      <c r="D36" s="1632">
        <f t="shared" si="4"/>
        <v>120000</v>
      </c>
      <c r="E36" s="2367">
        <f>+'zásobník projektů 2023-2027'!M23</f>
        <v>2024</v>
      </c>
      <c r="F36" s="1632"/>
      <c r="G36" s="2372">
        <f t="shared" si="5"/>
        <v>0.84</v>
      </c>
      <c r="H36" s="2373" t="s">
        <v>2110</v>
      </c>
      <c r="V36" s="1633">
        <f>+B36</f>
        <v>750000</v>
      </c>
    </row>
    <row r="37" spans="1:22" x14ac:dyDescent="0.2">
      <c r="A37" s="2367" t="s">
        <v>1996</v>
      </c>
      <c r="B37" s="1632">
        <f>+'zásobník projektů 2023-2027'!D24</f>
        <v>4500000</v>
      </c>
      <c r="C37" s="1632">
        <f>+'zásobník projektů 2023-2027'!E24</f>
        <v>1000000</v>
      </c>
      <c r="D37" s="1632">
        <f t="shared" si="4"/>
        <v>3500000</v>
      </c>
      <c r="E37" s="2367">
        <f>+'zásobník projektů 2023-2027'!M24</f>
        <v>2024</v>
      </c>
      <c r="F37" s="1632"/>
      <c r="G37" s="2372">
        <f t="shared" si="5"/>
        <v>0.22222222222222221</v>
      </c>
      <c r="H37" s="2373" t="s">
        <v>2110</v>
      </c>
      <c r="I37" s="1633">
        <f>+B37</f>
        <v>4500000</v>
      </c>
    </row>
    <row r="38" spans="1:22" x14ac:dyDescent="0.2">
      <c r="A38" s="2367" t="s">
        <v>1998</v>
      </c>
      <c r="B38" s="1632">
        <f>+'zásobník projektů 2023-2027'!D25</f>
        <v>3900000</v>
      </c>
      <c r="C38" s="1632">
        <f>+'zásobník projektů 2023-2027'!E25</f>
        <v>3400000</v>
      </c>
      <c r="D38" s="1632">
        <f t="shared" si="4"/>
        <v>500000</v>
      </c>
      <c r="E38" s="2367">
        <f>+'zásobník projektů 2023-2027'!M25</f>
        <v>2024</v>
      </c>
      <c r="F38" s="1632"/>
      <c r="G38" s="2372">
        <f t="shared" si="5"/>
        <v>0.87179487179487181</v>
      </c>
      <c r="H38" s="2373" t="s">
        <v>2110</v>
      </c>
      <c r="V38" s="1633">
        <f>+B38</f>
        <v>3900000</v>
      </c>
    </row>
    <row r="39" spans="1:22" x14ac:dyDescent="0.2">
      <c r="A39" s="2367" t="s">
        <v>1999</v>
      </c>
      <c r="B39" s="1632">
        <f>+'zásobník projektů 2023-2027'!D26</f>
        <v>1000000</v>
      </c>
      <c r="C39" s="1632">
        <f>+'zásobník projektů 2023-2027'!E26</f>
        <v>0</v>
      </c>
      <c r="D39" s="1632">
        <f t="shared" si="4"/>
        <v>1000000</v>
      </c>
      <c r="E39" s="2367">
        <f>+'zásobník projektů 2023-2027'!M26</f>
        <v>2024</v>
      </c>
      <c r="F39" s="1632"/>
      <c r="G39" s="2372">
        <f t="shared" si="5"/>
        <v>0</v>
      </c>
      <c r="H39" s="2373" t="s">
        <v>2110</v>
      </c>
      <c r="V39" s="1633">
        <f>+B39</f>
        <v>1000000</v>
      </c>
    </row>
    <row r="40" spans="1:22" x14ac:dyDescent="0.2">
      <c r="A40" s="2367" t="s">
        <v>2391</v>
      </c>
      <c r="B40" s="1632">
        <f>+'zásobník projektů 2023-2027'!D27</f>
        <v>1500000</v>
      </c>
      <c r="C40" s="1632">
        <f>+'zásobník projektů 2023-2027'!E27</f>
        <v>0</v>
      </c>
      <c r="D40" s="1632">
        <f t="shared" si="4"/>
        <v>1500000</v>
      </c>
      <c r="E40" s="2367">
        <f>+'zásobník projektů 2023-2027'!M27</f>
        <v>2024</v>
      </c>
      <c r="F40" s="1632"/>
      <c r="G40" s="2372"/>
      <c r="H40" s="2373"/>
    </row>
    <row r="41" spans="1:22" x14ac:dyDescent="0.2">
      <c r="A41" s="2367" t="s">
        <v>2000</v>
      </c>
      <c r="B41" s="1632">
        <f>+'zásobník projektů 2023-2027'!D28</f>
        <v>1600000</v>
      </c>
      <c r="C41" s="1632">
        <f>+'zásobník projektů 2023-2027'!E28</f>
        <v>0</v>
      </c>
      <c r="D41" s="1632">
        <f t="shared" si="4"/>
        <v>1600000</v>
      </c>
      <c r="E41" s="2367">
        <f>+'zásobník projektů 2023-2027'!M28</f>
        <v>2024</v>
      </c>
      <c r="F41" s="1632"/>
      <c r="G41" s="2372"/>
      <c r="H41" s="2373"/>
    </row>
    <row r="42" spans="1:22" x14ac:dyDescent="0.2">
      <c r="A42" s="2367"/>
      <c r="E42" s="2367"/>
      <c r="F42" s="1632"/>
      <c r="G42" s="2372"/>
      <c r="H42" s="2373"/>
    </row>
    <row r="43" spans="1:22" x14ac:dyDescent="0.2">
      <c r="A43" s="2367"/>
      <c r="E43" s="2367"/>
      <c r="F43" s="1632"/>
    </row>
    <row r="44" spans="1:22" x14ac:dyDescent="0.2">
      <c r="A44" s="1637" t="s">
        <v>435</v>
      </c>
      <c r="B44" s="1633">
        <f>SUM(B45:B52)</f>
        <v>214000000</v>
      </c>
      <c r="C44" s="1633">
        <f t="shared" ref="C44:D44" si="6">SUM(C45:C52)</f>
        <v>112750000</v>
      </c>
      <c r="D44" s="1633">
        <f t="shared" si="6"/>
        <v>101250000</v>
      </c>
      <c r="E44" s="2367"/>
      <c r="F44" s="1632"/>
    </row>
    <row r="45" spans="1:22" x14ac:dyDescent="0.2">
      <c r="A45" s="2965" t="s">
        <v>2001</v>
      </c>
      <c r="B45" s="1634">
        <f>+'zásobník projektů 2023-2027'!D43</f>
        <v>3500000</v>
      </c>
      <c r="C45" s="1634">
        <f>+'zásobník projektů 2023-2027'!E43</f>
        <v>0</v>
      </c>
      <c r="D45" s="1634">
        <f t="shared" ref="D45:D52" si="7">+B45-C45</f>
        <v>3500000</v>
      </c>
      <c r="E45" s="2965" t="str">
        <f>+'zásobník projektů 2023-2027'!M43</f>
        <v>2023-2024</v>
      </c>
      <c r="F45" s="1632"/>
      <c r="G45" s="2372">
        <f t="shared" ref="G45:G52" si="8">+C45/B45</f>
        <v>0</v>
      </c>
      <c r="H45" s="2373" t="s">
        <v>2110</v>
      </c>
      <c r="I45" s="1633">
        <f t="shared" ref="I45:I50" si="9">+B45</f>
        <v>3500000</v>
      </c>
    </row>
    <row r="46" spans="1:22" x14ac:dyDescent="0.2">
      <c r="A46" s="2965" t="s">
        <v>1862</v>
      </c>
      <c r="B46" s="1634">
        <f>+'zásobník projektů 2023-2027'!D44</f>
        <v>110000000</v>
      </c>
      <c r="C46" s="1634">
        <f>+'zásobník projektů 2023-2027'!E44</f>
        <v>79000000</v>
      </c>
      <c r="D46" s="1634">
        <f t="shared" si="7"/>
        <v>31000000</v>
      </c>
      <c r="E46" s="2965" t="str">
        <f>+'zásobník projektů 2023-2027'!M44</f>
        <v>2023-2024</v>
      </c>
      <c r="F46" s="1632"/>
      <c r="G46" s="2372">
        <f t="shared" si="8"/>
        <v>0.71818181818181814</v>
      </c>
      <c r="H46" s="2374" t="s">
        <v>2109</v>
      </c>
      <c r="I46" s="1633">
        <f t="shared" si="9"/>
        <v>110000000</v>
      </c>
    </row>
    <row r="47" spans="1:22" x14ac:dyDescent="0.2">
      <c r="A47" s="2367" t="s">
        <v>437</v>
      </c>
      <c r="B47" s="1632">
        <f>+'zásobník projektů 2023-2027'!D45</f>
        <v>2000000</v>
      </c>
      <c r="C47" s="1632">
        <f>+'zásobník projektů 2023-2027'!E45</f>
        <v>1000000</v>
      </c>
      <c r="D47" s="1632">
        <f t="shared" si="7"/>
        <v>1000000</v>
      </c>
      <c r="E47" s="2367" t="str">
        <f>+'zásobník projektů 2023-2027'!M45</f>
        <v>průběžně</v>
      </c>
      <c r="F47" s="1632"/>
      <c r="G47" s="2372">
        <f t="shared" si="8"/>
        <v>0.5</v>
      </c>
      <c r="H47" s="2373" t="s">
        <v>2110</v>
      </c>
      <c r="I47" s="1633">
        <f t="shared" si="9"/>
        <v>2000000</v>
      </c>
    </row>
    <row r="48" spans="1:22" x14ac:dyDescent="0.2">
      <c r="A48" s="2367" t="s">
        <v>1870</v>
      </c>
      <c r="B48" s="1632">
        <f>+'zásobník projektů 2023-2027'!D46</f>
        <v>3000000</v>
      </c>
      <c r="C48" s="1632">
        <f>+'zásobník projektů 2023-2027'!E46</f>
        <v>1500000</v>
      </c>
      <c r="D48" s="1632">
        <f t="shared" si="7"/>
        <v>1500000</v>
      </c>
      <c r="E48" s="2367" t="str">
        <f>+'zásobník projektů 2023-2027'!M46</f>
        <v>průběžně</v>
      </c>
      <c r="F48" s="1632"/>
      <c r="G48" s="2372">
        <f t="shared" si="8"/>
        <v>0.5</v>
      </c>
      <c r="H48" s="2373" t="s">
        <v>2110</v>
      </c>
      <c r="I48" s="1633">
        <f t="shared" si="9"/>
        <v>3000000</v>
      </c>
    </row>
    <row r="49" spans="1:22" x14ac:dyDescent="0.2">
      <c r="A49" s="2367" t="s">
        <v>2003</v>
      </c>
      <c r="B49" s="1632">
        <f>+'zásobník projektů 2023-2027'!D47</f>
        <v>1500000</v>
      </c>
      <c r="C49" s="1632">
        <f>+'zásobník projektů 2023-2027'!E47</f>
        <v>750000</v>
      </c>
      <c r="D49" s="1632">
        <f t="shared" si="7"/>
        <v>750000</v>
      </c>
      <c r="E49" s="2367" t="str">
        <f>+'zásobník projektů 2023-2027'!M47</f>
        <v>průběžně</v>
      </c>
      <c r="F49" s="1632"/>
      <c r="G49" s="2372">
        <f t="shared" si="8"/>
        <v>0.5</v>
      </c>
      <c r="H49" s="2373" t="s">
        <v>2110</v>
      </c>
      <c r="I49" s="1633">
        <f t="shared" si="9"/>
        <v>1500000</v>
      </c>
    </row>
    <row r="50" spans="1:22" x14ac:dyDescent="0.2">
      <c r="A50" s="2367" t="s">
        <v>1685</v>
      </c>
      <c r="B50" s="1632">
        <f>+'zásobník projektů 2023-2027'!D48</f>
        <v>85000000</v>
      </c>
      <c r="C50" s="1632">
        <f>+'zásobník projektů 2023-2027'!E48</f>
        <v>25000000</v>
      </c>
      <c r="D50" s="1632">
        <f>+B50-C50</f>
        <v>60000000</v>
      </c>
      <c r="E50" s="2367" t="str">
        <f>+'zásobník projektů 2023-2027'!M48</f>
        <v>2024 - 2026</v>
      </c>
      <c r="F50" s="1632"/>
      <c r="G50" s="2372">
        <f>+C50/B50</f>
        <v>0.29411764705882354</v>
      </c>
      <c r="H50" s="2373" t="s">
        <v>2110</v>
      </c>
      <c r="I50" s="1633">
        <f t="shared" si="9"/>
        <v>85000000</v>
      </c>
    </row>
    <row r="51" spans="1:22" x14ac:dyDescent="0.2">
      <c r="A51" s="2367" t="s">
        <v>2393</v>
      </c>
      <c r="B51" s="1632">
        <f>+'zásobník projektů 2023-2027'!D49</f>
        <v>2000000</v>
      </c>
      <c r="C51" s="1632">
        <f>+'zásobník projektů 2023-2027'!E49</f>
        <v>2000000</v>
      </c>
      <c r="D51" s="1632">
        <f t="shared" si="7"/>
        <v>0</v>
      </c>
      <c r="E51" s="2367">
        <f>+'zásobník projektů 2023-2027'!M49</f>
        <v>2024</v>
      </c>
      <c r="F51" s="1632"/>
      <c r="G51" s="2372">
        <f t="shared" si="8"/>
        <v>1</v>
      </c>
      <c r="H51" s="2374" t="s">
        <v>2108</v>
      </c>
      <c r="V51" s="1633">
        <f>+B51</f>
        <v>2000000</v>
      </c>
    </row>
    <row r="52" spans="1:22" x14ac:dyDescent="0.2">
      <c r="A52" s="2367" t="s">
        <v>439</v>
      </c>
      <c r="B52" s="1632">
        <f>+'zásobník projektů 2023-2027'!D50</f>
        <v>7000000</v>
      </c>
      <c r="C52" s="1632">
        <f>+'zásobník projektů 2023-2027'!E50</f>
        <v>3500000</v>
      </c>
      <c r="D52" s="1632">
        <f t="shared" si="7"/>
        <v>3500000</v>
      </c>
      <c r="E52" s="2367" t="str">
        <f>+'zásobník projektů 2023-2027'!M50</f>
        <v>průběžně</v>
      </c>
      <c r="F52" s="1632"/>
      <c r="G52" s="2372">
        <f t="shared" si="8"/>
        <v>0.5</v>
      </c>
      <c r="H52" s="2373" t="s">
        <v>2110</v>
      </c>
      <c r="I52" s="1633">
        <f>+B52</f>
        <v>7000000</v>
      </c>
    </row>
    <row r="53" spans="1:22" x14ac:dyDescent="0.2">
      <c r="A53" s="2367"/>
      <c r="E53" s="2367"/>
      <c r="F53" s="1632"/>
    </row>
    <row r="54" spans="1:22" x14ac:dyDescent="0.2">
      <c r="A54" s="1637" t="s">
        <v>440</v>
      </c>
      <c r="B54" s="1633">
        <f>SUM(B55:B60)</f>
        <v>148200000</v>
      </c>
      <c r="C54" s="1633">
        <f>SUM(C55:C60)</f>
        <v>49648511.57</v>
      </c>
      <c r="D54" s="1633">
        <f>SUM(D55:D60)</f>
        <v>98551488.430000007</v>
      </c>
      <c r="E54" s="2367"/>
      <c r="F54" s="1632"/>
    </row>
    <row r="55" spans="1:22" x14ac:dyDescent="0.2">
      <c r="A55" s="2367" t="s">
        <v>1871</v>
      </c>
      <c r="B55" s="1632">
        <f>+'zásobník projektů 2023-2027'!D57</f>
        <v>36300000</v>
      </c>
      <c r="C55" s="1632">
        <f>+'zásobník projektů 2023-2027'!E57</f>
        <v>30398511.57</v>
      </c>
      <c r="D55" s="1632">
        <f t="shared" ref="D55:D60" si="10">+B55-C55</f>
        <v>5901488.4299999997</v>
      </c>
      <c r="E55" s="2367">
        <f>+'zásobník projektů 2023-2027'!M57</f>
        <v>2024</v>
      </c>
      <c r="F55" s="1632"/>
      <c r="G55" s="2372">
        <f t="shared" ref="G55:G59" si="11">+C55/B55</f>
        <v>0.83742456115702479</v>
      </c>
      <c r="H55" s="2373" t="s">
        <v>2110</v>
      </c>
    </row>
    <row r="56" spans="1:22" x14ac:dyDescent="0.2">
      <c r="A56" s="2367" t="s">
        <v>2005</v>
      </c>
      <c r="B56" s="1632">
        <f>+'zásobník projektů 2023-2027'!D58</f>
        <v>35000000</v>
      </c>
      <c r="C56" s="1632">
        <f>+'zásobník projektů 2023-2027'!E58</f>
        <v>19250000</v>
      </c>
      <c r="D56" s="1632">
        <f t="shared" si="10"/>
        <v>15750000</v>
      </c>
      <c r="E56" s="2367">
        <f>+'zásobník projektů 2023-2027'!M58</f>
        <v>2024</v>
      </c>
      <c r="F56" s="1632"/>
      <c r="G56" s="2372">
        <f t="shared" si="11"/>
        <v>0.55000000000000004</v>
      </c>
      <c r="H56" s="2373" t="s">
        <v>2110</v>
      </c>
    </row>
    <row r="57" spans="1:22" x14ac:dyDescent="0.2">
      <c r="A57" s="2367" t="s">
        <v>2394</v>
      </c>
      <c r="B57" s="1632">
        <v>100000</v>
      </c>
      <c r="C57" s="1632">
        <f>+'zásobník projektů 2023-2027'!E59</f>
        <v>0</v>
      </c>
      <c r="D57" s="1632">
        <f t="shared" si="10"/>
        <v>100000</v>
      </c>
      <c r="E57" s="2367">
        <f>+'zásobník projektů 2023-2027'!M59</f>
        <v>2024</v>
      </c>
      <c r="F57" s="1632"/>
      <c r="G57" s="2372">
        <f t="shared" si="11"/>
        <v>0</v>
      </c>
      <c r="H57" s="2373" t="s">
        <v>2110</v>
      </c>
    </row>
    <row r="58" spans="1:22" x14ac:dyDescent="0.2">
      <c r="A58" s="2367" t="s">
        <v>2398</v>
      </c>
      <c r="B58" s="1632">
        <f>+'zásobník projektů 2023-2027'!D60</f>
        <v>4500000</v>
      </c>
      <c r="C58" s="1632">
        <f>+'zásobník projektů 2023-2027'!E60</f>
        <v>0</v>
      </c>
      <c r="D58" s="1632">
        <f t="shared" si="10"/>
        <v>4500000</v>
      </c>
      <c r="E58" s="2367">
        <f>+'zásobník projektů 2023-2027'!M60</f>
        <v>2024</v>
      </c>
      <c r="F58" s="1632"/>
      <c r="G58" s="2372">
        <f t="shared" si="11"/>
        <v>0</v>
      </c>
      <c r="H58" s="2373" t="s">
        <v>2110</v>
      </c>
      <c r="V58" s="1633">
        <f>+B58</f>
        <v>4500000</v>
      </c>
    </row>
    <row r="59" spans="1:22" x14ac:dyDescent="0.2">
      <c r="A59" s="2965" t="s">
        <v>2007</v>
      </c>
      <c r="B59" s="1634">
        <f>+'zásobník projektů 2023-2027'!D61</f>
        <v>2300000</v>
      </c>
      <c r="C59" s="1634">
        <f>+'zásobník projektů 2023-2027'!E61</f>
        <v>0</v>
      </c>
      <c r="D59" s="1634">
        <f t="shared" si="10"/>
        <v>2300000</v>
      </c>
      <c r="E59" s="2965">
        <f>+'zásobník projektů 2023-2027'!M61</f>
        <v>2024</v>
      </c>
      <c r="F59" s="1632"/>
      <c r="G59" s="2372">
        <f t="shared" si="11"/>
        <v>0</v>
      </c>
      <c r="H59" s="2373" t="s">
        <v>2110</v>
      </c>
      <c r="V59" s="1633">
        <f>+B59</f>
        <v>2300000</v>
      </c>
    </row>
    <row r="60" spans="1:22" x14ac:dyDescent="0.2">
      <c r="A60" s="2367" t="s">
        <v>1252</v>
      </c>
      <c r="B60" s="1632">
        <v>70000000</v>
      </c>
      <c r="C60" s="1632">
        <v>0</v>
      </c>
      <c r="D60" s="1632">
        <f t="shared" si="10"/>
        <v>70000000</v>
      </c>
      <c r="E60" s="2367">
        <f>+'zásobník projektů 2023-2027'!M62</f>
        <v>0</v>
      </c>
      <c r="F60" s="1632"/>
    </row>
    <row r="61" spans="1:22" x14ac:dyDescent="0.2">
      <c r="E61" s="2367"/>
    </row>
    <row r="62" spans="1:22" s="1633" customFormat="1" x14ac:dyDescent="0.2">
      <c r="A62" s="1633" t="s">
        <v>2</v>
      </c>
      <c r="B62" s="1633">
        <f>+B54+B44+B33+B21</f>
        <v>472574700</v>
      </c>
      <c r="C62" s="1633">
        <f>+C54+C44+C33+C21</f>
        <v>243428511.56999999</v>
      </c>
      <c r="D62" s="1633">
        <f>+D54+D44+D33+D21</f>
        <v>229146188.43000001</v>
      </c>
      <c r="E62" s="1637"/>
      <c r="G62" s="1635"/>
      <c r="H62" s="2368"/>
    </row>
  </sheetData>
  <sheetProtection algorithmName="SHA-512" hashValue="X5tPzAPFkGtVkg5Ygfw87UDI5U4dY/zD07AvkmnwWVHPT1Ec/L9ReEHeutyOtZqtX6vjIodDQUnwP5glX9av5w==" saltValue="Fr6PXtcUe0+WyCqkeP1vLw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1392" customWidth="1"/>
    <col min="2" max="2" width="23" style="1392" customWidth="1"/>
    <col min="3" max="3" width="17.5703125" style="1392" customWidth="1"/>
    <col min="4" max="4" width="29.85546875" style="1392" customWidth="1"/>
    <col min="5" max="5" width="29" style="1392" customWidth="1"/>
    <col min="6" max="6" width="27.7109375" style="1392" customWidth="1"/>
    <col min="7" max="7" width="22.28515625" style="1392" customWidth="1"/>
    <col min="8" max="8" width="28.5703125" style="1392" customWidth="1"/>
    <col min="9" max="9" width="23.28515625" style="1392" customWidth="1"/>
    <col min="10" max="10" width="25" style="1392" customWidth="1"/>
    <col min="11" max="11" width="16.7109375" style="1392" customWidth="1"/>
    <col min="12" max="12" width="13.28515625" style="1392" customWidth="1"/>
    <col min="13" max="13" width="9.85546875" style="1392" customWidth="1"/>
    <col min="14" max="14" width="11" style="1392" customWidth="1"/>
    <col min="15" max="16" width="9.7109375" style="1392" customWidth="1"/>
    <col min="17" max="17" width="10" style="1392" customWidth="1"/>
    <col min="18" max="19" width="17" style="1392" customWidth="1"/>
    <col min="20" max="256" width="8.85546875" style="1392"/>
    <col min="257" max="257" width="58.7109375" style="1392" customWidth="1"/>
    <col min="258" max="258" width="23" style="1392" customWidth="1"/>
    <col min="259" max="259" width="17.5703125" style="1392" customWidth="1"/>
    <col min="260" max="260" width="29.85546875" style="1392" customWidth="1"/>
    <col min="261" max="261" width="29" style="1392" customWidth="1"/>
    <col min="262" max="262" width="27.7109375" style="1392" customWidth="1"/>
    <col min="263" max="263" width="22.28515625" style="1392" customWidth="1"/>
    <col min="264" max="264" width="28.5703125" style="1392" customWidth="1"/>
    <col min="265" max="265" width="23.28515625" style="1392" customWidth="1"/>
    <col min="266" max="266" width="25" style="1392" customWidth="1"/>
    <col min="267" max="267" width="16.7109375" style="1392" customWidth="1"/>
    <col min="268" max="268" width="13.28515625" style="1392" customWidth="1"/>
    <col min="269" max="269" width="9.85546875" style="1392" customWidth="1"/>
    <col min="270" max="270" width="11" style="1392" customWidth="1"/>
    <col min="271" max="272" width="9.7109375" style="1392" customWidth="1"/>
    <col min="273" max="273" width="10" style="1392" customWidth="1"/>
    <col min="274" max="275" width="17" style="1392" customWidth="1"/>
    <col min="276" max="512" width="8.85546875" style="1392"/>
    <col min="513" max="513" width="58.7109375" style="1392" customWidth="1"/>
    <col min="514" max="514" width="23" style="1392" customWidth="1"/>
    <col min="515" max="515" width="17.5703125" style="1392" customWidth="1"/>
    <col min="516" max="516" width="29.85546875" style="1392" customWidth="1"/>
    <col min="517" max="517" width="29" style="1392" customWidth="1"/>
    <col min="518" max="518" width="27.7109375" style="1392" customWidth="1"/>
    <col min="519" max="519" width="22.28515625" style="1392" customWidth="1"/>
    <col min="520" max="520" width="28.5703125" style="1392" customWidth="1"/>
    <col min="521" max="521" width="23.28515625" style="1392" customWidth="1"/>
    <col min="522" max="522" width="25" style="1392" customWidth="1"/>
    <col min="523" max="523" width="16.7109375" style="1392" customWidth="1"/>
    <col min="524" max="524" width="13.28515625" style="1392" customWidth="1"/>
    <col min="525" max="525" width="9.85546875" style="1392" customWidth="1"/>
    <col min="526" max="526" width="11" style="1392" customWidth="1"/>
    <col min="527" max="528" width="9.7109375" style="1392" customWidth="1"/>
    <col min="529" max="529" width="10" style="1392" customWidth="1"/>
    <col min="530" max="531" width="17" style="1392" customWidth="1"/>
    <col min="532" max="768" width="8.85546875" style="1392"/>
    <col min="769" max="769" width="58.7109375" style="1392" customWidth="1"/>
    <col min="770" max="770" width="23" style="1392" customWidth="1"/>
    <col min="771" max="771" width="17.5703125" style="1392" customWidth="1"/>
    <col min="772" max="772" width="29.85546875" style="1392" customWidth="1"/>
    <col min="773" max="773" width="29" style="1392" customWidth="1"/>
    <col min="774" max="774" width="27.7109375" style="1392" customWidth="1"/>
    <col min="775" max="775" width="22.28515625" style="1392" customWidth="1"/>
    <col min="776" max="776" width="28.5703125" style="1392" customWidth="1"/>
    <col min="777" max="777" width="23.28515625" style="1392" customWidth="1"/>
    <col min="778" max="778" width="25" style="1392" customWidth="1"/>
    <col min="779" max="779" width="16.7109375" style="1392" customWidth="1"/>
    <col min="780" max="780" width="13.28515625" style="1392" customWidth="1"/>
    <col min="781" max="781" width="9.85546875" style="1392" customWidth="1"/>
    <col min="782" max="782" width="11" style="1392" customWidth="1"/>
    <col min="783" max="784" width="9.7109375" style="1392" customWidth="1"/>
    <col min="785" max="785" width="10" style="1392" customWidth="1"/>
    <col min="786" max="787" width="17" style="1392" customWidth="1"/>
    <col min="788" max="1024" width="8.85546875" style="1392"/>
    <col min="1025" max="1025" width="58.7109375" style="1392" customWidth="1"/>
    <col min="1026" max="1026" width="23" style="1392" customWidth="1"/>
    <col min="1027" max="1027" width="17.5703125" style="1392" customWidth="1"/>
    <col min="1028" max="1028" width="29.85546875" style="1392" customWidth="1"/>
    <col min="1029" max="1029" width="29" style="1392" customWidth="1"/>
    <col min="1030" max="1030" width="27.7109375" style="1392" customWidth="1"/>
    <col min="1031" max="1031" width="22.28515625" style="1392" customWidth="1"/>
    <col min="1032" max="1032" width="28.5703125" style="1392" customWidth="1"/>
    <col min="1033" max="1033" width="23.28515625" style="1392" customWidth="1"/>
    <col min="1034" max="1034" width="25" style="1392" customWidth="1"/>
    <col min="1035" max="1035" width="16.7109375" style="1392" customWidth="1"/>
    <col min="1036" max="1036" width="13.28515625" style="1392" customWidth="1"/>
    <col min="1037" max="1037" width="9.85546875" style="1392" customWidth="1"/>
    <col min="1038" max="1038" width="11" style="1392" customWidth="1"/>
    <col min="1039" max="1040" width="9.7109375" style="1392" customWidth="1"/>
    <col min="1041" max="1041" width="10" style="1392" customWidth="1"/>
    <col min="1042" max="1043" width="17" style="1392" customWidth="1"/>
    <col min="1044" max="1280" width="8.85546875" style="1392"/>
    <col min="1281" max="1281" width="58.7109375" style="1392" customWidth="1"/>
    <col min="1282" max="1282" width="23" style="1392" customWidth="1"/>
    <col min="1283" max="1283" width="17.5703125" style="1392" customWidth="1"/>
    <col min="1284" max="1284" width="29.85546875" style="1392" customWidth="1"/>
    <col min="1285" max="1285" width="29" style="1392" customWidth="1"/>
    <col min="1286" max="1286" width="27.7109375" style="1392" customWidth="1"/>
    <col min="1287" max="1287" width="22.28515625" style="1392" customWidth="1"/>
    <col min="1288" max="1288" width="28.5703125" style="1392" customWidth="1"/>
    <col min="1289" max="1289" width="23.28515625" style="1392" customWidth="1"/>
    <col min="1290" max="1290" width="25" style="1392" customWidth="1"/>
    <col min="1291" max="1291" width="16.7109375" style="1392" customWidth="1"/>
    <col min="1292" max="1292" width="13.28515625" style="1392" customWidth="1"/>
    <col min="1293" max="1293" width="9.85546875" style="1392" customWidth="1"/>
    <col min="1294" max="1294" width="11" style="1392" customWidth="1"/>
    <col min="1295" max="1296" width="9.7109375" style="1392" customWidth="1"/>
    <col min="1297" max="1297" width="10" style="1392" customWidth="1"/>
    <col min="1298" max="1299" width="17" style="1392" customWidth="1"/>
    <col min="1300" max="1536" width="8.85546875" style="1392"/>
    <col min="1537" max="1537" width="58.7109375" style="1392" customWidth="1"/>
    <col min="1538" max="1538" width="23" style="1392" customWidth="1"/>
    <col min="1539" max="1539" width="17.5703125" style="1392" customWidth="1"/>
    <col min="1540" max="1540" width="29.85546875" style="1392" customWidth="1"/>
    <col min="1541" max="1541" width="29" style="1392" customWidth="1"/>
    <col min="1542" max="1542" width="27.7109375" style="1392" customWidth="1"/>
    <col min="1543" max="1543" width="22.28515625" style="1392" customWidth="1"/>
    <col min="1544" max="1544" width="28.5703125" style="1392" customWidth="1"/>
    <col min="1545" max="1545" width="23.28515625" style="1392" customWidth="1"/>
    <col min="1546" max="1546" width="25" style="1392" customWidth="1"/>
    <col min="1547" max="1547" width="16.7109375" style="1392" customWidth="1"/>
    <col min="1548" max="1548" width="13.28515625" style="1392" customWidth="1"/>
    <col min="1549" max="1549" width="9.85546875" style="1392" customWidth="1"/>
    <col min="1550" max="1550" width="11" style="1392" customWidth="1"/>
    <col min="1551" max="1552" width="9.7109375" style="1392" customWidth="1"/>
    <col min="1553" max="1553" width="10" style="1392" customWidth="1"/>
    <col min="1554" max="1555" width="17" style="1392" customWidth="1"/>
    <col min="1556" max="1792" width="8.85546875" style="1392"/>
    <col min="1793" max="1793" width="58.7109375" style="1392" customWidth="1"/>
    <col min="1794" max="1794" width="23" style="1392" customWidth="1"/>
    <col min="1795" max="1795" width="17.5703125" style="1392" customWidth="1"/>
    <col min="1796" max="1796" width="29.85546875" style="1392" customWidth="1"/>
    <col min="1797" max="1797" width="29" style="1392" customWidth="1"/>
    <col min="1798" max="1798" width="27.7109375" style="1392" customWidth="1"/>
    <col min="1799" max="1799" width="22.28515625" style="1392" customWidth="1"/>
    <col min="1800" max="1800" width="28.5703125" style="1392" customWidth="1"/>
    <col min="1801" max="1801" width="23.28515625" style="1392" customWidth="1"/>
    <col min="1802" max="1802" width="25" style="1392" customWidth="1"/>
    <col min="1803" max="1803" width="16.7109375" style="1392" customWidth="1"/>
    <col min="1804" max="1804" width="13.28515625" style="1392" customWidth="1"/>
    <col min="1805" max="1805" width="9.85546875" style="1392" customWidth="1"/>
    <col min="1806" max="1806" width="11" style="1392" customWidth="1"/>
    <col min="1807" max="1808" width="9.7109375" style="1392" customWidth="1"/>
    <col min="1809" max="1809" width="10" style="1392" customWidth="1"/>
    <col min="1810" max="1811" width="17" style="1392" customWidth="1"/>
    <col min="1812" max="2048" width="8.85546875" style="1392"/>
    <col min="2049" max="2049" width="58.7109375" style="1392" customWidth="1"/>
    <col min="2050" max="2050" width="23" style="1392" customWidth="1"/>
    <col min="2051" max="2051" width="17.5703125" style="1392" customWidth="1"/>
    <col min="2052" max="2052" width="29.85546875" style="1392" customWidth="1"/>
    <col min="2053" max="2053" width="29" style="1392" customWidth="1"/>
    <col min="2054" max="2054" width="27.7109375" style="1392" customWidth="1"/>
    <col min="2055" max="2055" width="22.28515625" style="1392" customWidth="1"/>
    <col min="2056" max="2056" width="28.5703125" style="1392" customWidth="1"/>
    <col min="2057" max="2057" width="23.28515625" style="1392" customWidth="1"/>
    <col min="2058" max="2058" width="25" style="1392" customWidth="1"/>
    <col min="2059" max="2059" width="16.7109375" style="1392" customWidth="1"/>
    <col min="2060" max="2060" width="13.28515625" style="1392" customWidth="1"/>
    <col min="2061" max="2061" width="9.85546875" style="1392" customWidth="1"/>
    <col min="2062" max="2062" width="11" style="1392" customWidth="1"/>
    <col min="2063" max="2064" width="9.7109375" style="1392" customWidth="1"/>
    <col min="2065" max="2065" width="10" style="1392" customWidth="1"/>
    <col min="2066" max="2067" width="17" style="1392" customWidth="1"/>
    <col min="2068" max="2304" width="8.85546875" style="1392"/>
    <col min="2305" max="2305" width="58.7109375" style="1392" customWidth="1"/>
    <col min="2306" max="2306" width="23" style="1392" customWidth="1"/>
    <col min="2307" max="2307" width="17.5703125" style="1392" customWidth="1"/>
    <col min="2308" max="2308" width="29.85546875" style="1392" customWidth="1"/>
    <col min="2309" max="2309" width="29" style="1392" customWidth="1"/>
    <col min="2310" max="2310" width="27.7109375" style="1392" customWidth="1"/>
    <col min="2311" max="2311" width="22.28515625" style="1392" customWidth="1"/>
    <col min="2312" max="2312" width="28.5703125" style="1392" customWidth="1"/>
    <col min="2313" max="2313" width="23.28515625" style="1392" customWidth="1"/>
    <col min="2314" max="2314" width="25" style="1392" customWidth="1"/>
    <col min="2315" max="2315" width="16.7109375" style="1392" customWidth="1"/>
    <col min="2316" max="2316" width="13.28515625" style="1392" customWidth="1"/>
    <col min="2317" max="2317" width="9.85546875" style="1392" customWidth="1"/>
    <col min="2318" max="2318" width="11" style="1392" customWidth="1"/>
    <col min="2319" max="2320" width="9.7109375" style="1392" customWidth="1"/>
    <col min="2321" max="2321" width="10" style="1392" customWidth="1"/>
    <col min="2322" max="2323" width="17" style="1392" customWidth="1"/>
    <col min="2324" max="2560" width="8.85546875" style="1392"/>
    <col min="2561" max="2561" width="58.7109375" style="1392" customWidth="1"/>
    <col min="2562" max="2562" width="23" style="1392" customWidth="1"/>
    <col min="2563" max="2563" width="17.5703125" style="1392" customWidth="1"/>
    <col min="2564" max="2564" width="29.85546875" style="1392" customWidth="1"/>
    <col min="2565" max="2565" width="29" style="1392" customWidth="1"/>
    <col min="2566" max="2566" width="27.7109375" style="1392" customWidth="1"/>
    <col min="2567" max="2567" width="22.28515625" style="1392" customWidth="1"/>
    <col min="2568" max="2568" width="28.5703125" style="1392" customWidth="1"/>
    <col min="2569" max="2569" width="23.28515625" style="1392" customWidth="1"/>
    <col min="2570" max="2570" width="25" style="1392" customWidth="1"/>
    <col min="2571" max="2571" width="16.7109375" style="1392" customWidth="1"/>
    <col min="2572" max="2572" width="13.28515625" style="1392" customWidth="1"/>
    <col min="2573" max="2573" width="9.85546875" style="1392" customWidth="1"/>
    <col min="2574" max="2574" width="11" style="1392" customWidth="1"/>
    <col min="2575" max="2576" width="9.7109375" style="1392" customWidth="1"/>
    <col min="2577" max="2577" width="10" style="1392" customWidth="1"/>
    <col min="2578" max="2579" width="17" style="1392" customWidth="1"/>
    <col min="2580" max="2816" width="8.85546875" style="1392"/>
    <col min="2817" max="2817" width="58.7109375" style="1392" customWidth="1"/>
    <col min="2818" max="2818" width="23" style="1392" customWidth="1"/>
    <col min="2819" max="2819" width="17.5703125" style="1392" customWidth="1"/>
    <col min="2820" max="2820" width="29.85546875" style="1392" customWidth="1"/>
    <col min="2821" max="2821" width="29" style="1392" customWidth="1"/>
    <col min="2822" max="2822" width="27.7109375" style="1392" customWidth="1"/>
    <col min="2823" max="2823" width="22.28515625" style="1392" customWidth="1"/>
    <col min="2824" max="2824" width="28.5703125" style="1392" customWidth="1"/>
    <col min="2825" max="2825" width="23.28515625" style="1392" customWidth="1"/>
    <col min="2826" max="2826" width="25" style="1392" customWidth="1"/>
    <col min="2827" max="2827" width="16.7109375" style="1392" customWidth="1"/>
    <col min="2828" max="2828" width="13.28515625" style="1392" customWidth="1"/>
    <col min="2829" max="2829" width="9.85546875" style="1392" customWidth="1"/>
    <col min="2830" max="2830" width="11" style="1392" customWidth="1"/>
    <col min="2831" max="2832" width="9.7109375" style="1392" customWidth="1"/>
    <col min="2833" max="2833" width="10" style="1392" customWidth="1"/>
    <col min="2834" max="2835" width="17" style="1392" customWidth="1"/>
    <col min="2836" max="3072" width="8.85546875" style="1392"/>
    <col min="3073" max="3073" width="58.7109375" style="1392" customWidth="1"/>
    <col min="3074" max="3074" width="23" style="1392" customWidth="1"/>
    <col min="3075" max="3075" width="17.5703125" style="1392" customWidth="1"/>
    <col min="3076" max="3076" width="29.85546875" style="1392" customWidth="1"/>
    <col min="3077" max="3077" width="29" style="1392" customWidth="1"/>
    <col min="3078" max="3078" width="27.7109375" style="1392" customWidth="1"/>
    <col min="3079" max="3079" width="22.28515625" style="1392" customWidth="1"/>
    <col min="3080" max="3080" width="28.5703125" style="1392" customWidth="1"/>
    <col min="3081" max="3081" width="23.28515625" style="1392" customWidth="1"/>
    <col min="3082" max="3082" width="25" style="1392" customWidth="1"/>
    <col min="3083" max="3083" width="16.7109375" style="1392" customWidth="1"/>
    <col min="3084" max="3084" width="13.28515625" style="1392" customWidth="1"/>
    <col min="3085" max="3085" width="9.85546875" style="1392" customWidth="1"/>
    <col min="3086" max="3086" width="11" style="1392" customWidth="1"/>
    <col min="3087" max="3088" width="9.7109375" style="1392" customWidth="1"/>
    <col min="3089" max="3089" width="10" style="1392" customWidth="1"/>
    <col min="3090" max="3091" width="17" style="1392" customWidth="1"/>
    <col min="3092" max="3328" width="8.85546875" style="1392"/>
    <col min="3329" max="3329" width="58.7109375" style="1392" customWidth="1"/>
    <col min="3330" max="3330" width="23" style="1392" customWidth="1"/>
    <col min="3331" max="3331" width="17.5703125" style="1392" customWidth="1"/>
    <col min="3332" max="3332" width="29.85546875" style="1392" customWidth="1"/>
    <col min="3333" max="3333" width="29" style="1392" customWidth="1"/>
    <col min="3334" max="3334" width="27.7109375" style="1392" customWidth="1"/>
    <col min="3335" max="3335" width="22.28515625" style="1392" customWidth="1"/>
    <col min="3336" max="3336" width="28.5703125" style="1392" customWidth="1"/>
    <col min="3337" max="3337" width="23.28515625" style="1392" customWidth="1"/>
    <col min="3338" max="3338" width="25" style="1392" customWidth="1"/>
    <col min="3339" max="3339" width="16.7109375" style="1392" customWidth="1"/>
    <col min="3340" max="3340" width="13.28515625" style="1392" customWidth="1"/>
    <col min="3341" max="3341" width="9.85546875" style="1392" customWidth="1"/>
    <col min="3342" max="3342" width="11" style="1392" customWidth="1"/>
    <col min="3343" max="3344" width="9.7109375" style="1392" customWidth="1"/>
    <col min="3345" max="3345" width="10" style="1392" customWidth="1"/>
    <col min="3346" max="3347" width="17" style="1392" customWidth="1"/>
    <col min="3348" max="3584" width="8.85546875" style="1392"/>
    <col min="3585" max="3585" width="58.7109375" style="1392" customWidth="1"/>
    <col min="3586" max="3586" width="23" style="1392" customWidth="1"/>
    <col min="3587" max="3587" width="17.5703125" style="1392" customWidth="1"/>
    <col min="3588" max="3588" width="29.85546875" style="1392" customWidth="1"/>
    <col min="3589" max="3589" width="29" style="1392" customWidth="1"/>
    <col min="3590" max="3590" width="27.7109375" style="1392" customWidth="1"/>
    <col min="3591" max="3591" width="22.28515625" style="1392" customWidth="1"/>
    <col min="3592" max="3592" width="28.5703125" style="1392" customWidth="1"/>
    <col min="3593" max="3593" width="23.28515625" style="1392" customWidth="1"/>
    <col min="3594" max="3594" width="25" style="1392" customWidth="1"/>
    <col min="3595" max="3595" width="16.7109375" style="1392" customWidth="1"/>
    <col min="3596" max="3596" width="13.28515625" style="1392" customWidth="1"/>
    <col min="3597" max="3597" width="9.85546875" style="1392" customWidth="1"/>
    <col min="3598" max="3598" width="11" style="1392" customWidth="1"/>
    <col min="3599" max="3600" width="9.7109375" style="1392" customWidth="1"/>
    <col min="3601" max="3601" width="10" style="1392" customWidth="1"/>
    <col min="3602" max="3603" width="17" style="1392" customWidth="1"/>
    <col min="3604" max="3840" width="8.85546875" style="1392"/>
    <col min="3841" max="3841" width="58.7109375" style="1392" customWidth="1"/>
    <col min="3842" max="3842" width="23" style="1392" customWidth="1"/>
    <col min="3843" max="3843" width="17.5703125" style="1392" customWidth="1"/>
    <col min="3844" max="3844" width="29.85546875" style="1392" customWidth="1"/>
    <col min="3845" max="3845" width="29" style="1392" customWidth="1"/>
    <col min="3846" max="3846" width="27.7109375" style="1392" customWidth="1"/>
    <col min="3847" max="3847" width="22.28515625" style="1392" customWidth="1"/>
    <col min="3848" max="3848" width="28.5703125" style="1392" customWidth="1"/>
    <col min="3849" max="3849" width="23.28515625" style="1392" customWidth="1"/>
    <col min="3850" max="3850" width="25" style="1392" customWidth="1"/>
    <col min="3851" max="3851" width="16.7109375" style="1392" customWidth="1"/>
    <col min="3852" max="3852" width="13.28515625" style="1392" customWidth="1"/>
    <col min="3853" max="3853" width="9.85546875" style="1392" customWidth="1"/>
    <col min="3854" max="3854" width="11" style="1392" customWidth="1"/>
    <col min="3855" max="3856" width="9.7109375" style="1392" customWidth="1"/>
    <col min="3857" max="3857" width="10" style="1392" customWidth="1"/>
    <col min="3858" max="3859" width="17" style="1392" customWidth="1"/>
    <col min="3860" max="4096" width="8.85546875" style="1392"/>
    <col min="4097" max="4097" width="58.7109375" style="1392" customWidth="1"/>
    <col min="4098" max="4098" width="23" style="1392" customWidth="1"/>
    <col min="4099" max="4099" width="17.5703125" style="1392" customWidth="1"/>
    <col min="4100" max="4100" width="29.85546875" style="1392" customWidth="1"/>
    <col min="4101" max="4101" width="29" style="1392" customWidth="1"/>
    <col min="4102" max="4102" width="27.7109375" style="1392" customWidth="1"/>
    <col min="4103" max="4103" width="22.28515625" style="1392" customWidth="1"/>
    <col min="4104" max="4104" width="28.5703125" style="1392" customWidth="1"/>
    <col min="4105" max="4105" width="23.28515625" style="1392" customWidth="1"/>
    <col min="4106" max="4106" width="25" style="1392" customWidth="1"/>
    <col min="4107" max="4107" width="16.7109375" style="1392" customWidth="1"/>
    <col min="4108" max="4108" width="13.28515625" style="1392" customWidth="1"/>
    <col min="4109" max="4109" width="9.85546875" style="1392" customWidth="1"/>
    <col min="4110" max="4110" width="11" style="1392" customWidth="1"/>
    <col min="4111" max="4112" width="9.7109375" style="1392" customWidth="1"/>
    <col min="4113" max="4113" width="10" style="1392" customWidth="1"/>
    <col min="4114" max="4115" width="17" style="1392" customWidth="1"/>
    <col min="4116" max="4352" width="8.85546875" style="1392"/>
    <col min="4353" max="4353" width="58.7109375" style="1392" customWidth="1"/>
    <col min="4354" max="4354" width="23" style="1392" customWidth="1"/>
    <col min="4355" max="4355" width="17.5703125" style="1392" customWidth="1"/>
    <col min="4356" max="4356" width="29.85546875" style="1392" customWidth="1"/>
    <col min="4357" max="4357" width="29" style="1392" customWidth="1"/>
    <col min="4358" max="4358" width="27.7109375" style="1392" customWidth="1"/>
    <col min="4359" max="4359" width="22.28515625" style="1392" customWidth="1"/>
    <col min="4360" max="4360" width="28.5703125" style="1392" customWidth="1"/>
    <col min="4361" max="4361" width="23.28515625" style="1392" customWidth="1"/>
    <col min="4362" max="4362" width="25" style="1392" customWidth="1"/>
    <col min="4363" max="4363" width="16.7109375" style="1392" customWidth="1"/>
    <col min="4364" max="4364" width="13.28515625" style="1392" customWidth="1"/>
    <col min="4365" max="4365" width="9.85546875" style="1392" customWidth="1"/>
    <col min="4366" max="4366" width="11" style="1392" customWidth="1"/>
    <col min="4367" max="4368" width="9.7109375" style="1392" customWidth="1"/>
    <col min="4369" max="4369" width="10" style="1392" customWidth="1"/>
    <col min="4370" max="4371" width="17" style="1392" customWidth="1"/>
    <col min="4372" max="4608" width="8.85546875" style="1392"/>
    <col min="4609" max="4609" width="58.7109375" style="1392" customWidth="1"/>
    <col min="4610" max="4610" width="23" style="1392" customWidth="1"/>
    <col min="4611" max="4611" width="17.5703125" style="1392" customWidth="1"/>
    <col min="4612" max="4612" width="29.85546875" style="1392" customWidth="1"/>
    <col min="4613" max="4613" width="29" style="1392" customWidth="1"/>
    <col min="4614" max="4614" width="27.7109375" style="1392" customWidth="1"/>
    <col min="4615" max="4615" width="22.28515625" style="1392" customWidth="1"/>
    <col min="4616" max="4616" width="28.5703125" style="1392" customWidth="1"/>
    <col min="4617" max="4617" width="23.28515625" style="1392" customWidth="1"/>
    <col min="4618" max="4618" width="25" style="1392" customWidth="1"/>
    <col min="4619" max="4619" width="16.7109375" style="1392" customWidth="1"/>
    <col min="4620" max="4620" width="13.28515625" style="1392" customWidth="1"/>
    <col min="4621" max="4621" width="9.85546875" style="1392" customWidth="1"/>
    <col min="4622" max="4622" width="11" style="1392" customWidth="1"/>
    <col min="4623" max="4624" width="9.7109375" style="1392" customWidth="1"/>
    <col min="4625" max="4625" width="10" style="1392" customWidth="1"/>
    <col min="4626" max="4627" width="17" style="1392" customWidth="1"/>
    <col min="4628" max="4864" width="8.85546875" style="1392"/>
    <col min="4865" max="4865" width="58.7109375" style="1392" customWidth="1"/>
    <col min="4866" max="4866" width="23" style="1392" customWidth="1"/>
    <col min="4867" max="4867" width="17.5703125" style="1392" customWidth="1"/>
    <col min="4868" max="4868" width="29.85546875" style="1392" customWidth="1"/>
    <col min="4869" max="4869" width="29" style="1392" customWidth="1"/>
    <col min="4870" max="4870" width="27.7109375" style="1392" customWidth="1"/>
    <col min="4871" max="4871" width="22.28515625" style="1392" customWidth="1"/>
    <col min="4872" max="4872" width="28.5703125" style="1392" customWidth="1"/>
    <col min="4873" max="4873" width="23.28515625" style="1392" customWidth="1"/>
    <col min="4874" max="4874" width="25" style="1392" customWidth="1"/>
    <col min="4875" max="4875" width="16.7109375" style="1392" customWidth="1"/>
    <col min="4876" max="4876" width="13.28515625" style="1392" customWidth="1"/>
    <col min="4877" max="4877" width="9.85546875" style="1392" customWidth="1"/>
    <col min="4878" max="4878" width="11" style="1392" customWidth="1"/>
    <col min="4879" max="4880" width="9.7109375" style="1392" customWidth="1"/>
    <col min="4881" max="4881" width="10" style="1392" customWidth="1"/>
    <col min="4882" max="4883" width="17" style="1392" customWidth="1"/>
    <col min="4884" max="5120" width="8.85546875" style="1392"/>
    <col min="5121" max="5121" width="58.7109375" style="1392" customWidth="1"/>
    <col min="5122" max="5122" width="23" style="1392" customWidth="1"/>
    <col min="5123" max="5123" width="17.5703125" style="1392" customWidth="1"/>
    <col min="5124" max="5124" width="29.85546875" style="1392" customWidth="1"/>
    <col min="5125" max="5125" width="29" style="1392" customWidth="1"/>
    <col min="5126" max="5126" width="27.7109375" style="1392" customWidth="1"/>
    <col min="5127" max="5127" width="22.28515625" style="1392" customWidth="1"/>
    <col min="5128" max="5128" width="28.5703125" style="1392" customWidth="1"/>
    <col min="5129" max="5129" width="23.28515625" style="1392" customWidth="1"/>
    <col min="5130" max="5130" width="25" style="1392" customWidth="1"/>
    <col min="5131" max="5131" width="16.7109375" style="1392" customWidth="1"/>
    <col min="5132" max="5132" width="13.28515625" style="1392" customWidth="1"/>
    <col min="5133" max="5133" width="9.85546875" style="1392" customWidth="1"/>
    <col min="5134" max="5134" width="11" style="1392" customWidth="1"/>
    <col min="5135" max="5136" width="9.7109375" style="1392" customWidth="1"/>
    <col min="5137" max="5137" width="10" style="1392" customWidth="1"/>
    <col min="5138" max="5139" width="17" style="1392" customWidth="1"/>
    <col min="5140" max="5376" width="8.85546875" style="1392"/>
    <col min="5377" max="5377" width="58.7109375" style="1392" customWidth="1"/>
    <col min="5378" max="5378" width="23" style="1392" customWidth="1"/>
    <col min="5379" max="5379" width="17.5703125" style="1392" customWidth="1"/>
    <col min="5380" max="5380" width="29.85546875" style="1392" customWidth="1"/>
    <col min="5381" max="5381" width="29" style="1392" customWidth="1"/>
    <col min="5382" max="5382" width="27.7109375" style="1392" customWidth="1"/>
    <col min="5383" max="5383" width="22.28515625" style="1392" customWidth="1"/>
    <col min="5384" max="5384" width="28.5703125" style="1392" customWidth="1"/>
    <col min="5385" max="5385" width="23.28515625" style="1392" customWidth="1"/>
    <col min="5386" max="5386" width="25" style="1392" customWidth="1"/>
    <col min="5387" max="5387" width="16.7109375" style="1392" customWidth="1"/>
    <col min="5388" max="5388" width="13.28515625" style="1392" customWidth="1"/>
    <col min="5389" max="5389" width="9.85546875" style="1392" customWidth="1"/>
    <col min="5390" max="5390" width="11" style="1392" customWidth="1"/>
    <col min="5391" max="5392" width="9.7109375" style="1392" customWidth="1"/>
    <col min="5393" max="5393" width="10" style="1392" customWidth="1"/>
    <col min="5394" max="5395" width="17" style="1392" customWidth="1"/>
    <col min="5396" max="5632" width="8.85546875" style="1392"/>
    <col min="5633" max="5633" width="58.7109375" style="1392" customWidth="1"/>
    <col min="5634" max="5634" width="23" style="1392" customWidth="1"/>
    <col min="5635" max="5635" width="17.5703125" style="1392" customWidth="1"/>
    <col min="5636" max="5636" width="29.85546875" style="1392" customWidth="1"/>
    <col min="5637" max="5637" width="29" style="1392" customWidth="1"/>
    <col min="5638" max="5638" width="27.7109375" style="1392" customWidth="1"/>
    <col min="5639" max="5639" width="22.28515625" style="1392" customWidth="1"/>
    <col min="5640" max="5640" width="28.5703125" style="1392" customWidth="1"/>
    <col min="5641" max="5641" width="23.28515625" style="1392" customWidth="1"/>
    <col min="5642" max="5642" width="25" style="1392" customWidth="1"/>
    <col min="5643" max="5643" width="16.7109375" style="1392" customWidth="1"/>
    <col min="5644" max="5644" width="13.28515625" style="1392" customWidth="1"/>
    <col min="5645" max="5645" width="9.85546875" style="1392" customWidth="1"/>
    <col min="5646" max="5646" width="11" style="1392" customWidth="1"/>
    <col min="5647" max="5648" width="9.7109375" style="1392" customWidth="1"/>
    <col min="5649" max="5649" width="10" style="1392" customWidth="1"/>
    <col min="5650" max="5651" width="17" style="1392" customWidth="1"/>
    <col min="5652" max="5888" width="8.85546875" style="1392"/>
    <col min="5889" max="5889" width="58.7109375" style="1392" customWidth="1"/>
    <col min="5890" max="5890" width="23" style="1392" customWidth="1"/>
    <col min="5891" max="5891" width="17.5703125" style="1392" customWidth="1"/>
    <col min="5892" max="5892" width="29.85546875" style="1392" customWidth="1"/>
    <col min="5893" max="5893" width="29" style="1392" customWidth="1"/>
    <col min="5894" max="5894" width="27.7109375" style="1392" customWidth="1"/>
    <col min="5895" max="5895" width="22.28515625" style="1392" customWidth="1"/>
    <col min="5896" max="5896" width="28.5703125" style="1392" customWidth="1"/>
    <col min="5897" max="5897" width="23.28515625" style="1392" customWidth="1"/>
    <col min="5898" max="5898" width="25" style="1392" customWidth="1"/>
    <col min="5899" max="5899" width="16.7109375" style="1392" customWidth="1"/>
    <col min="5900" max="5900" width="13.28515625" style="1392" customWidth="1"/>
    <col min="5901" max="5901" width="9.85546875" style="1392" customWidth="1"/>
    <col min="5902" max="5902" width="11" style="1392" customWidth="1"/>
    <col min="5903" max="5904" width="9.7109375" style="1392" customWidth="1"/>
    <col min="5905" max="5905" width="10" style="1392" customWidth="1"/>
    <col min="5906" max="5907" width="17" style="1392" customWidth="1"/>
    <col min="5908" max="6144" width="8.85546875" style="1392"/>
    <col min="6145" max="6145" width="58.7109375" style="1392" customWidth="1"/>
    <col min="6146" max="6146" width="23" style="1392" customWidth="1"/>
    <col min="6147" max="6147" width="17.5703125" style="1392" customWidth="1"/>
    <col min="6148" max="6148" width="29.85546875" style="1392" customWidth="1"/>
    <col min="6149" max="6149" width="29" style="1392" customWidth="1"/>
    <col min="6150" max="6150" width="27.7109375" style="1392" customWidth="1"/>
    <col min="6151" max="6151" width="22.28515625" style="1392" customWidth="1"/>
    <col min="6152" max="6152" width="28.5703125" style="1392" customWidth="1"/>
    <col min="6153" max="6153" width="23.28515625" style="1392" customWidth="1"/>
    <col min="6154" max="6154" width="25" style="1392" customWidth="1"/>
    <col min="6155" max="6155" width="16.7109375" style="1392" customWidth="1"/>
    <col min="6156" max="6156" width="13.28515625" style="1392" customWidth="1"/>
    <col min="6157" max="6157" width="9.85546875" style="1392" customWidth="1"/>
    <col min="6158" max="6158" width="11" style="1392" customWidth="1"/>
    <col min="6159" max="6160" width="9.7109375" style="1392" customWidth="1"/>
    <col min="6161" max="6161" width="10" style="1392" customWidth="1"/>
    <col min="6162" max="6163" width="17" style="1392" customWidth="1"/>
    <col min="6164" max="6400" width="8.85546875" style="1392"/>
    <col min="6401" max="6401" width="58.7109375" style="1392" customWidth="1"/>
    <col min="6402" max="6402" width="23" style="1392" customWidth="1"/>
    <col min="6403" max="6403" width="17.5703125" style="1392" customWidth="1"/>
    <col min="6404" max="6404" width="29.85546875" style="1392" customWidth="1"/>
    <col min="6405" max="6405" width="29" style="1392" customWidth="1"/>
    <col min="6406" max="6406" width="27.7109375" style="1392" customWidth="1"/>
    <col min="6407" max="6407" width="22.28515625" style="1392" customWidth="1"/>
    <col min="6408" max="6408" width="28.5703125" style="1392" customWidth="1"/>
    <col min="6409" max="6409" width="23.28515625" style="1392" customWidth="1"/>
    <col min="6410" max="6410" width="25" style="1392" customWidth="1"/>
    <col min="6411" max="6411" width="16.7109375" style="1392" customWidth="1"/>
    <col min="6412" max="6412" width="13.28515625" style="1392" customWidth="1"/>
    <col min="6413" max="6413" width="9.85546875" style="1392" customWidth="1"/>
    <col min="6414" max="6414" width="11" style="1392" customWidth="1"/>
    <col min="6415" max="6416" width="9.7109375" style="1392" customWidth="1"/>
    <col min="6417" max="6417" width="10" style="1392" customWidth="1"/>
    <col min="6418" max="6419" width="17" style="1392" customWidth="1"/>
    <col min="6420" max="6656" width="8.85546875" style="1392"/>
    <col min="6657" max="6657" width="58.7109375" style="1392" customWidth="1"/>
    <col min="6658" max="6658" width="23" style="1392" customWidth="1"/>
    <col min="6659" max="6659" width="17.5703125" style="1392" customWidth="1"/>
    <col min="6660" max="6660" width="29.85546875" style="1392" customWidth="1"/>
    <col min="6661" max="6661" width="29" style="1392" customWidth="1"/>
    <col min="6662" max="6662" width="27.7109375" style="1392" customWidth="1"/>
    <col min="6663" max="6663" width="22.28515625" style="1392" customWidth="1"/>
    <col min="6664" max="6664" width="28.5703125" style="1392" customWidth="1"/>
    <col min="6665" max="6665" width="23.28515625" style="1392" customWidth="1"/>
    <col min="6666" max="6666" width="25" style="1392" customWidth="1"/>
    <col min="6667" max="6667" width="16.7109375" style="1392" customWidth="1"/>
    <col min="6668" max="6668" width="13.28515625" style="1392" customWidth="1"/>
    <col min="6669" max="6669" width="9.85546875" style="1392" customWidth="1"/>
    <col min="6670" max="6670" width="11" style="1392" customWidth="1"/>
    <col min="6671" max="6672" width="9.7109375" style="1392" customWidth="1"/>
    <col min="6673" max="6673" width="10" style="1392" customWidth="1"/>
    <col min="6674" max="6675" width="17" style="1392" customWidth="1"/>
    <col min="6676" max="6912" width="8.85546875" style="1392"/>
    <col min="6913" max="6913" width="58.7109375" style="1392" customWidth="1"/>
    <col min="6914" max="6914" width="23" style="1392" customWidth="1"/>
    <col min="6915" max="6915" width="17.5703125" style="1392" customWidth="1"/>
    <col min="6916" max="6916" width="29.85546875" style="1392" customWidth="1"/>
    <col min="6917" max="6917" width="29" style="1392" customWidth="1"/>
    <col min="6918" max="6918" width="27.7109375" style="1392" customWidth="1"/>
    <col min="6919" max="6919" width="22.28515625" style="1392" customWidth="1"/>
    <col min="6920" max="6920" width="28.5703125" style="1392" customWidth="1"/>
    <col min="6921" max="6921" width="23.28515625" style="1392" customWidth="1"/>
    <col min="6922" max="6922" width="25" style="1392" customWidth="1"/>
    <col min="6923" max="6923" width="16.7109375" style="1392" customWidth="1"/>
    <col min="6924" max="6924" width="13.28515625" style="1392" customWidth="1"/>
    <col min="6925" max="6925" width="9.85546875" style="1392" customWidth="1"/>
    <col min="6926" max="6926" width="11" style="1392" customWidth="1"/>
    <col min="6927" max="6928" width="9.7109375" style="1392" customWidth="1"/>
    <col min="6929" max="6929" width="10" style="1392" customWidth="1"/>
    <col min="6930" max="6931" width="17" style="1392" customWidth="1"/>
    <col min="6932" max="7168" width="8.85546875" style="1392"/>
    <col min="7169" max="7169" width="58.7109375" style="1392" customWidth="1"/>
    <col min="7170" max="7170" width="23" style="1392" customWidth="1"/>
    <col min="7171" max="7171" width="17.5703125" style="1392" customWidth="1"/>
    <col min="7172" max="7172" width="29.85546875" style="1392" customWidth="1"/>
    <col min="7173" max="7173" width="29" style="1392" customWidth="1"/>
    <col min="7174" max="7174" width="27.7109375" style="1392" customWidth="1"/>
    <col min="7175" max="7175" width="22.28515625" style="1392" customWidth="1"/>
    <col min="7176" max="7176" width="28.5703125" style="1392" customWidth="1"/>
    <col min="7177" max="7177" width="23.28515625" style="1392" customWidth="1"/>
    <col min="7178" max="7178" width="25" style="1392" customWidth="1"/>
    <col min="7179" max="7179" width="16.7109375" style="1392" customWidth="1"/>
    <col min="7180" max="7180" width="13.28515625" style="1392" customWidth="1"/>
    <col min="7181" max="7181" width="9.85546875" style="1392" customWidth="1"/>
    <col min="7182" max="7182" width="11" style="1392" customWidth="1"/>
    <col min="7183" max="7184" width="9.7109375" style="1392" customWidth="1"/>
    <col min="7185" max="7185" width="10" style="1392" customWidth="1"/>
    <col min="7186" max="7187" width="17" style="1392" customWidth="1"/>
    <col min="7188" max="7424" width="8.85546875" style="1392"/>
    <col min="7425" max="7425" width="58.7109375" style="1392" customWidth="1"/>
    <col min="7426" max="7426" width="23" style="1392" customWidth="1"/>
    <col min="7427" max="7427" width="17.5703125" style="1392" customWidth="1"/>
    <col min="7428" max="7428" width="29.85546875" style="1392" customWidth="1"/>
    <col min="7429" max="7429" width="29" style="1392" customWidth="1"/>
    <col min="7430" max="7430" width="27.7109375" style="1392" customWidth="1"/>
    <col min="7431" max="7431" width="22.28515625" style="1392" customWidth="1"/>
    <col min="7432" max="7432" width="28.5703125" style="1392" customWidth="1"/>
    <col min="7433" max="7433" width="23.28515625" style="1392" customWidth="1"/>
    <col min="7434" max="7434" width="25" style="1392" customWidth="1"/>
    <col min="7435" max="7435" width="16.7109375" style="1392" customWidth="1"/>
    <col min="7436" max="7436" width="13.28515625" style="1392" customWidth="1"/>
    <col min="7437" max="7437" width="9.85546875" style="1392" customWidth="1"/>
    <col min="7438" max="7438" width="11" style="1392" customWidth="1"/>
    <col min="7439" max="7440" width="9.7109375" style="1392" customWidth="1"/>
    <col min="7441" max="7441" width="10" style="1392" customWidth="1"/>
    <col min="7442" max="7443" width="17" style="1392" customWidth="1"/>
    <col min="7444" max="7680" width="8.85546875" style="1392"/>
    <col min="7681" max="7681" width="58.7109375" style="1392" customWidth="1"/>
    <col min="7682" max="7682" width="23" style="1392" customWidth="1"/>
    <col min="7683" max="7683" width="17.5703125" style="1392" customWidth="1"/>
    <col min="7684" max="7684" width="29.85546875" style="1392" customWidth="1"/>
    <col min="7685" max="7685" width="29" style="1392" customWidth="1"/>
    <col min="7686" max="7686" width="27.7109375" style="1392" customWidth="1"/>
    <col min="7687" max="7687" width="22.28515625" style="1392" customWidth="1"/>
    <col min="7688" max="7688" width="28.5703125" style="1392" customWidth="1"/>
    <col min="7689" max="7689" width="23.28515625" style="1392" customWidth="1"/>
    <col min="7690" max="7690" width="25" style="1392" customWidth="1"/>
    <col min="7691" max="7691" width="16.7109375" style="1392" customWidth="1"/>
    <col min="7692" max="7692" width="13.28515625" style="1392" customWidth="1"/>
    <col min="7693" max="7693" width="9.85546875" style="1392" customWidth="1"/>
    <col min="7694" max="7694" width="11" style="1392" customWidth="1"/>
    <col min="7695" max="7696" width="9.7109375" style="1392" customWidth="1"/>
    <col min="7697" max="7697" width="10" style="1392" customWidth="1"/>
    <col min="7698" max="7699" width="17" style="1392" customWidth="1"/>
    <col min="7700" max="7936" width="8.85546875" style="1392"/>
    <col min="7937" max="7937" width="58.7109375" style="1392" customWidth="1"/>
    <col min="7938" max="7938" width="23" style="1392" customWidth="1"/>
    <col min="7939" max="7939" width="17.5703125" style="1392" customWidth="1"/>
    <col min="7940" max="7940" width="29.85546875" style="1392" customWidth="1"/>
    <col min="7941" max="7941" width="29" style="1392" customWidth="1"/>
    <col min="7942" max="7942" width="27.7109375" style="1392" customWidth="1"/>
    <col min="7943" max="7943" width="22.28515625" style="1392" customWidth="1"/>
    <col min="7944" max="7944" width="28.5703125" style="1392" customWidth="1"/>
    <col min="7945" max="7945" width="23.28515625" style="1392" customWidth="1"/>
    <col min="7946" max="7946" width="25" style="1392" customWidth="1"/>
    <col min="7947" max="7947" width="16.7109375" style="1392" customWidth="1"/>
    <col min="7948" max="7948" width="13.28515625" style="1392" customWidth="1"/>
    <col min="7949" max="7949" width="9.85546875" style="1392" customWidth="1"/>
    <col min="7950" max="7950" width="11" style="1392" customWidth="1"/>
    <col min="7951" max="7952" width="9.7109375" style="1392" customWidth="1"/>
    <col min="7953" max="7953" width="10" style="1392" customWidth="1"/>
    <col min="7954" max="7955" width="17" style="1392" customWidth="1"/>
    <col min="7956" max="8192" width="8.85546875" style="1392"/>
    <col min="8193" max="8193" width="58.7109375" style="1392" customWidth="1"/>
    <col min="8194" max="8194" width="23" style="1392" customWidth="1"/>
    <col min="8195" max="8195" width="17.5703125" style="1392" customWidth="1"/>
    <col min="8196" max="8196" width="29.85546875" style="1392" customWidth="1"/>
    <col min="8197" max="8197" width="29" style="1392" customWidth="1"/>
    <col min="8198" max="8198" width="27.7109375" style="1392" customWidth="1"/>
    <col min="8199" max="8199" width="22.28515625" style="1392" customWidth="1"/>
    <col min="8200" max="8200" width="28.5703125" style="1392" customWidth="1"/>
    <col min="8201" max="8201" width="23.28515625" style="1392" customWidth="1"/>
    <col min="8202" max="8202" width="25" style="1392" customWidth="1"/>
    <col min="8203" max="8203" width="16.7109375" style="1392" customWidth="1"/>
    <col min="8204" max="8204" width="13.28515625" style="1392" customWidth="1"/>
    <col min="8205" max="8205" width="9.85546875" style="1392" customWidth="1"/>
    <col min="8206" max="8206" width="11" style="1392" customWidth="1"/>
    <col min="8207" max="8208" width="9.7109375" style="1392" customWidth="1"/>
    <col min="8209" max="8209" width="10" style="1392" customWidth="1"/>
    <col min="8210" max="8211" width="17" style="1392" customWidth="1"/>
    <col min="8212" max="8448" width="8.85546875" style="1392"/>
    <col min="8449" max="8449" width="58.7109375" style="1392" customWidth="1"/>
    <col min="8450" max="8450" width="23" style="1392" customWidth="1"/>
    <col min="8451" max="8451" width="17.5703125" style="1392" customWidth="1"/>
    <col min="8452" max="8452" width="29.85546875" style="1392" customWidth="1"/>
    <col min="8453" max="8453" width="29" style="1392" customWidth="1"/>
    <col min="8454" max="8454" width="27.7109375" style="1392" customWidth="1"/>
    <col min="8455" max="8455" width="22.28515625" style="1392" customWidth="1"/>
    <col min="8456" max="8456" width="28.5703125" style="1392" customWidth="1"/>
    <col min="8457" max="8457" width="23.28515625" style="1392" customWidth="1"/>
    <col min="8458" max="8458" width="25" style="1392" customWidth="1"/>
    <col min="8459" max="8459" width="16.7109375" style="1392" customWidth="1"/>
    <col min="8460" max="8460" width="13.28515625" style="1392" customWidth="1"/>
    <col min="8461" max="8461" width="9.85546875" style="1392" customWidth="1"/>
    <col min="8462" max="8462" width="11" style="1392" customWidth="1"/>
    <col min="8463" max="8464" width="9.7109375" style="1392" customWidth="1"/>
    <col min="8465" max="8465" width="10" style="1392" customWidth="1"/>
    <col min="8466" max="8467" width="17" style="1392" customWidth="1"/>
    <col min="8468" max="8704" width="8.85546875" style="1392"/>
    <col min="8705" max="8705" width="58.7109375" style="1392" customWidth="1"/>
    <col min="8706" max="8706" width="23" style="1392" customWidth="1"/>
    <col min="8707" max="8707" width="17.5703125" style="1392" customWidth="1"/>
    <col min="8708" max="8708" width="29.85546875" style="1392" customWidth="1"/>
    <col min="8709" max="8709" width="29" style="1392" customWidth="1"/>
    <col min="8710" max="8710" width="27.7109375" style="1392" customWidth="1"/>
    <col min="8711" max="8711" width="22.28515625" style="1392" customWidth="1"/>
    <col min="8712" max="8712" width="28.5703125" style="1392" customWidth="1"/>
    <col min="8713" max="8713" width="23.28515625" style="1392" customWidth="1"/>
    <col min="8714" max="8714" width="25" style="1392" customWidth="1"/>
    <col min="8715" max="8715" width="16.7109375" style="1392" customWidth="1"/>
    <col min="8716" max="8716" width="13.28515625" style="1392" customWidth="1"/>
    <col min="8717" max="8717" width="9.85546875" style="1392" customWidth="1"/>
    <col min="8718" max="8718" width="11" style="1392" customWidth="1"/>
    <col min="8719" max="8720" width="9.7109375" style="1392" customWidth="1"/>
    <col min="8721" max="8721" width="10" style="1392" customWidth="1"/>
    <col min="8722" max="8723" width="17" style="1392" customWidth="1"/>
    <col min="8724" max="8960" width="8.85546875" style="1392"/>
    <col min="8961" max="8961" width="58.7109375" style="1392" customWidth="1"/>
    <col min="8962" max="8962" width="23" style="1392" customWidth="1"/>
    <col min="8963" max="8963" width="17.5703125" style="1392" customWidth="1"/>
    <col min="8964" max="8964" width="29.85546875" style="1392" customWidth="1"/>
    <col min="8965" max="8965" width="29" style="1392" customWidth="1"/>
    <col min="8966" max="8966" width="27.7109375" style="1392" customWidth="1"/>
    <col min="8967" max="8967" width="22.28515625" style="1392" customWidth="1"/>
    <col min="8968" max="8968" width="28.5703125" style="1392" customWidth="1"/>
    <col min="8969" max="8969" width="23.28515625" style="1392" customWidth="1"/>
    <col min="8970" max="8970" width="25" style="1392" customWidth="1"/>
    <col min="8971" max="8971" width="16.7109375" style="1392" customWidth="1"/>
    <col min="8972" max="8972" width="13.28515625" style="1392" customWidth="1"/>
    <col min="8973" max="8973" width="9.85546875" style="1392" customWidth="1"/>
    <col min="8974" max="8974" width="11" style="1392" customWidth="1"/>
    <col min="8975" max="8976" width="9.7109375" style="1392" customWidth="1"/>
    <col min="8977" max="8977" width="10" style="1392" customWidth="1"/>
    <col min="8978" max="8979" width="17" style="1392" customWidth="1"/>
    <col min="8980" max="9216" width="8.85546875" style="1392"/>
    <col min="9217" max="9217" width="58.7109375" style="1392" customWidth="1"/>
    <col min="9218" max="9218" width="23" style="1392" customWidth="1"/>
    <col min="9219" max="9219" width="17.5703125" style="1392" customWidth="1"/>
    <col min="9220" max="9220" width="29.85546875" style="1392" customWidth="1"/>
    <col min="9221" max="9221" width="29" style="1392" customWidth="1"/>
    <col min="9222" max="9222" width="27.7109375" style="1392" customWidth="1"/>
    <col min="9223" max="9223" width="22.28515625" style="1392" customWidth="1"/>
    <col min="9224" max="9224" width="28.5703125" style="1392" customWidth="1"/>
    <col min="9225" max="9225" width="23.28515625" style="1392" customWidth="1"/>
    <col min="9226" max="9226" width="25" style="1392" customWidth="1"/>
    <col min="9227" max="9227" width="16.7109375" style="1392" customWidth="1"/>
    <col min="9228" max="9228" width="13.28515625" style="1392" customWidth="1"/>
    <col min="9229" max="9229" width="9.85546875" style="1392" customWidth="1"/>
    <col min="9230" max="9230" width="11" style="1392" customWidth="1"/>
    <col min="9231" max="9232" width="9.7109375" style="1392" customWidth="1"/>
    <col min="9233" max="9233" width="10" style="1392" customWidth="1"/>
    <col min="9234" max="9235" width="17" style="1392" customWidth="1"/>
    <col min="9236" max="9472" width="8.85546875" style="1392"/>
    <col min="9473" max="9473" width="58.7109375" style="1392" customWidth="1"/>
    <col min="9474" max="9474" width="23" style="1392" customWidth="1"/>
    <col min="9475" max="9475" width="17.5703125" style="1392" customWidth="1"/>
    <col min="9476" max="9476" width="29.85546875" style="1392" customWidth="1"/>
    <col min="9477" max="9477" width="29" style="1392" customWidth="1"/>
    <col min="9478" max="9478" width="27.7109375" style="1392" customWidth="1"/>
    <col min="9479" max="9479" width="22.28515625" style="1392" customWidth="1"/>
    <col min="9480" max="9480" width="28.5703125" style="1392" customWidth="1"/>
    <col min="9481" max="9481" width="23.28515625" style="1392" customWidth="1"/>
    <col min="9482" max="9482" width="25" style="1392" customWidth="1"/>
    <col min="9483" max="9483" width="16.7109375" style="1392" customWidth="1"/>
    <col min="9484" max="9484" width="13.28515625" style="1392" customWidth="1"/>
    <col min="9485" max="9485" width="9.85546875" style="1392" customWidth="1"/>
    <col min="9486" max="9486" width="11" style="1392" customWidth="1"/>
    <col min="9487" max="9488" width="9.7109375" style="1392" customWidth="1"/>
    <col min="9489" max="9489" width="10" style="1392" customWidth="1"/>
    <col min="9490" max="9491" width="17" style="1392" customWidth="1"/>
    <col min="9492" max="9728" width="8.85546875" style="1392"/>
    <col min="9729" max="9729" width="58.7109375" style="1392" customWidth="1"/>
    <col min="9730" max="9730" width="23" style="1392" customWidth="1"/>
    <col min="9731" max="9731" width="17.5703125" style="1392" customWidth="1"/>
    <col min="9732" max="9732" width="29.85546875" style="1392" customWidth="1"/>
    <col min="9733" max="9733" width="29" style="1392" customWidth="1"/>
    <col min="9734" max="9734" width="27.7109375" style="1392" customWidth="1"/>
    <col min="9735" max="9735" width="22.28515625" style="1392" customWidth="1"/>
    <col min="9736" max="9736" width="28.5703125" style="1392" customWidth="1"/>
    <col min="9737" max="9737" width="23.28515625" style="1392" customWidth="1"/>
    <col min="9738" max="9738" width="25" style="1392" customWidth="1"/>
    <col min="9739" max="9739" width="16.7109375" style="1392" customWidth="1"/>
    <col min="9740" max="9740" width="13.28515625" style="1392" customWidth="1"/>
    <col min="9741" max="9741" width="9.85546875" style="1392" customWidth="1"/>
    <col min="9742" max="9742" width="11" style="1392" customWidth="1"/>
    <col min="9743" max="9744" width="9.7109375" style="1392" customWidth="1"/>
    <col min="9745" max="9745" width="10" style="1392" customWidth="1"/>
    <col min="9746" max="9747" width="17" style="1392" customWidth="1"/>
    <col min="9748" max="9984" width="8.85546875" style="1392"/>
    <col min="9985" max="9985" width="58.7109375" style="1392" customWidth="1"/>
    <col min="9986" max="9986" width="23" style="1392" customWidth="1"/>
    <col min="9987" max="9987" width="17.5703125" style="1392" customWidth="1"/>
    <col min="9988" max="9988" width="29.85546875" style="1392" customWidth="1"/>
    <col min="9989" max="9989" width="29" style="1392" customWidth="1"/>
    <col min="9990" max="9990" width="27.7109375" style="1392" customWidth="1"/>
    <col min="9991" max="9991" width="22.28515625" style="1392" customWidth="1"/>
    <col min="9992" max="9992" width="28.5703125" style="1392" customWidth="1"/>
    <col min="9993" max="9993" width="23.28515625" style="1392" customWidth="1"/>
    <col min="9994" max="9994" width="25" style="1392" customWidth="1"/>
    <col min="9995" max="9995" width="16.7109375" style="1392" customWidth="1"/>
    <col min="9996" max="9996" width="13.28515625" style="1392" customWidth="1"/>
    <col min="9997" max="9997" width="9.85546875" style="1392" customWidth="1"/>
    <col min="9998" max="9998" width="11" style="1392" customWidth="1"/>
    <col min="9999" max="10000" width="9.7109375" style="1392" customWidth="1"/>
    <col min="10001" max="10001" width="10" style="1392" customWidth="1"/>
    <col min="10002" max="10003" width="17" style="1392" customWidth="1"/>
    <col min="10004" max="10240" width="8.85546875" style="1392"/>
    <col min="10241" max="10241" width="58.7109375" style="1392" customWidth="1"/>
    <col min="10242" max="10242" width="23" style="1392" customWidth="1"/>
    <col min="10243" max="10243" width="17.5703125" style="1392" customWidth="1"/>
    <col min="10244" max="10244" width="29.85546875" style="1392" customWidth="1"/>
    <col min="10245" max="10245" width="29" style="1392" customWidth="1"/>
    <col min="10246" max="10246" width="27.7109375" style="1392" customWidth="1"/>
    <col min="10247" max="10247" width="22.28515625" style="1392" customWidth="1"/>
    <col min="10248" max="10248" width="28.5703125" style="1392" customWidth="1"/>
    <col min="10249" max="10249" width="23.28515625" style="1392" customWidth="1"/>
    <col min="10250" max="10250" width="25" style="1392" customWidth="1"/>
    <col min="10251" max="10251" width="16.7109375" style="1392" customWidth="1"/>
    <col min="10252" max="10252" width="13.28515625" style="1392" customWidth="1"/>
    <col min="10253" max="10253" width="9.85546875" style="1392" customWidth="1"/>
    <col min="10254" max="10254" width="11" style="1392" customWidth="1"/>
    <col min="10255" max="10256" width="9.7109375" style="1392" customWidth="1"/>
    <col min="10257" max="10257" width="10" style="1392" customWidth="1"/>
    <col min="10258" max="10259" width="17" style="1392" customWidth="1"/>
    <col min="10260" max="10496" width="8.85546875" style="1392"/>
    <col min="10497" max="10497" width="58.7109375" style="1392" customWidth="1"/>
    <col min="10498" max="10498" width="23" style="1392" customWidth="1"/>
    <col min="10499" max="10499" width="17.5703125" style="1392" customWidth="1"/>
    <col min="10500" max="10500" width="29.85546875" style="1392" customWidth="1"/>
    <col min="10501" max="10501" width="29" style="1392" customWidth="1"/>
    <col min="10502" max="10502" width="27.7109375" style="1392" customWidth="1"/>
    <col min="10503" max="10503" width="22.28515625" style="1392" customWidth="1"/>
    <col min="10504" max="10504" width="28.5703125" style="1392" customWidth="1"/>
    <col min="10505" max="10505" width="23.28515625" style="1392" customWidth="1"/>
    <col min="10506" max="10506" width="25" style="1392" customWidth="1"/>
    <col min="10507" max="10507" width="16.7109375" style="1392" customWidth="1"/>
    <col min="10508" max="10508" width="13.28515625" style="1392" customWidth="1"/>
    <col min="10509" max="10509" width="9.85546875" style="1392" customWidth="1"/>
    <col min="10510" max="10510" width="11" style="1392" customWidth="1"/>
    <col min="10511" max="10512" width="9.7109375" style="1392" customWidth="1"/>
    <col min="10513" max="10513" width="10" style="1392" customWidth="1"/>
    <col min="10514" max="10515" width="17" style="1392" customWidth="1"/>
    <col min="10516" max="10752" width="8.85546875" style="1392"/>
    <col min="10753" max="10753" width="58.7109375" style="1392" customWidth="1"/>
    <col min="10754" max="10754" width="23" style="1392" customWidth="1"/>
    <col min="10755" max="10755" width="17.5703125" style="1392" customWidth="1"/>
    <col min="10756" max="10756" width="29.85546875" style="1392" customWidth="1"/>
    <col min="10757" max="10757" width="29" style="1392" customWidth="1"/>
    <col min="10758" max="10758" width="27.7109375" style="1392" customWidth="1"/>
    <col min="10759" max="10759" width="22.28515625" style="1392" customWidth="1"/>
    <col min="10760" max="10760" width="28.5703125" style="1392" customWidth="1"/>
    <col min="10761" max="10761" width="23.28515625" style="1392" customWidth="1"/>
    <col min="10762" max="10762" width="25" style="1392" customWidth="1"/>
    <col min="10763" max="10763" width="16.7109375" style="1392" customWidth="1"/>
    <col min="10764" max="10764" width="13.28515625" style="1392" customWidth="1"/>
    <col min="10765" max="10765" width="9.85546875" style="1392" customWidth="1"/>
    <col min="10766" max="10766" width="11" style="1392" customWidth="1"/>
    <col min="10767" max="10768" width="9.7109375" style="1392" customWidth="1"/>
    <col min="10769" max="10769" width="10" style="1392" customWidth="1"/>
    <col min="10770" max="10771" width="17" style="1392" customWidth="1"/>
    <col min="10772" max="11008" width="8.85546875" style="1392"/>
    <col min="11009" max="11009" width="58.7109375" style="1392" customWidth="1"/>
    <col min="11010" max="11010" width="23" style="1392" customWidth="1"/>
    <col min="11011" max="11011" width="17.5703125" style="1392" customWidth="1"/>
    <col min="11012" max="11012" width="29.85546875" style="1392" customWidth="1"/>
    <col min="11013" max="11013" width="29" style="1392" customWidth="1"/>
    <col min="11014" max="11014" width="27.7109375" style="1392" customWidth="1"/>
    <col min="11015" max="11015" width="22.28515625" style="1392" customWidth="1"/>
    <col min="11016" max="11016" width="28.5703125" style="1392" customWidth="1"/>
    <col min="11017" max="11017" width="23.28515625" style="1392" customWidth="1"/>
    <col min="11018" max="11018" width="25" style="1392" customWidth="1"/>
    <col min="11019" max="11019" width="16.7109375" style="1392" customWidth="1"/>
    <col min="11020" max="11020" width="13.28515625" style="1392" customWidth="1"/>
    <col min="11021" max="11021" width="9.85546875" style="1392" customWidth="1"/>
    <col min="11022" max="11022" width="11" style="1392" customWidth="1"/>
    <col min="11023" max="11024" width="9.7109375" style="1392" customWidth="1"/>
    <col min="11025" max="11025" width="10" style="1392" customWidth="1"/>
    <col min="11026" max="11027" width="17" style="1392" customWidth="1"/>
    <col min="11028" max="11264" width="8.85546875" style="1392"/>
    <col min="11265" max="11265" width="58.7109375" style="1392" customWidth="1"/>
    <col min="11266" max="11266" width="23" style="1392" customWidth="1"/>
    <col min="11267" max="11267" width="17.5703125" style="1392" customWidth="1"/>
    <col min="11268" max="11268" width="29.85546875" style="1392" customWidth="1"/>
    <col min="11269" max="11269" width="29" style="1392" customWidth="1"/>
    <col min="11270" max="11270" width="27.7109375" style="1392" customWidth="1"/>
    <col min="11271" max="11271" width="22.28515625" style="1392" customWidth="1"/>
    <col min="11272" max="11272" width="28.5703125" style="1392" customWidth="1"/>
    <col min="11273" max="11273" width="23.28515625" style="1392" customWidth="1"/>
    <col min="11274" max="11274" width="25" style="1392" customWidth="1"/>
    <col min="11275" max="11275" width="16.7109375" style="1392" customWidth="1"/>
    <col min="11276" max="11276" width="13.28515625" style="1392" customWidth="1"/>
    <col min="11277" max="11277" width="9.85546875" style="1392" customWidth="1"/>
    <col min="11278" max="11278" width="11" style="1392" customWidth="1"/>
    <col min="11279" max="11280" width="9.7109375" style="1392" customWidth="1"/>
    <col min="11281" max="11281" width="10" style="1392" customWidth="1"/>
    <col min="11282" max="11283" width="17" style="1392" customWidth="1"/>
    <col min="11284" max="11520" width="8.85546875" style="1392"/>
    <col min="11521" max="11521" width="58.7109375" style="1392" customWidth="1"/>
    <col min="11522" max="11522" width="23" style="1392" customWidth="1"/>
    <col min="11523" max="11523" width="17.5703125" style="1392" customWidth="1"/>
    <col min="11524" max="11524" width="29.85546875" style="1392" customWidth="1"/>
    <col min="11525" max="11525" width="29" style="1392" customWidth="1"/>
    <col min="11526" max="11526" width="27.7109375" style="1392" customWidth="1"/>
    <col min="11527" max="11527" width="22.28515625" style="1392" customWidth="1"/>
    <col min="11528" max="11528" width="28.5703125" style="1392" customWidth="1"/>
    <col min="11529" max="11529" width="23.28515625" style="1392" customWidth="1"/>
    <col min="11530" max="11530" width="25" style="1392" customWidth="1"/>
    <col min="11531" max="11531" width="16.7109375" style="1392" customWidth="1"/>
    <col min="11532" max="11532" width="13.28515625" style="1392" customWidth="1"/>
    <col min="11533" max="11533" width="9.85546875" style="1392" customWidth="1"/>
    <col min="11534" max="11534" width="11" style="1392" customWidth="1"/>
    <col min="11535" max="11536" width="9.7109375" style="1392" customWidth="1"/>
    <col min="11537" max="11537" width="10" style="1392" customWidth="1"/>
    <col min="11538" max="11539" width="17" style="1392" customWidth="1"/>
    <col min="11540" max="11776" width="8.85546875" style="1392"/>
    <col min="11777" max="11777" width="58.7109375" style="1392" customWidth="1"/>
    <col min="11778" max="11778" width="23" style="1392" customWidth="1"/>
    <col min="11779" max="11779" width="17.5703125" style="1392" customWidth="1"/>
    <col min="11780" max="11780" width="29.85546875" style="1392" customWidth="1"/>
    <col min="11781" max="11781" width="29" style="1392" customWidth="1"/>
    <col min="11782" max="11782" width="27.7109375" style="1392" customWidth="1"/>
    <col min="11783" max="11783" width="22.28515625" style="1392" customWidth="1"/>
    <col min="11784" max="11784" width="28.5703125" style="1392" customWidth="1"/>
    <col min="11785" max="11785" width="23.28515625" style="1392" customWidth="1"/>
    <col min="11786" max="11786" width="25" style="1392" customWidth="1"/>
    <col min="11787" max="11787" width="16.7109375" style="1392" customWidth="1"/>
    <col min="11788" max="11788" width="13.28515625" style="1392" customWidth="1"/>
    <col min="11789" max="11789" width="9.85546875" style="1392" customWidth="1"/>
    <col min="11790" max="11790" width="11" style="1392" customWidth="1"/>
    <col min="11791" max="11792" width="9.7109375" style="1392" customWidth="1"/>
    <col min="11793" max="11793" width="10" style="1392" customWidth="1"/>
    <col min="11794" max="11795" width="17" style="1392" customWidth="1"/>
    <col min="11796" max="12032" width="8.85546875" style="1392"/>
    <col min="12033" max="12033" width="58.7109375" style="1392" customWidth="1"/>
    <col min="12034" max="12034" width="23" style="1392" customWidth="1"/>
    <col min="12035" max="12035" width="17.5703125" style="1392" customWidth="1"/>
    <col min="12036" max="12036" width="29.85546875" style="1392" customWidth="1"/>
    <col min="12037" max="12037" width="29" style="1392" customWidth="1"/>
    <col min="12038" max="12038" width="27.7109375" style="1392" customWidth="1"/>
    <col min="12039" max="12039" width="22.28515625" style="1392" customWidth="1"/>
    <col min="12040" max="12040" width="28.5703125" style="1392" customWidth="1"/>
    <col min="12041" max="12041" width="23.28515625" style="1392" customWidth="1"/>
    <col min="12042" max="12042" width="25" style="1392" customWidth="1"/>
    <col min="12043" max="12043" width="16.7109375" style="1392" customWidth="1"/>
    <col min="12044" max="12044" width="13.28515625" style="1392" customWidth="1"/>
    <col min="12045" max="12045" width="9.85546875" style="1392" customWidth="1"/>
    <col min="12046" max="12046" width="11" style="1392" customWidth="1"/>
    <col min="12047" max="12048" width="9.7109375" style="1392" customWidth="1"/>
    <col min="12049" max="12049" width="10" style="1392" customWidth="1"/>
    <col min="12050" max="12051" width="17" style="1392" customWidth="1"/>
    <col min="12052" max="12288" width="8.85546875" style="1392"/>
    <col min="12289" max="12289" width="58.7109375" style="1392" customWidth="1"/>
    <col min="12290" max="12290" width="23" style="1392" customWidth="1"/>
    <col min="12291" max="12291" width="17.5703125" style="1392" customWidth="1"/>
    <col min="12292" max="12292" width="29.85546875" style="1392" customWidth="1"/>
    <col min="12293" max="12293" width="29" style="1392" customWidth="1"/>
    <col min="12294" max="12294" width="27.7109375" style="1392" customWidth="1"/>
    <col min="12295" max="12295" width="22.28515625" style="1392" customWidth="1"/>
    <col min="12296" max="12296" width="28.5703125" style="1392" customWidth="1"/>
    <col min="12297" max="12297" width="23.28515625" style="1392" customWidth="1"/>
    <col min="12298" max="12298" width="25" style="1392" customWidth="1"/>
    <col min="12299" max="12299" width="16.7109375" style="1392" customWidth="1"/>
    <col min="12300" max="12300" width="13.28515625" style="1392" customWidth="1"/>
    <col min="12301" max="12301" width="9.85546875" style="1392" customWidth="1"/>
    <col min="12302" max="12302" width="11" style="1392" customWidth="1"/>
    <col min="12303" max="12304" width="9.7109375" style="1392" customWidth="1"/>
    <col min="12305" max="12305" width="10" style="1392" customWidth="1"/>
    <col min="12306" max="12307" width="17" style="1392" customWidth="1"/>
    <col min="12308" max="12544" width="8.85546875" style="1392"/>
    <col min="12545" max="12545" width="58.7109375" style="1392" customWidth="1"/>
    <col min="12546" max="12546" width="23" style="1392" customWidth="1"/>
    <col min="12547" max="12547" width="17.5703125" style="1392" customWidth="1"/>
    <col min="12548" max="12548" width="29.85546875" style="1392" customWidth="1"/>
    <col min="12549" max="12549" width="29" style="1392" customWidth="1"/>
    <col min="12550" max="12550" width="27.7109375" style="1392" customWidth="1"/>
    <col min="12551" max="12551" width="22.28515625" style="1392" customWidth="1"/>
    <col min="12552" max="12552" width="28.5703125" style="1392" customWidth="1"/>
    <col min="12553" max="12553" width="23.28515625" style="1392" customWidth="1"/>
    <col min="12554" max="12554" width="25" style="1392" customWidth="1"/>
    <col min="12555" max="12555" width="16.7109375" style="1392" customWidth="1"/>
    <col min="12556" max="12556" width="13.28515625" style="1392" customWidth="1"/>
    <col min="12557" max="12557" width="9.85546875" style="1392" customWidth="1"/>
    <col min="12558" max="12558" width="11" style="1392" customWidth="1"/>
    <col min="12559" max="12560" width="9.7109375" style="1392" customWidth="1"/>
    <col min="12561" max="12561" width="10" style="1392" customWidth="1"/>
    <col min="12562" max="12563" width="17" style="1392" customWidth="1"/>
    <col min="12564" max="12800" width="8.85546875" style="1392"/>
    <col min="12801" max="12801" width="58.7109375" style="1392" customWidth="1"/>
    <col min="12802" max="12802" width="23" style="1392" customWidth="1"/>
    <col min="12803" max="12803" width="17.5703125" style="1392" customWidth="1"/>
    <col min="12804" max="12804" width="29.85546875" style="1392" customWidth="1"/>
    <col min="12805" max="12805" width="29" style="1392" customWidth="1"/>
    <col min="12806" max="12806" width="27.7109375" style="1392" customWidth="1"/>
    <col min="12807" max="12807" width="22.28515625" style="1392" customWidth="1"/>
    <col min="12808" max="12808" width="28.5703125" style="1392" customWidth="1"/>
    <col min="12809" max="12809" width="23.28515625" style="1392" customWidth="1"/>
    <col min="12810" max="12810" width="25" style="1392" customWidth="1"/>
    <col min="12811" max="12811" width="16.7109375" style="1392" customWidth="1"/>
    <col min="12812" max="12812" width="13.28515625" style="1392" customWidth="1"/>
    <col min="12813" max="12813" width="9.85546875" style="1392" customWidth="1"/>
    <col min="12814" max="12814" width="11" style="1392" customWidth="1"/>
    <col min="12815" max="12816" width="9.7109375" style="1392" customWidth="1"/>
    <col min="12817" max="12817" width="10" style="1392" customWidth="1"/>
    <col min="12818" max="12819" width="17" style="1392" customWidth="1"/>
    <col min="12820" max="13056" width="8.85546875" style="1392"/>
    <col min="13057" max="13057" width="58.7109375" style="1392" customWidth="1"/>
    <col min="13058" max="13058" width="23" style="1392" customWidth="1"/>
    <col min="13059" max="13059" width="17.5703125" style="1392" customWidth="1"/>
    <col min="13060" max="13060" width="29.85546875" style="1392" customWidth="1"/>
    <col min="13061" max="13061" width="29" style="1392" customWidth="1"/>
    <col min="13062" max="13062" width="27.7109375" style="1392" customWidth="1"/>
    <col min="13063" max="13063" width="22.28515625" style="1392" customWidth="1"/>
    <col min="13064" max="13064" width="28.5703125" style="1392" customWidth="1"/>
    <col min="13065" max="13065" width="23.28515625" style="1392" customWidth="1"/>
    <col min="13066" max="13066" width="25" style="1392" customWidth="1"/>
    <col min="13067" max="13067" width="16.7109375" style="1392" customWidth="1"/>
    <col min="13068" max="13068" width="13.28515625" style="1392" customWidth="1"/>
    <col min="13069" max="13069" width="9.85546875" style="1392" customWidth="1"/>
    <col min="13070" max="13070" width="11" style="1392" customWidth="1"/>
    <col min="13071" max="13072" width="9.7109375" style="1392" customWidth="1"/>
    <col min="13073" max="13073" width="10" style="1392" customWidth="1"/>
    <col min="13074" max="13075" width="17" style="1392" customWidth="1"/>
    <col min="13076" max="13312" width="8.85546875" style="1392"/>
    <col min="13313" max="13313" width="58.7109375" style="1392" customWidth="1"/>
    <col min="13314" max="13314" width="23" style="1392" customWidth="1"/>
    <col min="13315" max="13315" width="17.5703125" style="1392" customWidth="1"/>
    <col min="13316" max="13316" width="29.85546875" style="1392" customWidth="1"/>
    <col min="13317" max="13317" width="29" style="1392" customWidth="1"/>
    <col min="13318" max="13318" width="27.7109375" style="1392" customWidth="1"/>
    <col min="13319" max="13319" width="22.28515625" style="1392" customWidth="1"/>
    <col min="13320" max="13320" width="28.5703125" style="1392" customWidth="1"/>
    <col min="13321" max="13321" width="23.28515625" style="1392" customWidth="1"/>
    <col min="13322" max="13322" width="25" style="1392" customWidth="1"/>
    <col min="13323" max="13323" width="16.7109375" style="1392" customWidth="1"/>
    <col min="13324" max="13324" width="13.28515625" style="1392" customWidth="1"/>
    <col min="13325" max="13325" width="9.85546875" style="1392" customWidth="1"/>
    <col min="13326" max="13326" width="11" style="1392" customWidth="1"/>
    <col min="13327" max="13328" width="9.7109375" style="1392" customWidth="1"/>
    <col min="13329" max="13329" width="10" style="1392" customWidth="1"/>
    <col min="13330" max="13331" width="17" style="1392" customWidth="1"/>
    <col min="13332" max="13568" width="8.85546875" style="1392"/>
    <col min="13569" max="13569" width="58.7109375" style="1392" customWidth="1"/>
    <col min="13570" max="13570" width="23" style="1392" customWidth="1"/>
    <col min="13571" max="13571" width="17.5703125" style="1392" customWidth="1"/>
    <col min="13572" max="13572" width="29.85546875" style="1392" customWidth="1"/>
    <col min="13573" max="13573" width="29" style="1392" customWidth="1"/>
    <col min="13574" max="13574" width="27.7109375" style="1392" customWidth="1"/>
    <col min="13575" max="13575" width="22.28515625" style="1392" customWidth="1"/>
    <col min="13576" max="13576" width="28.5703125" style="1392" customWidth="1"/>
    <col min="13577" max="13577" width="23.28515625" style="1392" customWidth="1"/>
    <col min="13578" max="13578" width="25" style="1392" customWidth="1"/>
    <col min="13579" max="13579" width="16.7109375" style="1392" customWidth="1"/>
    <col min="13580" max="13580" width="13.28515625" style="1392" customWidth="1"/>
    <col min="13581" max="13581" width="9.85546875" style="1392" customWidth="1"/>
    <col min="13582" max="13582" width="11" style="1392" customWidth="1"/>
    <col min="13583" max="13584" width="9.7109375" style="1392" customWidth="1"/>
    <col min="13585" max="13585" width="10" style="1392" customWidth="1"/>
    <col min="13586" max="13587" width="17" style="1392" customWidth="1"/>
    <col min="13588" max="13824" width="8.85546875" style="1392"/>
    <col min="13825" max="13825" width="58.7109375" style="1392" customWidth="1"/>
    <col min="13826" max="13826" width="23" style="1392" customWidth="1"/>
    <col min="13827" max="13827" width="17.5703125" style="1392" customWidth="1"/>
    <col min="13828" max="13828" width="29.85546875" style="1392" customWidth="1"/>
    <col min="13829" max="13829" width="29" style="1392" customWidth="1"/>
    <col min="13830" max="13830" width="27.7109375" style="1392" customWidth="1"/>
    <col min="13831" max="13831" width="22.28515625" style="1392" customWidth="1"/>
    <col min="13832" max="13832" width="28.5703125" style="1392" customWidth="1"/>
    <col min="13833" max="13833" width="23.28515625" style="1392" customWidth="1"/>
    <col min="13834" max="13834" width="25" style="1392" customWidth="1"/>
    <col min="13835" max="13835" width="16.7109375" style="1392" customWidth="1"/>
    <col min="13836" max="13836" width="13.28515625" style="1392" customWidth="1"/>
    <col min="13837" max="13837" width="9.85546875" style="1392" customWidth="1"/>
    <col min="13838" max="13838" width="11" style="1392" customWidth="1"/>
    <col min="13839" max="13840" width="9.7109375" style="1392" customWidth="1"/>
    <col min="13841" max="13841" width="10" style="1392" customWidth="1"/>
    <col min="13842" max="13843" width="17" style="1392" customWidth="1"/>
    <col min="13844" max="14080" width="8.85546875" style="1392"/>
    <col min="14081" max="14081" width="58.7109375" style="1392" customWidth="1"/>
    <col min="14082" max="14082" width="23" style="1392" customWidth="1"/>
    <col min="14083" max="14083" width="17.5703125" style="1392" customWidth="1"/>
    <col min="14084" max="14084" width="29.85546875" style="1392" customWidth="1"/>
    <col min="14085" max="14085" width="29" style="1392" customWidth="1"/>
    <col min="14086" max="14086" width="27.7109375" style="1392" customWidth="1"/>
    <col min="14087" max="14087" width="22.28515625" style="1392" customWidth="1"/>
    <col min="14088" max="14088" width="28.5703125" style="1392" customWidth="1"/>
    <col min="14089" max="14089" width="23.28515625" style="1392" customWidth="1"/>
    <col min="14090" max="14090" width="25" style="1392" customWidth="1"/>
    <col min="14091" max="14091" width="16.7109375" style="1392" customWidth="1"/>
    <col min="14092" max="14092" width="13.28515625" style="1392" customWidth="1"/>
    <col min="14093" max="14093" width="9.85546875" style="1392" customWidth="1"/>
    <col min="14094" max="14094" width="11" style="1392" customWidth="1"/>
    <col min="14095" max="14096" width="9.7109375" style="1392" customWidth="1"/>
    <col min="14097" max="14097" width="10" style="1392" customWidth="1"/>
    <col min="14098" max="14099" width="17" style="1392" customWidth="1"/>
    <col min="14100" max="14336" width="8.85546875" style="1392"/>
    <col min="14337" max="14337" width="58.7109375" style="1392" customWidth="1"/>
    <col min="14338" max="14338" width="23" style="1392" customWidth="1"/>
    <col min="14339" max="14339" width="17.5703125" style="1392" customWidth="1"/>
    <col min="14340" max="14340" width="29.85546875" style="1392" customWidth="1"/>
    <col min="14341" max="14341" width="29" style="1392" customWidth="1"/>
    <col min="14342" max="14342" width="27.7109375" style="1392" customWidth="1"/>
    <col min="14343" max="14343" width="22.28515625" style="1392" customWidth="1"/>
    <col min="14344" max="14344" width="28.5703125" style="1392" customWidth="1"/>
    <col min="14345" max="14345" width="23.28515625" style="1392" customWidth="1"/>
    <col min="14346" max="14346" width="25" style="1392" customWidth="1"/>
    <col min="14347" max="14347" width="16.7109375" style="1392" customWidth="1"/>
    <col min="14348" max="14348" width="13.28515625" style="1392" customWidth="1"/>
    <col min="14349" max="14349" width="9.85546875" style="1392" customWidth="1"/>
    <col min="14350" max="14350" width="11" style="1392" customWidth="1"/>
    <col min="14351" max="14352" width="9.7109375" style="1392" customWidth="1"/>
    <col min="14353" max="14353" width="10" style="1392" customWidth="1"/>
    <col min="14354" max="14355" width="17" style="1392" customWidth="1"/>
    <col min="14356" max="14592" width="8.85546875" style="1392"/>
    <col min="14593" max="14593" width="58.7109375" style="1392" customWidth="1"/>
    <col min="14594" max="14594" width="23" style="1392" customWidth="1"/>
    <col min="14595" max="14595" width="17.5703125" style="1392" customWidth="1"/>
    <col min="14596" max="14596" width="29.85546875" style="1392" customWidth="1"/>
    <col min="14597" max="14597" width="29" style="1392" customWidth="1"/>
    <col min="14598" max="14598" width="27.7109375" style="1392" customWidth="1"/>
    <col min="14599" max="14599" width="22.28515625" style="1392" customWidth="1"/>
    <col min="14600" max="14600" width="28.5703125" style="1392" customWidth="1"/>
    <col min="14601" max="14601" width="23.28515625" style="1392" customWidth="1"/>
    <col min="14602" max="14602" width="25" style="1392" customWidth="1"/>
    <col min="14603" max="14603" width="16.7109375" style="1392" customWidth="1"/>
    <col min="14604" max="14604" width="13.28515625" style="1392" customWidth="1"/>
    <col min="14605" max="14605" width="9.85546875" style="1392" customWidth="1"/>
    <col min="14606" max="14606" width="11" style="1392" customWidth="1"/>
    <col min="14607" max="14608" width="9.7109375" style="1392" customWidth="1"/>
    <col min="14609" max="14609" width="10" style="1392" customWidth="1"/>
    <col min="14610" max="14611" width="17" style="1392" customWidth="1"/>
    <col min="14612" max="14848" width="8.85546875" style="1392"/>
    <col min="14849" max="14849" width="58.7109375" style="1392" customWidth="1"/>
    <col min="14850" max="14850" width="23" style="1392" customWidth="1"/>
    <col min="14851" max="14851" width="17.5703125" style="1392" customWidth="1"/>
    <col min="14852" max="14852" width="29.85546875" style="1392" customWidth="1"/>
    <col min="14853" max="14853" width="29" style="1392" customWidth="1"/>
    <col min="14854" max="14854" width="27.7109375" style="1392" customWidth="1"/>
    <col min="14855" max="14855" width="22.28515625" style="1392" customWidth="1"/>
    <col min="14856" max="14856" width="28.5703125" style="1392" customWidth="1"/>
    <col min="14857" max="14857" width="23.28515625" style="1392" customWidth="1"/>
    <col min="14858" max="14858" width="25" style="1392" customWidth="1"/>
    <col min="14859" max="14859" width="16.7109375" style="1392" customWidth="1"/>
    <col min="14860" max="14860" width="13.28515625" style="1392" customWidth="1"/>
    <col min="14861" max="14861" width="9.85546875" style="1392" customWidth="1"/>
    <col min="14862" max="14862" width="11" style="1392" customWidth="1"/>
    <col min="14863" max="14864" width="9.7109375" style="1392" customWidth="1"/>
    <col min="14865" max="14865" width="10" style="1392" customWidth="1"/>
    <col min="14866" max="14867" width="17" style="1392" customWidth="1"/>
    <col min="14868" max="15104" width="8.85546875" style="1392"/>
    <col min="15105" max="15105" width="58.7109375" style="1392" customWidth="1"/>
    <col min="15106" max="15106" width="23" style="1392" customWidth="1"/>
    <col min="15107" max="15107" width="17.5703125" style="1392" customWidth="1"/>
    <col min="15108" max="15108" width="29.85546875" style="1392" customWidth="1"/>
    <col min="15109" max="15109" width="29" style="1392" customWidth="1"/>
    <col min="15110" max="15110" width="27.7109375" style="1392" customWidth="1"/>
    <col min="15111" max="15111" width="22.28515625" style="1392" customWidth="1"/>
    <col min="15112" max="15112" width="28.5703125" style="1392" customWidth="1"/>
    <col min="15113" max="15113" width="23.28515625" style="1392" customWidth="1"/>
    <col min="15114" max="15114" width="25" style="1392" customWidth="1"/>
    <col min="15115" max="15115" width="16.7109375" style="1392" customWidth="1"/>
    <col min="15116" max="15116" width="13.28515625" style="1392" customWidth="1"/>
    <col min="15117" max="15117" width="9.85546875" style="1392" customWidth="1"/>
    <col min="15118" max="15118" width="11" style="1392" customWidth="1"/>
    <col min="15119" max="15120" width="9.7109375" style="1392" customWidth="1"/>
    <col min="15121" max="15121" width="10" style="1392" customWidth="1"/>
    <col min="15122" max="15123" width="17" style="1392" customWidth="1"/>
    <col min="15124" max="15360" width="8.85546875" style="1392"/>
    <col min="15361" max="15361" width="58.7109375" style="1392" customWidth="1"/>
    <col min="15362" max="15362" width="23" style="1392" customWidth="1"/>
    <col min="15363" max="15363" width="17.5703125" style="1392" customWidth="1"/>
    <col min="15364" max="15364" width="29.85546875" style="1392" customWidth="1"/>
    <col min="15365" max="15365" width="29" style="1392" customWidth="1"/>
    <col min="15366" max="15366" width="27.7109375" style="1392" customWidth="1"/>
    <col min="15367" max="15367" width="22.28515625" style="1392" customWidth="1"/>
    <col min="15368" max="15368" width="28.5703125" style="1392" customWidth="1"/>
    <col min="15369" max="15369" width="23.28515625" style="1392" customWidth="1"/>
    <col min="15370" max="15370" width="25" style="1392" customWidth="1"/>
    <col min="15371" max="15371" width="16.7109375" style="1392" customWidth="1"/>
    <col min="15372" max="15372" width="13.28515625" style="1392" customWidth="1"/>
    <col min="15373" max="15373" width="9.85546875" style="1392" customWidth="1"/>
    <col min="15374" max="15374" width="11" style="1392" customWidth="1"/>
    <col min="15375" max="15376" width="9.7109375" style="1392" customWidth="1"/>
    <col min="15377" max="15377" width="10" style="1392" customWidth="1"/>
    <col min="15378" max="15379" width="17" style="1392" customWidth="1"/>
    <col min="15380" max="15616" width="8.85546875" style="1392"/>
    <col min="15617" max="15617" width="58.7109375" style="1392" customWidth="1"/>
    <col min="15618" max="15618" width="23" style="1392" customWidth="1"/>
    <col min="15619" max="15619" width="17.5703125" style="1392" customWidth="1"/>
    <col min="15620" max="15620" width="29.85546875" style="1392" customWidth="1"/>
    <col min="15621" max="15621" width="29" style="1392" customWidth="1"/>
    <col min="15622" max="15622" width="27.7109375" style="1392" customWidth="1"/>
    <col min="15623" max="15623" width="22.28515625" style="1392" customWidth="1"/>
    <col min="15624" max="15624" width="28.5703125" style="1392" customWidth="1"/>
    <col min="15625" max="15625" width="23.28515625" style="1392" customWidth="1"/>
    <col min="15626" max="15626" width="25" style="1392" customWidth="1"/>
    <col min="15627" max="15627" width="16.7109375" style="1392" customWidth="1"/>
    <col min="15628" max="15628" width="13.28515625" style="1392" customWidth="1"/>
    <col min="15629" max="15629" width="9.85546875" style="1392" customWidth="1"/>
    <col min="15630" max="15630" width="11" style="1392" customWidth="1"/>
    <col min="15631" max="15632" width="9.7109375" style="1392" customWidth="1"/>
    <col min="15633" max="15633" width="10" style="1392" customWidth="1"/>
    <col min="15634" max="15635" width="17" style="1392" customWidth="1"/>
    <col min="15636" max="15872" width="8.85546875" style="1392"/>
    <col min="15873" max="15873" width="58.7109375" style="1392" customWidth="1"/>
    <col min="15874" max="15874" width="23" style="1392" customWidth="1"/>
    <col min="15875" max="15875" width="17.5703125" style="1392" customWidth="1"/>
    <col min="15876" max="15876" width="29.85546875" style="1392" customWidth="1"/>
    <col min="15877" max="15877" width="29" style="1392" customWidth="1"/>
    <col min="15878" max="15878" width="27.7109375" style="1392" customWidth="1"/>
    <col min="15879" max="15879" width="22.28515625" style="1392" customWidth="1"/>
    <col min="15880" max="15880" width="28.5703125" style="1392" customWidth="1"/>
    <col min="15881" max="15881" width="23.28515625" style="1392" customWidth="1"/>
    <col min="15882" max="15882" width="25" style="1392" customWidth="1"/>
    <col min="15883" max="15883" width="16.7109375" style="1392" customWidth="1"/>
    <col min="15884" max="15884" width="13.28515625" style="1392" customWidth="1"/>
    <col min="15885" max="15885" width="9.85546875" style="1392" customWidth="1"/>
    <col min="15886" max="15886" width="11" style="1392" customWidth="1"/>
    <col min="15887" max="15888" width="9.7109375" style="1392" customWidth="1"/>
    <col min="15889" max="15889" width="10" style="1392" customWidth="1"/>
    <col min="15890" max="15891" width="17" style="1392" customWidth="1"/>
    <col min="15892" max="16128" width="8.85546875" style="1392"/>
    <col min="16129" max="16129" width="58.7109375" style="1392" customWidth="1"/>
    <col min="16130" max="16130" width="23" style="1392" customWidth="1"/>
    <col min="16131" max="16131" width="17.5703125" style="1392" customWidth="1"/>
    <col min="16132" max="16132" width="29.85546875" style="1392" customWidth="1"/>
    <col min="16133" max="16133" width="29" style="1392" customWidth="1"/>
    <col min="16134" max="16134" width="27.7109375" style="1392" customWidth="1"/>
    <col min="16135" max="16135" width="22.28515625" style="1392" customWidth="1"/>
    <col min="16136" max="16136" width="28.5703125" style="1392" customWidth="1"/>
    <col min="16137" max="16137" width="23.28515625" style="1392" customWidth="1"/>
    <col min="16138" max="16138" width="25" style="1392" customWidth="1"/>
    <col min="16139" max="16139" width="16.7109375" style="1392" customWidth="1"/>
    <col min="16140" max="16140" width="13.28515625" style="1392" customWidth="1"/>
    <col min="16141" max="16141" width="9.85546875" style="1392" customWidth="1"/>
    <col min="16142" max="16142" width="11" style="1392" customWidth="1"/>
    <col min="16143" max="16144" width="9.7109375" style="1392" customWidth="1"/>
    <col min="16145" max="16145" width="10" style="1392" customWidth="1"/>
    <col min="16146" max="16147" width="17" style="1392" customWidth="1"/>
    <col min="16148" max="16384" width="8.85546875" style="1392"/>
  </cols>
  <sheetData>
    <row r="1" spans="1:34" ht="36" x14ac:dyDescent="0.55000000000000004">
      <c r="A1" s="1391" t="s">
        <v>1900</v>
      </c>
    </row>
    <row r="2" spans="1:34" x14ac:dyDescent="0.2">
      <c r="A2" s="1393" t="s">
        <v>1901</v>
      </c>
    </row>
    <row r="4" spans="1:34" ht="15.75" x14ac:dyDescent="0.2">
      <c r="A4" s="1405" t="s">
        <v>363</v>
      </c>
    </row>
    <row r="5" spans="1:34" s="1395" customFormat="1" ht="15.75" thickBot="1" x14ac:dyDescent="0.3">
      <c r="J5" s="1409"/>
      <c r="K5" s="1409"/>
      <c r="L5" s="1409"/>
      <c r="M5" s="1409"/>
      <c r="N5" s="1409"/>
      <c r="O5" s="1392"/>
      <c r="P5" s="1392"/>
      <c r="Q5" s="1392"/>
      <c r="R5" s="1392"/>
      <c r="S5" s="1392"/>
      <c r="T5" s="1392"/>
      <c r="U5" s="1392"/>
      <c r="V5" s="1401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</row>
    <row r="6" spans="1:34" ht="15.75" thickBot="1" x14ac:dyDescent="0.3">
      <c r="A6" s="1406" t="s">
        <v>366</v>
      </c>
      <c r="B6" s="1398" t="s">
        <v>367</v>
      </c>
      <c r="C6" s="1398" t="s">
        <v>368</v>
      </c>
      <c r="D6" s="1398" t="s">
        <v>1902</v>
      </c>
      <c r="E6" s="1398" t="s">
        <v>1903</v>
      </c>
      <c r="F6" s="1398" t="s">
        <v>1904</v>
      </c>
      <c r="G6" s="1398" t="s">
        <v>1856</v>
      </c>
      <c r="H6" s="1398" t="s">
        <v>374</v>
      </c>
      <c r="I6" s="1416" t="s">
        <v>1905</v>
      </c>
      <c r="K6" s="1402"/>
    </row>
    <row r="7" spans="1:34" ht="15" x14ac:dyDescent="0.25">
      <c r="A7" s="1417" t="s">
        <v>1906</v>
      </c>
      <c r="B7" s="1418">
        <v>500</v>
      </c>
      <c r="C7" s="1418">
        <v>1</v>
      </c>
      <c r="D7" s="1419">
        <v>54450000</v>
      </c>
      <c r="E7" s="1419">
        <v>56732581.210000001</v>
      </c>
      <c r="F7" s="1419">
        <v>18389980.440000001</v>
      </c>
      <c r="G7" s="1419">
        <f>E7-F7</f>
        <v>38342600.769999996</v>
      </c>
      <c r="H7" s="1420" t="s">
        <v>384</v>
      </c>
      <c r="I7" s="1421" t="s">
        <v>1907</v>
      </c>
      <c r="K7" s="1402"/>
    </row>
    <row r="8" spans="1:34" ht="15" x14ac:dyDescent="0.25">
      <c r="A8" s="1417" t="s">
        <v>1908</v>
      </c>
      <c r="B8" s="1418"/>
      <c r="C8" s="1418"/>
      <c r="D8" s="1419">
        <v>4000000</v>
      </c>
      <c r="E8" s="1419">
        <v>1600000</v>
      </c>
      <c r="F8" s="1419">
        <v>0</v>
      </c>
      <c r="G8" s="1419">
        <f>E8-F8</f>
        <v>1600000</v>
      </c>
      <c r="H8" s="1422" t="s">
        <v>388</v>
      </c>
      <c r="I8" s="1421">
        <v>2018</v>
      </c>
      <c r="K8" s="1402"/>
    </row>
    <row r="9" spans="1:34" ht="15" x14ac:dyDescent="0.25">
      <c r="A9" s="1417" t="s">
        <v>1909</v>
      </c>
      <c r="B9" s="1418"/>
      <c r="C9" s="1418"/>
      <c r="D9" s="1419"/>
      <c r="E9" s="1419">
        <v>200000</v>
      </c>
      <c r="F9" s="1419">
        <v>0</v>
      </c>
      <c r="G9" s="1419">
        <f>E9-F9</f>
        <v>200000</v>
      </c>
      <c r="H9" s="1422" t="s">
        <v>388</v>
      </c>
      <c r="I9" s="1421">
        <v>2020</v>
      </c>
      <c r="K9" s="1402"/>
    </row>
    <row r="10" spans="1:34" ht="15" x14ac:dyDescent="0.25">
      <c r="A10" s="1417" t="s">
        <v>1910</v>
      </c>
      <c r="B10" s="1418">
        <v>465</v>
      </c>
      <c r="C10" s="1418">
        <v>1</v>
      </c>
      <c r="D10" s="1419">
        <v>41596704.82</v>
      </c>
      <c r="E10" s="1419">
        <v>45187907.100000001</v>
      </c>
      <c r="F10" s="1419">
        <v>38185736.149999999</v>
      </c>
      <c r="G10" s="1419">
        <f t="shared" ref="G10:G57" si="0">E10-F10</f>
        <v>7002170.950000003</v>
      </c>
      <c r="H10" s="1422" t="s">
        <v>388</v>
      </c>
      <c r="I10" s="1421" t="s">
        <v>1911</v>
      </c>
      <c r="K10" s="1402"/>
    </row>
    <row r="11" spans="1:34" ht="15" x14ac:dyDescent="0.25">
      <c r="A11" s="1417" t="s">
        <v>519</v>
      </c>
      <c r="B11" s="1418">
        <v>91</v>
      </c>
      <c r="C11" s="1418">
        <v>12</v>
      </c>
      <c r="D11" s="1419">
        <v>520000</v>
      </c>
      <c r="E11" s="1419">
        <v>147886</v>
      </c>
      <c r="F11" s="1419">
        <v>0</v>
      </c>
      <c r="G11" s="1419">
        <f>D11</f>
        <v>520000</v>
      </c>
      <c r="H11" s="1422" t="s">
        <v>388</v>
      </c>
      <c r="I11" s="1421">
        <v>2021</v>
      </c>
      <c r="K11" s="1402"/>
    </row>
    <row r="12" spans="1:34" ht="15" x14ac:dyDescent="0.25">
      <c r="A12" s="1417" t="s">
        <v>1912</v>
      </c>
      <c r="B12" s="1418">
        <v>214</v>
      </c>
      <c r="C12" s="1418">
        <v>12</v>
      </c>
      <c r="D12" s="1419">
        <v>568000</v>
      </c>
      <c r="E12" s="1419">
        <v>186589</v>
      </c>
      <c r="F12" s="1419">
        <v>0</v>
      </c>
      <c r="G12" s="1419">
        <f t="shared" ref="G12:G25" si="1">D12</f>
        <v>568000</v>
      </c>
      <c r="H12" s="1422" t="s">
        <v>388</v>
      </c>
      <c r="I12" s="1421">
        <v>2021</v>
      </c>
      <c r="K12" s="1402"/>
    </row>
    <row r="13" spans="1:34" ht="15" x14ac:dyDescent="0.25">
      <c r="A13" s="1417" t="s">
        <v>1913</v>
      </c>
      <c r="B13" s="1418">
        <v>206</v>
      </c>
      <c r="C13" s="1418">
        <v>12</v>
      </c>
      <c r="D13" s="1419">
        <v>1815000</v>
      </c>
      <c r="E13" s="1419">
        <v>575680</v>
      </c>
      <c r="F13" s="1419">
        <v>0</v>
      </c>
      <c r="G13" s="1419">
        <f t="shared" si="1"/>
        <v>1815000</v>
      </c>
      <c r="H13" s="1422" t="s">
        <v>388</v>
      </c>
      <c r="I13" s="1421">
        <v>2021</v>
      </c>
      <c r="K13" s="1402"/>
    </row>
    <row r="14" spans="1:34" ht="15" x14ac:dyDescent="0.25">
      <c r="A14" s="1417" t="s">
        <v>1914</v>
      </c>
      <c r="B14" s="1418">
        <v>496</v>
      </c>
      <c r="C14" s="1418">
        <v>12</v>
      </c>
      <c r="D14" s="1419">
        <v>2460000</v>
      </c>
      <c r="E14" s="1419">
        <v>629490</v>
      </c>
      <c r="F14" s="1419">
        <v>0</v>
      </c>
      <c r="G14" s="1419">
        <f t="shared" si="1"/>
        <v>2460000</v>
      </c>
      <c r="H14" s="1422" t="s">
        <v>388</v>
      </c>
      <c r="I14" s="1421">
        <v>2021</v>
      </c>
      <c r="K14" s="1402"/>
    </row>
    <row r="15" spans="1:34" ht="15" x14ac:dyDescent="0.25">
      <c r="A15" s="1417" t="s">
        <v>517</v>
      </c>
      <c r="B15" s="1418">
        <v>181</v>
      </c>
      <c r="C15" s="1418">
        <v>10</v>
      </c>
      <c r="D15" s="1419">
        <v>1350000</v>
      </c>
      <c r="E15" s="1419">
        <v>385452</v>
      </c>
      <c r="F15" s="1419">
        <v>0</v>
      </c>
      <c r="G15" s="1419">
        <f t="shared" si="1"/>
        <v>1350000</v>
      </c>
      <c r="H15" s="1422" t="s">
        <v>388</v>
      </c>
      <c r="I15" s="1421">
        <v>2021</v>
      </c>
      <c r="K15" s="1402"/>
    </row>
    <row r="16" spans="1:34" ht="15" x14ac:dyDescent="0.25">
      <c r="A16" s="1417" t="s">
        <v>412</v>
      </c>
      <c r="B16" s="1418">
        <v>323</v>
      </c>
      <c r="C16" s="1418">
        <v>12</v>
      </c>
      <c r="D16" s="1419">
        <v>5041000</v>
      </c>
      <c r="E16" s="1419">
        <v>636571</v>
      </c>
      <c r="F16" s="1419">
        <v>0</v>
      </c>
      <c r="G16" s="1419">
        <f t="shared" si="1"/>
        <v>5041000</v>
      </c>
      <c r="H16" s="1422" t="s">
        <v>388</v>
      </c>
      <c r="I16" s="1421">
        <v>2021</v>
      </c>
      <c r="K16" s="1402"/>
    </row>
    <row r="17" spans="1:11" ht="15" x14ac:dyDescent="0.25">
      <c r="A17" s="1417" t="s">
        <v>513</v>
      </c>
      <c r="B17" s="1418">
        <v>80</v>
      </c>
      <c r="C17" s="1418">
        <v>4</v>
      </c>
      <c r="D17" s="1419">
        <v>780000</v>
      </c>
      <c r="E17" s="1419">
        <v>256457</v>
      </c>
      <c r="F17" s="1419">
        <v>0</v>
      </c>
      <c r="G17" s="1419">
        <f t="shared" si="1"/>
        <v>780000</v>
      </c>
      <c r="H17" s="1422" t="s">
        <v>388</v>
      </c>
      <c r="I17" s="1421">
        <v>2021</v>
      </c>
      <c r="K17" s="1402"/>
    </row>
    <row r="18" spans="1:11" ht="15" x14ac:dyDescent="0.25">
      <c r="A18" s="1417" t="s">
        <v>520</v>
      </c>
      <c r="B18" s="1418">
        <v>176</v>
      </c>
      <c r="C18" s="1418">
        <v>17</v>
      </c>
      <c r="D18" s="1419">
        <f>5300*B18</f>
        <v>932800</v>
      </c>
      <c r="E18" s="1419">
        <v>430381</v>
      </c>
      <c r="F18" s="1419">
        <v>0</v>
      </c>
      <c r="G18" s="1419">
        <f t="shared" si="1"/>
        <v>932800</v>
      </c>
      <c r="H18" s="1422" t="s">
        <v>388</v>
      </c>
      <c r="I18" s="1421">
        <v>2021</v>
      </c>
      <c r="K18" s="1402"/>
    </row>
    <row r="19" spans="1:11" ht="15" x14ac:dyDescent="0.25">
      <c r="A19" s="1417" t="s">
        <v>521</v>
      </c>
      <c r="B19" s="1418">
        <v>100</v>
      </c>
      <c r="C19" s="1418">
        <v>16</v>
      </c>
      <c r="D19" s="1419">
        <f>5300*B19</f>
        <v>530000</v>
      </c>
      <c r="E19" s="1419">
        <v>122000</v>
      </c>
      <c r="F19" s="1419">
        <v>0</v>
      </c>
      <c r="G19" s="1419">
        <f t="shared" si="1"/>
        <v>530000</v>
      </c>
      <c r="H19" s="1422" t="s">
        <v>388</v>
      </c>
      <c r="I19" s="1421">
        <v>2021</v>
      </c>
      <c r="K19" s="1402"/>
    </row>
    <row r="20" spans="1:11" ht="15" x14ac:dyDescent="0.25">
      <c r="A20" s="1417" t="s">
        <v>518</v>
      </c>
      <c r="B20" s="1418">
        <v>363</v>
      </c>
      <c r="C20" s="1418">
        <v>10</v>
      </c>
      <c r="D20" s="1419">
        <v>4963000</v>
      </c>
      <c r="E20" s="1419">
        <v>618895</v>
      </c>
      <c r="F20" s="1419">
        <v>0</v>
      </c>
      <c r="G20" s="1419">
        <f t="shared" si="1"/>
        <v>4963000</v>
      </c>
      <c r="H20" s="1422" t="s">
        <v>388</v>
      </c>
      <c r="I20" s="1421">
        <v>2021</v>
      </c>
      <c r="K20" s="1402"/>
    </row>
    <row r="21" spans="1:11" ht="15" x14ac:dyDescent="0.25">
      <c r="A21" s="1417" t="s">
        <v>403</v>
      </c>
      <c r="B21" s="1418">
        <v>180</v>
      </c>
      <c r="C21" s="1418">
        <v>12</v>
      </c>
      <c r="D21" s="1419">
        <v>5931000</v>
      </c>
      <c r="E21" s="1419">
        <v>4320000</v>
      </c>
      <c r="F21" s="1419">
        <v>0</v>
      </c>
      <c r="G21" s="1419">
        <f t="shared" si="1"/>
        <v>5931000</v>
      </c>
      <c r="H21" s="1422" t="s">
        <v>388</v>
      </c>
      <c r="I21" s="1421">
        <v>2021</v>
      </c>
      <c r="K21" s="1402"/>
    </row>
    <row r="22" spans="1:11" ht="15" x14ac:dyDescent="0.25">
      <c r="A22" s="1417" t="s">
        <v>406</v>
      </c>
      <c r="B22" s="1418">
        <v>825</v>
      </c>
      <c r="C22" s="1418">
        <v>12</v>
      </c>
      <c r="D22" s="1419">
        <f>9600*B22</f>
        <v>7920000</v>
      </c>
      <c r="E22" s="1419">
        <v>3631228</v>
      </c>
      <c r="F22" s="1419">
        <v>0</v>
      </c>
      <c r="G22" s="1419">
        <f t="shared" si="1"/>
        <v>7920000</v>
      </c>
      <c r="H22" s="1422" t="s">
        <v>388</v>
      </c>
      <c r="I22" s="1421">
        <v>2021</v>
      </c>
      <c r="K22" s="1402"/>
    </row>
    <row r="23" spans="1:11" ht="15" x14ac:dyDescent="0.25">
      <c r="A23" s="1417" t="s">
        <v>512</v>
      </c>
      <c r="B23" s="1418">
        <v>356</v>
      </c>
      <c r="C23" s="1418">
        <v>11</v>
      </c>
      <c r="D23" s="1419">
        <v>1850000</v>
      </c>
      <c r="E23" s="1419">
        <v>430381</v>
      </c>
      <c r="F23" s="1419">
        <v>0</v>
      </c>
      <c r="G23" s="1419">
        <f t="shared" si="1"/>
        <v>1850000</v>
      </c>
      <c r="H23" s="1422" t="s">
        <v>388</v>
      </c>
      <c r="I23" s="1421">
        <v>2021</v>
      </c>
      <c r="K23" s="1402"/>
    </row>
    <row r="24" spans="1:11" ht="15" x14ac:dyDescent="0.25">
      <c r="A24" s="1417" t="s">
        <v>514</v>
      </c>
      <c r="B24" s="1418">
        <v>169</v>
      </c>
      <c r="C24" s="1418">
        <v>12</v>
      </c>
      <c r="D24" s="1419">
        <v>1120000</v>
      </c>
      <c r="E24" s="1419">
        <v>234571</v>
      </c>
      <c r="F24" s="1419">
        <v>0</v>
      </c>
      <c r="G24" s="1419">
        <f t="shared" si="1"/>
        <v>1120000</v>
      </c>
      <c r="H24" s="1422" t="s">
        <v>388</v>
      </c>
      <c r="I24" s="1421">
        <v>2021</v>
      </c>
      <c r="K24" s="1402"/>
    </row>
    <row r="25" spans="1:11" ht="15" x14ac:dyDescent="0.25">
      <c r="A25" s="1417" t="s">
        <v>515</v>
      </c>
      <c r="B25" s="1418">
        <v>70</v>
      </c>
      <c r="C25" s="1418">
        <v>10</v>
      </c>
      <c r="D25" s="1419">
        <v>371000</v>
      </c>
      <c r="E25" s="1419">
        <v>181258</v>
      </c>
      <c r="F25" s="1419">
        <v>0</v>
      </c>
      <c r="G25" s="1419">
        <f t="shared" si="1"/>
        <v>371000</v>
      </c>
      <c r="H25" s="1422" t="s">
        <v>388</v>
      </c>
      <c r="I25" s="1421">
        <v>2021</v>
      </c>
      <c r="K25" s="1402"/>
    </row>
    <row r="26" spans="1:11" ht="15" x14ac:dyDescent="0.25">
      <c r="A26" s="1417" t="s">
        <v>1915</v>
      </c>
      <c r="B26" s="1418">
        <v>70</v>
      </c>
      <c r="C26" s="1418">
        <v>17</v>
      </c>
      <c r="D26" s="1419">
        <v>371000</v>
      </c>
      <c r="E26" s="1419">
        <v>350000</v>
      </c>
      <c r="F26" s="1419">
        <v>0</v>
      </c>
      <c r="G26" s="1419">
        <f>E26-F26</f>
        <v>350000</v>
      </c>
      <c r="H26" s="1422" t="s">
        <v>388</v>
      </c>
      <c r="I26" s="1421">
        <v>2020</v>
      </c>
      <c r="K26" s="1402"/>
    </row>
    <row r="27" spans="1:11" ht="15.75" customHeight="1" x14ac:dyDescent="0.25">
      <c r="A27" s="1417" t="s">
        <v>1916</v>
      </c>
      <c r="B27" s="1418">
        <v>570</v>
      </c>
      <c r="C27" s="1418">
        <v>1</v>
      </c>
      <c r="D27" s="1419">
        <v>61934298.060000002</v>
      </c>
      <c r="E27" s="1419">
        <v>57801700</v>
      </c>
      <c r="F27" s="1419">
        <v>46632900.840000004</v>
      </c>
      <c r="G27" s="1419">
        <f t="shared" si="0"/>
        <v>11168799.159999996</v>
      </c>
      <c r="H27" s="1422" t="s">
        <v>388</v>
      </c>
      <c r="I27" s="1421" t="s">
        <v>1917</v>
      </c>
      <c r="K27" s="1402"/>
    </row>
    <row r="28" spans="1:11" ht="15" x14ac:dyDescent="0.25">
      <c r="A28" s="1417" t="s">
        <v>1918</v>
      </c>
      <c r="B28" s="1418">
        <v>86</v>
      </c>
      <c r="C28" s="1418">
        <v>16</v>
      </c>
      <c r="D28" s="1419">
        <v>952149</v>
      </c>
      <c r="E28" s="1419">
        <v>240000</v>
      </c>
      <c r="F28" s="1419">
        <v>0</v>
      </c>
      <c r="G28" s="1419">
        <f t="shared" si="0"/>
        <v>240000</v>
      </c>
      <c r="H28" s="1422" t="s">
        <v>388</v>
      </c>
      <c r="I28" s="1421">
        <v>2016</v>
      </c>
      <c r="K28" s="1402"/>
    </row>
    <row r="29" spans="1:11" ht="15" x14ac:dyDescent="0.25">
      <c r="A29" s="1417" t="s">
        <v>1919</v>
      </c>
      <c r="B29" s="1418">
        <v>153</v>
      </c>
      <c r="C29" s="1418">
        <v>17</v>
      </c>
      <c r="D29" s="1419">
        <v>1960000</v>
      </c>
      <c r="E29" s="1419">
        <v>480000</v>
      </c>
      <c r="F29" s="1419">
        <v>0</v>
      </c>
      <c r="G29" s="1419">
        <f t="shared" si="0"/>
        <v>480000</v>
      </c>
      <c r="H29" s="1422" t="s">
        <v>388</v>
      </c>
      <c r="I29" s="1421">
        <v>2016</v>
      </c>
      <c r="K29" s="1402"/>
    </row>
    <row r="30" spans="1:11" ht="15" x14ac:dyDescent="0.25">
      <c r="A30" s="1417" t="s">
        <v>1920</v>
      </c>
      <c r="B30" s="1418">
        <v>234</v>
      </c>
      <c r="C30" s="1418">
        <v>16</v>
      </c>
      <c r="D30" s="1419">
        <v>2590731</v>
      </c>
      <c r="E30" s="1419">
        <v>410000</v>
      </c>
      <c r="F30" s="1419">
        <v>0</v>
      </c>
      <c r="G30" s="1419">
        <f t="shared" si="0"/>
        <v>410000</v>
      </c>
      <c r="H30" s="1422" t="s">
        <v>388</v>
      </c>
      <c r="I30" s="1421">
        <v>2016</v>
      </c>
      <c r="K30" s="1402"/>
    </row>
    <row r="31" spans="1:11" ht="15" x14ac:dyDescent="0.25">
      <c r="A31" s="1417" t="s">
        <v>1921</v>
      </c>
      <c r="B31" s="1418">
        <v>147</v>
      </c>
      <c r="C31" s="1418">
        <v>17</v>
      </c>
      <c r="D31" s="1419">
        <v>1865856.3</v>
      </c>
      <c r="E31" s="1419">
        <v>620000</v>
      </c>
      <c r="F31" s="1419">
        <v>0</v>
      </c>
      <c r="G31" s="1419">
        <f t="shared" si="0"/>
        <v>620000</v>
      </c>
      <c r="H31" s="1422" t="s">
        <v>388</v>
      </c>
      <c r="I31" s="1421">
        <v>2016</v>
      </c>
      <c r="K31" s="1402"/>
    </row>
    <row r="32" spans="1:11" ht="15" x14ac:dyDescent="0.25">
      <c r="A32" s="1417" t="s">
        <v>1922</v>
      </c>
      <c r="B32" s="1418">
        <v>148</v>
      </c>
      <c r="C32" s="1418">
        <v>17</v>
      </c>
      <c r="D32" s="1419">
        <v>1878549.2</v>
      </c>
      <c r="E32" s="1419">
        <v>530000</v>
      </c>
      <c r="F32" s="1419">
        <v>0</v>
      </c>
      <c r="G32" s="1419">
        <f t="shared" si="0"/>
        <v>530000</v>
      </c>
      <c r="H32" s="1422" t="s">
        <v>388</v>
      </c>
      <c r="I32" s="1421">
        <v>2016</v>
      </c>
      <c r="K32" s="1402"/>
    </row>
    <row r="33" spans="1:11" ht="15" x14ac:dyDescent="0.25">
      <c r="A33" s="1417" t="s">
        <v>1923</v>
      </c>
      <c r="B33" s="1418">
        <v>145</v>
      </c>
      <c r="C33" s="1418">
        <v>9</v>
      </c>
      <c r="D33" s="1419">
        <v>1572207.45</v>
      </c>
      <c r="E33" s="1419">
        <v>470000</v>
      </c>
      <c r="F33" s="1419">
        <v>0</v>
      </c>
      <c r="G33" s="1419">
        <f t="shared" si="0"/>
        <v>470000</v>
      </c>
      <c r="H33" s="1422" t="s">
        <v>388</v>
      </c>
      <c r="I33" s="1421">
        <v>2016</v>
      </c>
      <c r="K33" s="1402"/>
    </row>
    <row r="34" spans="1:11" ht="15" x14ac:dyDescent="0.25">
      <c r="A34" s="1417" t="s">
        <v>1924</v>
      </c>
      <c r="B34" s="1418">
        <v>121</v>
      </c>
      <c r="C34" s="1418">
        <v>11</v>
      </c>
      <c r="D34" s="1419">
        <v>1835981.4</v>
      </c>
      <c r="E34" s="1419">
        <f>0.57*D34</f>
        <v>1046509.3979999998</v>
      </c>
      <c r="F34" s="1419">
        <v>0</v>
      </c>
      <c r="G34" s="1419">
        <f t="shared" si="0"/>
        <v>1046509.3979999998</v>
      </c>
      <c r="H34" s="1422" t="s">
        <v>388</v>
      </c>
      <c r="I34" s="1421">
        <v>2018</v>
      </c>
      <c r="K34" s="1402"/>
    </row>
    <row r="35" spans="1:11" ht="15" x14ac:dyDescent="0.25">
      <c r="A35" s="1417" t="s">
        <v>1925</v>
      </c>
      <c r="B35" s="1418">
        <v>131</v>
      </c>
      <c r="C35" s="1418">
        <v>11</v>
      </c>
      <c r="D35" s="1419">
        <v>1943568</v>
      </c>
      <c r="E35" s="1419">
        <f>0.57*D35</f>
        <v>1107833.76</v>
      </c>
      <c r="F35" s="1419">
        <v>0</v>
      </c>
      <c r="G35" s="1419">
        <f t="shared" si="0"/>
        <v>1107833.76</v>
      </c>
      <c r="H35" s="1422" t="s">
        <v>388</v>
      </c>
      <c r="I35" s="1421">
        <v>2018</v>
      </c>
      <c r="K35" s="1402"/>
    </row>
    <row r="36" spans="1:11" ht="15" x14ac:dyDescent="0.25">
      <c r="A36" s="1417" t="s">
        <v>1926</v>
      </c>
      <c r="B36" s="1418">
        <v>141</v>
      </c>
      <c r="C36" s="1418">
        <v>11</v>
      </c>
      <c r="D36" s="1419">
        <v>1870000</v>
      </c>
      <c r="E36" s="1419">
        <f>0.57*D36</f>
        <v>1065900</v>
      </c>
      <c r="F36" s="1419">
        <v>0</v>
      </c>
      <c r="G36" s="1419">
        <f t="shared" si="0"/>
        <v>1065900</v>
      </c>
      <c r="H36" s="1422" t="s">
        <v>388</v>
      </c>
      <c r="I36" s="1421">
        <v>2018</v>
      </c>
      <c r="K36" s="1402"/>
    </row>
    <row r="37" spans="1:11" ht="15" x14ac:dyDescent="0.25">
      <c r="A37" s="1417" t="s">
        <v>1927</v>
      </c>
      <c r="B37" s="1418">
        <v>270</v>
      </c>
      <c r="C37" s="1418">
        <v>11</v>
      </c>
      <c r="D37" s="1419">
        <v>2139449.4</v>
      </c>
      <c r="E37" s="1419">
        <f>0.57*D37</f>
        <v>1219486.1579999998</v>
      </c>
      <c r="F37" s="1419">
        <v>0</v>
      </c>
      <c r="G37" s="1419">
        <f t="shared" si="0"/>
        <v>1219486.1579999998</v>
      </c>
      <c r="H37" s="1422" t="s">
        <v>388</v>
      </c>
      <c r="I37" s="1421">
        <v>2018</v>
      </c>
      <c r="K37" s="1402"/>
    </row>
    <row r="38" spans="1:11" ht="15" x14ac:dyDescent="0.25">
      <c r="A38" s="1423" t="s">
        <v>516</v>
      </c>
      <c r="B38" s="1418">
        <v>265</v>
      </c>
      <c r="C38" s="1418">
        <v>7</v>
      </c>
      <c r="D38" s="1419">
        <v>1760368.5</v>
      </c>
      <c r="E38" s="1419">
        <v>300000</v>
      </c>
      <c r="F38" s="1419">
        <v>0</v>
      </c>
      <c r="G38" s="1419">
        <f t="shared" si="0"/>
        <v>300000</v>
      </c>
      <c r="H38" s="1422" t="s">
        <v>388</v>
      </c>
      <c r="I38" s="1421">
        <v>2017</v>
      </c>
      <c r="K38" s="1402"/>
    </row>
    <row r="39" spans="1:11" ht="15" x14ac:dyDescent="0.25">
      <c r="A39" s="1423" t="s">
        <v>1928</v>
      </c>
      <c r="B39" s="1418">
        <v>286</v>
      </c>
      <c r="C39" s="1418">
        <v>7</v>
      </c>
      <c r="D39" s="1419">
        <v>1899869.4</v>
      </c>
      <c r="E39" s="1419">
        <v>600000</v>
      </c>
      <c r="F39" s="1419">
        <v>0</v>
      </c>
      <c r="G39" s="1419">
        <f t="shared" si="0"/>
        <v>600000</v>
      </c>
      <c r="H39" s="1422" t="s">
        <v>388</v>
      </c>
      <c r="I39" s="1421">
        <v>2018</v>
      </c>
      <c r="K39" s="1402"/>
    </row>
    <row r="40" spans="1:11" ht="14.25" customHeight="1" x14ac:dyDescent="0.25">
      <c r="A40" s="1417" t="s">
        <v>1929</v>
      </c>
      <c r="B40" s="1418">
        <v>500</v>
      </c>
      <c r="C40" s="1418">
        <v>1</v>
      </c>
      <c r="D40" s="1424">
        <v>6700000</v>
      </c>
      <c r="E40" s="1424">
        <v>8400000</v>
      </c>
      <c r="F40" s="1419">
        <v>6700000</v>
      </c>
      <c r="G40" s="1419">
        <f t="shared" si="0"/>
        <v>1700000</v>
      </c>
      <c r="H40" s="1420" t="s">
        <v>384</v>
      </c>
      <c r="I40" s="1421">
        <v>2019</v>
      </c>
      <c r="K40" s="1402"/>
    </row>
    <row r="41" spans="1:11" ht="16.149999999999999" customHeight="1" x14ac:dyDescent="0.25">
      <c r="A41" s="1425" t="s">
        <v>387</v>
      </c>
      <c r="B41" s="1426">
        <v>97</v>
      </c>
      <c r="C41" s="1426">
        <v>7</v>
      </c>
      <c r="D41" s="1424">
        <v>1400000</v>
      </c>
      <c r="E41" s="1424">
        <v>1400000</v>
      </c>
      <c r="F41" s="1419">
        <f t="shared" ref="F41:F56" si="2">0*E41</f>
        <v>0</v>
      </c>
      <c r="G41" s="1419">
        <f t="shared" si="0"/>
        <v>1400000</v>
      </c>
      <c r="H41" s="1422" t="s">
        <v>388</v>
      </c>
      <c r="I41" s="1427">
        <v>2018</v>
      </c>
      <c r="K41" s="1402"/>
    </row>
    <row r="42" spans="1:11" ht="15" x14ac:dyDescent="0.25">
      <c r="A42" s="1425" t="s">
        <v>403</v>
      </c>
      <c r="B42" s="1426">
        <v>380</v>
      </c>
      <c r="C42" s="1426">
        <v>12</v>
      </c>
      <c r="D42" s="1424">
        <v>5900000</v>
      </c>
      <c r="E42" s="1424">
        <v>0</v>
      </c>
      <c r="F42" s="1419">
        <f t="shared" si="2"/>
        <v>0</v>
      </c>
      <c r="G42" s="1419">
        <f t="shared" si="0"/>
        <v>0</v>
      </c>
      <c r="H42" s="1422" t="s">
        <v>404</v>
      </c>
      <c r="I42" s="1427">
        <v>2016</v>
      </c>
      <c r="K42" s="1402"/>
    </row>
    <row r="43" spans="1:11" x14ac:dyDescent="0.2">
      <c r="A43" s="1425" t="s">
        <v>1930</v>
      </c>
      <c r="B43" s="1426">
        <v>132</v>
      </c>
      <c r="C43" s="1426">
        <v>12</v>
      </c>
      <c r="D43" s="1424">
        <v>2000000</v>
      </c>
      <c r="E43" s="1424">
        <v>0</v>
      </c>
      <c r="F43" s="1419">
        <f t="shared" si="2"/>
        <v>0</v>
      </c>
      <c r="G43" s="1419">
        <f t="shared" si="0"/>
        <v>0</v>
      </c>
      <c r="H43" s="1422" t="s">
        <v>388</v>
      </c>
      <c r="I43" s="1427">
        <v>2016</v>
      </c>
    </row>
    <row r="44" spans="1:11" x14ac:dyDescent="0.2">
      <c r="A44" s="1425" t="s">
        <v>1931</v>
      </c>
      <c r="B44" s="1426">
        <v>168</v>
      </c>
      <c r="C44" s="1426">
        <v>9</v>
      </c>
      <c r="D44" s="1424">
        <v>2650000</v>
      </c>
      <c r="E44" s="1424">
        <v>0</v>
      </c>
      <c r="F44" s="1419">
        <f t="shared" si="2"/>
        <v>0</v>
      </c>
      <c r="G44" s="1419">
        <f t="shared" si="0"/>
        <v>0</v>
      </c>
      <c r="H44" s="1422" t="s">
        <v>1932</v>
      </c>
      <c r="I44" s="1427">
        <v>2016</v>
      </c>
    </row>
    <row r="45" spans="1:11" x14ac:dyDescent="0.2">
      <c r="A45" s="1425" t="s">
        <v>1933</v>
      </c>
      <c r="B45" s="1426">
        <v>550</v>
      </c>
      <c r="C45" s="1426">
        <v>1</v>
      </c>
      <c r="D45" s="3190">
        <v>28000000</v>
      </c>
      <c r="E45" s="3190">
        <v>22000000</v>
      </c>
      <c r="F45" s="3190">
        <v>22000000</v>
      </c>
      <c r="G45" s="1419">
        <v>0</v>
      </c>
      <c r="H45" s="1422" t="s">
        <v>388</v>
      </c>
      <c r="I45" s="1427">
        <v>2017</v>
      </c>
    </row>
    <row r="46" spans="1:11" x14ac:dyDescent="0.2">
      <c r="A46" s="1425" t="s">
        <v>1934</v>
      </c>
      <c r="B46" s="1426">
        <v>195</v>
      </c>
      <c r="C46" s="1426">
        <v>12</v>
      </c>
      <c r="D46" s="3191"/>
      <c r="E46" s="3191"/>
      <c r="F46" s="3191"/>
      <c r="G46" s="1419">
        <v>0</v>
      </c>
      <c r="H46" s="1422" t="s">
        <v>388</v>
      </c>
      <c r="I46" s="1427">
        <v>2017</v>
      </c>
    </row>
    <row r="47" spans="1:11" x14ac:dyDescent="0.2">
      <c r="A47" s="1425" t="s">
        <v>1929</v>
      </c>
      <c r="B47" s="1426">
        <v>475</v>
      </c>
      <c r="C47" s="1426">
        <v>1</v>
      </c>
      <c r="D47" s="3191"/>
      <c r="E47" s="3191"/>
      <c r="F47" s="3191"/>
      <c r="G47" s="1419">
        <v>0</v>
      </c>
      <c r="H47" s="1422" t="s">
        <v>388</v>
      </c>
      <c r="I47" s="1427">
        <v>2017</v>
      </c>
    </row>
    <row r="48" spans="1:11" x14ac:dyDescent="0.2">
      <c r="A48" s="1425" t="s">
        <v>1935</v>
      </c>
      <c r="B48" s="1426">
        <v>115</v>
      </c>
      <c r="C48" s="1426">
        <v>1</v>
      </c>
      <c r="D48" s="3191"/>
      <c r="E48" s="3191"/>
      <c r="F48" s="3191"/>
      <c r="G48" s="1419">
        <v>0</v>
      </c>
      <c r="H48" s="1422" t="s">
        <v>388</v>
      </c>
      <c r="I48" s="1427">
        <v>2017</v>
      </c>
    </row>
    <row r="49" spans="1:13" x14ac:dyDescent="0.2">
      <c r="A49" s="1425" t="s">
        <v>1936</v>
      </c>
      <c r="B49" s="1426">
        <v>600</v>
      </c>
      <c r="C49" s="1426">
        <v>4</v>
      </c>
      <c r="D49" s="3192"/>
      <c r="E49" s="3192"/>
      <c r="F49" s="3192"/>
      <c r="G49" s="1419">
        <v>0</v>
      </c>
      <c r="H49" s="1422" t="s">
        <v>388</v>
      </c>
      <c r="I49" s="1427">
        <v>2017</v>
      </c>
    </row>
    <row r="50" spans="1:13" x14ac:dyDescent="0.2">
      <c r="A50" s="1425" t="s">
        <v>1937</v>
      </c>
      <c r="B50" s="1426">
        <v>93</v>
      </c>
      <c r="C50" s="1426">
        <v>12</v>
      </c>
      <c r="D50" s="1424">
        <v>7039297.21</v>
      </c>
      <c r="E50" s="1424">
        <v>3603389.52</v>
      </c>
      <c r="F50" s="1419">
        <f t="shared" si="2"/>
        <v>0</v>
      </c>
      <c r="G50" s="1419">
        <f t="shared" si="0"/>
        <v>3603389.52</v>
      </c>
      <c r="H50" s="1422" t="s">
        <v>388</v>
      </c>
      <c r="I50" s="1427">
        <v>2017</v>
      </c>
    </row>
    <row r="51" spans="1:13" x14ac:dyDescent="0.2">
      <c r="A51" s="1425" t="s">
        <v>1938</v>
      </c>
      <c r="B51" s="1426">
        <v>348</v>
      </c>
      <c r="C51" s="1426">
        <v>13</v>
      </c>
      <c r="D51" s="1424">
        <v>6712015.2000000002</v>
      </c>
      <c r="E51" s="1424">
        <v>340000</v>
      </c>
      <c r="F51" s="1419">
        <f t="shared" si="2"/>
        <v>0</v>
      </c>
      <c r="G51" s="1419">
        <f t="shared" si="0"/>
        <v>340000</v>
      </c>
      <c r="H51" s="1422" t="s">
        <v>523</v>
      </c>
      <c r="I51" s="1427">
        <v>2018</v>
      </c>
    </row>
    <row r="52" spans="1:13" x14ac:dyDescent="0.2">
      <c r="A52" s="1425" t="s">
        <v>1939</v>
      </c>
      <c r="B52" s="1426">
        <v>160</v>
      </c>
      <c r="C52" s="1426">
        <v>17</v>
      </c>
      <c r="D52" s="1424">
        <v>1870000</v>
      </c>
      <c r="E52" s="1424">
        <v>2000000</v>
      </c>
      <c r="F52" s="1419">
        <f t="shared" si="2"/>
        <v>0</v>
      </c>
      <c r="G52" s="1419">
        <f t="shared" si="0"/>
        <v>2000000</v>
      </c>
      <c r="H52" s="1422" t="s">
        <v>1940</v>
      </c>
      <c r="I52" s="1427">
        <v>2017</v>
      </c>
    </row>
    <row r="53" spans="1:13" x14ac:dyDescent="0.2">
      <c r="A53" s="1425" t="s">
        <v>1919</v>
      </c>
      <c r="B53" s="1426">
        <v>174</v>
      </c>
      <c r="C53" s="1426">
        <v>17</v>
      </c>
      <c r="D53" s="1424">
        <v>2200000</v>
      </c>
      <c r="E53" s="1424">
        <v>1800000</v>
      </c>
      <c r="F53" s="1419">
        <f t="shared" si="2"/>
        <v>0</v>
      </c>
      <c r="G53" s="1419">
        <f t="shared" si="0"/>
        <v>1800000</v>
      </c>
      <c r="H53" s="1422" t="s">
        <v>388</v>
      </c>
      <c r="I53" s="1427">
        <v>2017</v>
      </c>
    </row>
    <row r="54" spans="1:13" x14ac:dyDescent="0.2">
      <c r="A54" s="1425" t="s">
        <v>1941</v>
      </c>
      <c r="B54" s="1426">
        <v>409</v>
      </c>
      <c r="C54" s="1426">
        <v>13</v>
      </c>
      <c r="D54" s="1424">
        <v>7700000</v>
      </c>
      <c r="E54" s="1424">
        <v>1220000</v>
      </c>
      <c r="F54" s="1419">
        <f t="shared" si="2"/>
        <v>0</v>
      </c>
      <c r="G54" s="1419">
        <f t="shared" si="0"/>
        <v>1220000</v>
      </c>
      <c r="H54" s="1422" t="s">
        <v>388</v>
      </c>
      <c r="I54" s="1427">
        <v>2017</v>
      </c>
    </row>
    <row r="55" spans="1:13" x14ac:dyDescent="0.2">
      <c r="A55" s="1425" t="s">
        <v>1942</v>
      </c>
      <c r="B55" s="1426">
        <v>120</v>
      </c>
      <c r="C55" s="1426">
        <v>17</v>
      </c>
      <c r="D55" s="1424">
        <v>1500000</v>
      </c>
      <c r="E55" s="1424">
        <v>300000</v>
      </c>
      <c r="F55" s="1419">
        <f t="shared" si="2"/>
        <v>0</v>
      </c>
      <c r="G55" s="1419">
        <f t="shared" si="0"/>
        <v>300000</v>
      </c>
      <c r="H55" s="1422" t="s">
        <v>388</v>
      </c>
      <c r="I55" s="1427">
        <v>2017</v>
      </c>
    </row>
    <row r="56" spans="1:13" x14ac:dyDescent="0.2">
      <c r="A56" s="1425" t="s">
        <v>1943</v>
      </c>
      <c r="B56" s="1426">
        <v>402</v>
      </c>
      <c r="C56" s="1426">
        <v>13</v>
      </c>
      <c r="D56" s="1424">
        <v>7500000</v>
      </c>
      <c r="E56" s="1424">
        <v>1700000</v>
      </c>
      <c r="F56" s="1419">
        <f t="shared" si="2"/>
        <v>0</v>
      </c>
      <c r="G56" s="1419">
        <f t="shared" si="0"/>
        <v>1700000</v>
      </c>
      <c r="H56" s="1422" t="s">
        <v>388</v>
      </c>
      <c r="I56" s="1427">
        <v>2017</v>
      </c>
    </row>
    <row r="57" spans="1:13" ht="13.5" thickBot="1" x14ac:dyDescent="0.25">
      <c r="A57" s="1428" t="s">
        <v>1944</v>
      </c>
      <c r="B57" s="1429">
        <v>98</v>
      </c>
      <c r="C57" s="1429">
        <v>12</v>
      </c>
      <c r="D57" s="1430">
        <v>1500000</v>
      </c>
      <c r="E57" s="1430">
        <v>420000</v>
      </c>
      <c r="F57" s="1430">
        <f>0*E57</f>
        <v>0</v>
      </c>
      <c r="G57" s="1430">
        <f t="shared" si="0"/>
        <v>420000</v>
      </c>
      <c r="H57" s="1431" t="s">
        <v>388</v>
      </c>
      <c r="I57" s="1432">
        <v>2017</v>
      </c>
    </row>
    <row r="59" spans="1:13" ht="15" x14ac:dyDescent="0.25">
      <c r="A59" s="1401" t="s">
        <v>415</v>
      </c>
      <c r="B59" s="1403">
        <f>SUM(B41:B57)</f>
        <v>4516</v>
      </c>
      <c r="D59" s="1404">
        <f>SUM(D7:D57)</f>
        <v>303443844.94</v>
      </c>
      <c r="E59" s="1404">
        <f>SUM(E7:E57)</f>
        <v>225932146.146</v>
      </c>
      <c r="F59" s="1404">
        <f>SUM(F7:F57)</f>
        <v>131908617.43000001</v>
      </c>
      <c r="G59" s="1404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1406" t="s">
        <v>525</v>
      </c>
      <c r="B61" s="1400" t="s">
        <v>367</v>
      </c>
      <c r="D61" s="1406" t="s">
        <v>369</v>
      </c>
      <c r="E61" s="1398" t="s">
        <v>1903</v>
      </c>
      <c r="F61" s="1398" t="s">
        <v>1945</v>
      </c>
      <c r="G61" s="1398" t="s">
        <v>1856</v>
      </c>
      <c r="H61" s="1400" t="s">
        <v>374</v>
      </c>
      <c r="I61" s="1400" t="s">
        <v>360</v>
      </c>
    </row>
    <row r="62" spans="1:13" x14ac:dyDescent="0.2">
      <c r="A62" s="1417" t="s">
        <v>526</v>
      </c>
      <c r="B62" s="1433">
        <v>230</v>
      </c>
      <c r="D62" s="1434">
        <v>4270090</v>
      </c>
      <c r="E62" s="1419">
        <v>3825914.97</v>
      </c>
      <c r="F62" s="1419">
        <v>3001800</v>
      </c>
      <c r="G62" s="1419">
        <f>E62-F62</f>
        <v>824114.9700000002</v>
      </c>
      <c r="H62" s="1435" t="s">
        <v>388</v>
      </c>
      <c r="I62" s="1427">
        <v>2017</v>
      </c>
    </row>
    <row r="63" spans="1:13" x14ac:dyDescent="0.2">
      <c r="A63" s="1417" t="s">
        <v>527</v>
      </c>
      <c r="B63" s="1433">
        <v>300</v>
      </c>
      <c r="D63" s="1434">
        <v>1500000</v>
      </c>
      <c r="E63" s="1419">
        <v>150000</v>
      </c>
      <c r="F63" s="1424">
        <v>0</v>
      </c>
      <c r="G63" s="1424">
        <f>E63-F63</f>
        <v>150000</v>
      </c>
      <c r="H63" s="1435" t="s">
        <v>388</v>
      </c>
      <c r="I63" s="1427">
        <v>2018</v>
      </c>
    </row>
    <row r="64" spans="1:13" x14ac:dyDescent="0.2">
      <c r="A64" s="1417" t="s">
        <v>1946</v>
      </c>
      <c r="B64" s="1433">
        <v>12</v>
      </c>
      <c r="D64" s="1434">
        <v>450000</v>
      </c>
      <c r="E64" s="1419">
        <v>550000</v>
      </c>
      <c r="F64" s="1424">
        <v>480000</v>
      </c>
      <c r="G64" s="1424">
        <f>E64-F64</f>
        <v>70000</v>
      </c>
      <c r="H64" s="1435" t="s">
        <v>388</v>
      </c>
      <c r="I64" s="1427">
        <v>2020</v>
      </c>
      <c r="J64" s="1392" t="s">
        <v>386</v>
      </c>
      <c r="K64" s="1392" t="s">
        <v>386</v>
      </c>
      <c r="L64" s="1392" t="s">
        <v>386</v>
      </c>
      <c r="M64" s="1392">
        <v>2020</v>
      </c>
    </row>
    <row r="65" spans="1:10" x14ac:dyDescent="0.2">
      <c r="A65" s="1417" t="s">
        <v>420</v>
      </c>
      <c r="B65" s="1436">
        <v>3000</v>
      </c>
      <c r="D65" s="1434">
        <v>7400000</v>
      </c>
      <c r="E65" s="1419">
        <v>350000</v>
      </c>
      <c r="F65" s="1424">
        <v>0</v>
      </c>
      <c r="G65" s="1424">
        <f>E65-F65</f>
        <v>350000</v>
      </c>
      <c r="H65" s="1435" t="s">
        <v>388</v>
      </c>
      <c r="I65" s="1427">
        <v>2017</v>
      </c>
    </row>
    <row r="66" spans="1:10" ht="13.5" thickBot="1" x14ac:dyDescent="0.25">
      <c r="A66" s="1428" t="s">
        <v>529</v>
      </c>
      <c r="B66" s="1437">
        <v>800</v>
      </c>
      <c r="D66" s="1438">
        <v>2400000</v>
      </c>
      <c r="E66" s="1430">
        <v>120000</v>
      </c>
      <c r="F66" s="1430">
        <v>0</v>
      </c>
      <c r="G66" s="1430">
        <f>E66-F66</f>
        <v>120000</v>
      </c>
      <c r="H66" s="1439" t="s">
        <v>388</v>
      </c>
      <c r="I66" s="1432">
        <v>2019</v>
      </c>
    </row>
    <row r="68" spans="1:10" ht="15" x14ac:dyDescent="0.25">
      <c r="A68" s="1401" t="s">
        <v>415</v>
      </c>
      <c r="B68" s="1403">
        <f>SUM(B62:B66)</f>
        <v>4342</v>
      </c>
      <c r="D68" s="1404">
        <f>SUM(D62:D66)</f>
        <v>16020090</v>
      </c>
      <c r="E68" s="1404">
        <f>SUM(E62:E66)</f>
        <v>4995914.9700000007</v>
      </c>
      <c r="F68" s="1404">
        <f>SUM(F62:F66)</f>
        <v>3481800</v>
      </c>
      <c r="G68" s="1404">
        <f>SUM(G62:G66)</f>
        <v>1514114.9700000002</v>
      </c>
    </row>
    <row r="70" spans="1:10" ht="16.5" thickBot="1" x14ac:dyDescent="0.25">
      <c r="A70" s="1405" t="s">
        <v>435</v>
      </c>
      <c r="E70" s="1404"/>
    </row>
    <row r="71" spans="1:10" ht="15.75" thickBot="1" x14ac:dyDescent="0.3">
      <c r="A71" s="1407"/>
      <c r="D71" s="1406" t="s">
        <v>369</v>
      </c>
      <c r="E71" s="1408" t="s">
        <v>1903</v>
      </c>
      <c r="F71" s="1398" t="s">
        <v>1945</v>
      </c>
      <c r="G71" s="1398" t="s">
        <v>1856</v>
      </c>
      <c r="H71" s="1400" t="s">
        <v>374</v>
      </c>
      <c r="I71" s="1400" t="s">
        <v>360</v>
      </c>
      <c r="J71" s="1416" t="s">
        <v>1947</v>
      </c>
    </row>
    <row r="72" spans="1:10" ht="18" customHeight="1" x14ac:dyDescent="0.2">
      <c r="A72" s="1440" t="s">
        <v>531</v>
      </c>
      <c r="D72" s="1434">
        <v>46000000</v>
      </c>
      <c r="E72" s="1441">
        <v>32000000</v>
      </c>
      <c r="F72" s="1434">
        <v>10600000</v>
      </c>
      <c r="G72" s="1419">
        <f>E72-F72</f>
        <v>21400000</v>
      </c>
      <c r="H72" s="1435" t="s">
        <v>388</v>
      </c>
      <c r="I72" s="1427">
        <v>2018</v>
      </c>
      <c r="J72" s="1442" t="s">
        <v>1948</v>
      </c>
    </row>
    <row r="73" spans="1:10" x14ac:dyDescent="0.2">
      <c r="A73" s="1440" t="s">
        <v>437</v>
      </c>
      <c r="D73" s="1434">
        <v>2000000</v>
      </c>
      <c r="E73" s="1441">
        <v>700000</v>
      </c>
      <c r="F73" s="1434">
        <v>200000</v>
      </c>
      <c r="G73" s="1419">
        <f>E73-F73</f>
        <v>500000</v>
      </c>
      <c r="H73" s="1435" t="s">
        <v>388</v>
      </c>
      <c r="I73" s="1427">
        <v>2018</v>
      </c>
      <c r="J73" s="1427"/>
    </row>
    <row r="74" spans="1:10" x14ac:dyDescent="0.2">
      <c r="A74" s="1440" t="s">
        <v>1949</v>
      </c>
      <c r="D74" s="1434">
        <v>2400000</v>
      </c>
      <c r="E74" s="1441">
        <v>2400000</v>
      </c>
      <c r="F74" s="1434">
        <f>D74-E74</f>
        <v>0</v>
      </c>
      <c r="G74" s="1419">
        <f>E74-F74</f>
        <v>2400000</v>
      </c>
      <c r="H74" s="1435" t="s">
        <v>388</v>
      </c>
      <c r="I74" s="1427">
        <v>2020</v>
      </c>
      <c r="J74" s="1427"/>
    </row>
    <row r="75" spans="1:10" x14ac:dyDescent="0.2">
      <c r="A75" s="1440" t="s">
        <v>484</v>
      </c>
      <c r="D75" s="1434">
        <v>14513708</v>
      </c>
      <c r="E75" s="1441">
        <v>14777675</v>
      </c>
      <c r="F75" s="1434">
        <v>11709896</v>
      </c>
      <c r="G75" s="1419">
        <f>E75-F75</f>
        <v>3067779</v>
      </c>
      <c r="H75" s="1435" t="s">
        <v>388</v>
      </c>
      <c r="I75" s="1427">
        <v>2020</v>
      </c>
      <c r="J75" s="1427"/>
    </row>
    <row r="76" spans="1:10" ht="17.25" customHeight="1" thickBot="1" x14ac:dyDescent="0.25">
      <c r="A76" s="1443" t="s">
        <v>532</v>
      </c>
      <c r="D76" s="1444">
        <v>30250000</v>
      </c>
      <c r="E76" s="1445">
        <v>31446800</v>
      </c>
      <c r="F76" s="1444">
        <v>0</v>
      </c>
      <c r="G76" s="1446">
        <f>E76-F76</f>
        <v>31446800</v>
      </c>
      <c r="H76" s="1447" t="s">
        <v>388</v>
      </c>
      <c r="I76" s="1432" t="s">
        <v>1917</v>
      </c>
      <c r="J76" s="1448" t="s">
        <v>1950</v>
      </c>
    </row>
    <row r="77" spans="1:10" x14ac:dyDescent="0.2">
      <c r="D77" s="1404"/>
      <c r="E77" s="1404"/>
      <c r="F77" s="1404"/>
      <c r="G77" s="1404"/>
      <c r="H77" s="1404"/>
    </row>
    <row r="78" spans="1:10" ht="15" x14ac:dyDescent="0.25">
      <c r="A78" s="1401" t="s">
        <v>415</v>
      </c>
      <c r="D78" s="1404">
        <f>SUM(D72:D76)</f>
        <v>95163708</v>
      </c>
      <c r="E78" s="1404">
        <f>SUM(E72:E76)</f>
        <v>81324475</v>
      </c>
      <c r="F78" s="1404">
        <f>SUM(F72:F76)</f>
        <v>22509896</v>
      </c>
      <c r="G78" s="1404">
        <f>SUM(G72:G76)</f>
        <v>58814579</v>
      </c>
      <c r="H78" s="1404"/>
      <c r="I78" s="1404"/>
    </row>
    <row r="79" spans="1:10" ht="15" x14ac:dyDescent="0.25">
      <c r="A79" s="1401"/>
      <c r="D79" s="1404"/>
      <c r="E79" s="1404"/>
      <c r="F79" s="1404"/>
      <c r="G79" s="1404"/>
      <c r="H79" s="1404"/>
      <c r="I79" s="1404"/>
    </row>
    <row r="80" spans="1:10" ht="16.5" thickBot="1" x14ac:dyDescent="0.25">
      <c r="A80" s="1405" t="s">
        <v>425</v>
      </c>
      <c r="E80" s="1404"/>
    </row>
    <row r="81" spans="1:12" ht="15.75" thickBot="1" x14ac:dyDescent="0.3">
      <c r="A81" s="1407"/>
      <c r="D81" s="1406" t="s">
        <v>369</v>
      </c>
      <c r="E81" s="1408" t="s">
        <v>1903</v>
      </c>
      <c r="F81" s="1398" t="s">
        <v>374</v>
      </c>
      <c r="G81" s="1398" t="s">
        <v>378</v>
      </c>
      <c r="H81" s="1398" t="s">
        <v>379</v>
      </c>
      <c r="I81" s="1398" t="s">
        <v>380</v>
      </c>
      <c r="J81" s="1398" t="s">
        <v>381</v>
      </c>
      <c r="K81" s="1400" t="s">
        <v>138</v>
      </c>
      <c r="L81" s="1400" t="s">
        <v>1857</v>
      </c>
    </row>
    <row r="82" spans="1:12" x14ac:dyDescent="0.2">
      <c r="A82" s="1440" t="s">
        <v>432</v>
      </c>
      <c r="D82" s="1449">
        <v>4100000</v>
      </c>
      <c r="E82" s="1441"/>
      <c r="F82" s="1420" t="s">
        <v>388</v>
      </c>
      <c r="G82" s="1420" t="s">
        <v>1872</v>
      </c>
      <c r="H82" s="1422" t="s">
        <v>386</v>
      </c>
      <c r="I82" s="1422" t="s">
        <v>386</v>
      </c>
      <c r="J82" s="1422" t="s">
        <v>386</v>
      </c>
      <c r="K82" s="1422" t="s">
        <v>386</v>
      </c>
      <c r="L82" s="1435">
        <v>2021</v>
      </c>
    </row>
    <row r="83" spans="1:12" x14ac:dyDescent="0.2">
      <c r="A83" s="1440" t="s">
        <v>1951</v>
      </c>
      <c r="D83" s="1449">
        <v>25000000</v>
      </c>
      <c r="E83" s="1441"/>
      <c r="F83" s="1420" t="s">
        <v>388</v>
      </c>
      <c r="G83" s="1420" t="s">
        <v>1872</v>
      </c>
      <c r="H83" s="1422" t="s">
        <v>386</v>
      </c>
      <c r="I83" s="1422" t="s">
        <v>386</v>
      </c>
      <c r="J83" s="1422" t="s">
        <v>386</v>
      </c>
      <c r="K83" s="1422" t="s">
        <v>386</v>
      </c>
      <c r="L83" s="1435">
        <v>2021</v>
      </c>
    </row>
    <row r="84" spans="1:12" x14ac:dyDescent="0.2">
      <c r="A84" s="1440" t="s">
        <v>433</v>
      </c>
      <c r="D84" s="1449">
        <v>2900000</v>
      </c>
      <c r="E84" s="1441"/>
      <c r="F84" s="1420" t="s">
        <v>388</v>
      </c>
      <c r="G84" s="1420" t="s">
        <v>1872</v>
      </c>
      <c r="H84" s="1422" t="s">
        <v>386</v>
      </c>
      <c r="I84" s="1422" t="s">
        <v>386</v>
      </c>
      <c r="J84" s="1422" t="s">
        <v>386</v>
      </c>
      <c r="K84" s="1422" t="s">
        <v>386</v>
      </c>
      <c r="L84" s="1435">
        <v>2021</v>
      </c>
    </row>
    <row r="85" spans="1:12" ht="13.5" thickBot="1" x14ac:dyDescent="0.25">
      <c r="A85" s="1450" t="s">
        <v>434</v>
      </c>
      <c r="D85" s="1438">
        <v>2900000</v>
      </c>
      <c r="E85" s="1451"/>
      <c r="F85" s="1431" t="s">
        <v>388</v>
      </c>
      <c r="G85" s="1452" t="s">
        <v>1872</v>
      </c>
      <c r="H85" s="1431" t="s">
        <v>386</v>
      </c>
      <c r="I85" s="1431" t="s">
        <v>386</v>
      </c>
      <c r="J85" s="1431" t="s">
        <v>386</v>
      </c>
      <c r="K85" s="1431" t="s">
        <v>386</v>
      </c>
      <c r="L85" s="1447">
        <v>2021</v>
      </c>
    </row>
    <row r="86" spans="1:12" x14ac:dyDescent="0.2">
      <c r="D86" s="1404"/>
      <c r="E86" s="1404"/>
    </row>
    <row r="87" spans="1:12" ht="15" x14ac:dyDescent="0.25">
      <c r="A87" s="1401" t="s">
        <v>415</v>
      </c>
      <c r="D87" s="1404">
        <f>SUM(D82:D85)</f>
        <v>34900000</v>
      </c>
      <c r="E87" s="1404">
        <v>34550000</v>
      </c>
      <c r="F87" s="1404"/>
      <c r="G87" s="1404"/>
    </row>
    <row r="88" spans="1:12" ht="16.5" thickBot="1" x14ac:dyDescent="0.25">
      <c r="A88" s="1405" t="s">
        <v>440</v>
      </c>
      <c r="E88" s="1404"/>
    </row>
    <row r="89" spans="1:12" ht="15.75" thickBot="1" x14ac:dyDescent="0.3">
      <c r="A89" s="1407"/>
      <c r="D89" s="1406" t="s">
        <v>369</v>
      </c>
      <c r="E89" s="1408" t="s">
        <v>1903</v>
      </c>
      <c r="F89" s="1398" t="s">
        <v>1945</v>
      </c>
      <c r="G89" s="1398" t="s">
        <v>417</v>
      </c>
      <c r="H89" s="1400" t="s">
        <v>374</v>
      </c>
      <c r="I89" s="1400" t="s">
        <v>360</v>
      </c>
      <c r="J89" s="1416" t="s">
        <v>1947</v>
      </c>
    </row>
    <row r="90" spans="1:12" x14ac:dyDescent="0.2">
      <c r="A90" s="1440" t="s">
        <v>1952</v>
      </c>
      <c r="D90" s="1434">
        <v>16819000</v>
      </c>
      <c r="E90" s="1441">
        <v>14423486.039999999</v>
      </c>
      <c r="F90" s="1441">
        <v>0</v>
      </c>
      <c r="G90" s="1419">
        <f t="shared" ref="G90:G96" si="3">E90-F90</f>
        <v>14423486.039999999</v>
      </c>
      <c r="H90" s="1435" t="s">
        <v>388</v>
      </c>
      <c r="I90" s="1427">
        <v>2017</v>
      </c>
      <c r="J90" s="1427"/>
    </row>
    <row r="91" spans="1:12" x14ac:dyDescent="0.2">
      <c r="A91" s="1440" t="s">
        <v>1953</v>
      </c>
      <c r="D91" s="1449">
        <v>1500000</v>
      </c>
      <c r="E91" s="1441">
        <v>800000</v>
      </c>
      <c r="F91" s="1441">
        <v>0</v>
      </c>
      <c r="G91" s="1419">
        <f t="shared" si="3"/>
        <v>800000</v>
      </c>
      <c r="H91" s="1435" t="s">
        <v>388</v>
      </c>
      <c r="I91" s="1427">
        <v>2018</v>
      </c>
      <c r="J91" s="1427"/>
    </row>
    <row r="92" spans="1:12" x14ac:dyDescent="0.2">
      <c r="A92" s="1440" t="s">
        <v>1954</v>
      </c>
      <c r="D92" s="1434">
        <v>19360000</v>
      </c>
      <c r="E92" s="1441">
        <v>16319245.810000001</v>
      </c>
      <c r="F92" s="1441">
        <v>11551000</v>
      </c>
      <c r="G92" s="1419">
        <f t="shared" si="3"/>
        <v>4768245.8100000005</v>
      </c>
      <c r="H92" s="1435" t="s">
        <v>388</v>
      </c>
      <c r="I92" s="1427" t="s">
        <v>1907</v>
      </c>
      <c r="J92" s="1427"/>
    </row>
    <row r="93" spans="1:12" x14ac:dyDescent="0.2">
      <c r="A93" s="1440" t="s">
        <v>442</v>
      </c>
      <c r="D93" s="1434">
        <v>18000000</v>
      </c>
      <c r="E93" s="1441">
        <v>11000000</v>
      </c>
      <c r="F93" s="1441">
        <v>0</v>
      </c>
      <c r="G93" s="1419">
        <f t="shared" si="3"/>
        <v>11000000</v>
      </c>
      <c r="H93" s="1435" t="s">
        <v>388</v>
      </c>
      <c r="I93" s="1427">
        <v>2020</v>
      </c>
      <c r="J93" s="1427"/>
    </row>
    <row r="94" spans="1:12" x14ac:dyDescent="0.2">
      <c r="A94" s="1440" t="s">
        <v>1973</v>
      </c>
      <c r="D94" s="1434">
        <v>20000000</v>
      </c>
      <c r="E94" s="1441"/>
      <c r="F94" s="1441"/>
      <c r="G94" s="1419">
        <v>20000000</v>
      </c>
      <c r="H94" s="1435"/>
      <c r="I94" s="1464">
        <v>2022</v>
      </c>
      <c r="J94" s="1464"/>
    </row>
    <row r="95" spans="1:12" x14ac:dyDescent="0.2">
      <c r="A95" s="1453" t="s">
        <v>1955</v>
      </c>
      <c r="D95" s="1449">
        <v>10609398.58</v>
      </c>
      <c r="E95" s="1424">
        <v>8931639.4299999997</v>
      </c>
      <c r="F95" s="1424">
        <v>0</v>
      </c>
      <c r="G95" s="1424">
        <f t="shared" si="3"/>
        <v>8931639.4299999997</v>
      </c>
      <c r="H95" s="1454" t="s">
        <v>388</v>
      </c>
      <c r="I95" s="1455">
        <v>2018</v>
      </c>
      <c r="J95" s="1455"/>
    </row>
    <row r="96" spans="1:12" ht="26.25" thickBot="1" x14ac:dyDescent="0.25">
      <c r="A96" s="1456" t="s">
        <v>1956</v>
      </c>
      <c r="D96" s="1438">
        <v>7078500</v>
      </c>
      <c r="E96" s="1451">
        <v>6814692</v>
      </c>
      <c r="F96" s="1451">
        <v>6282020</v>
      </c>
      <c r="G96" s="1430">
        <f t="shared" si="3"/>
        <v>532672</v>
      </c>
      <c r="H96" s="1439" t="s">
        <v>388</v>
      </c>
      <c r="I96" s="1432">
        <v>2019</v>
      </c>
      <c r="J96" s="1432"/>
    </row>
    <row r="97" spans="1:7" ht="28.5" customHeight="1" x14ac:dyDescent="0.25">
      <c r="A97" s="1401" t="s">
        <v>415</v>
      </c>
      <c r="D97" s="1404">
        <f>SUM(D90:D96)</f>
        <v>93366898.579999998</v>
      </c>
      <c r="E97" s="1404">
        <f>SUM(E90:E96)</f>
        <v>58289063.280000001</v>
      </c>
      <c r="F97" s="1404">
        <f>SUM(F90:F96)</f>
        <v>17833020</v>
      </c>
      <c r="G97" s="1404">
        <f>SUM(G90:G96)</f>
        <v>60456043.280000001</v>
      </c>
    </row>
    <row r="98" spans="1:7" ht="15" x14ac:dyDescent="0.25">
      <c r="A98" s="1401"/>
      <c r="D98" s="1404"/>
      <c r="E98" s="1404"/>
      <c r="F98" s="1404"/>
      <c r="G98" s="1404"/>
    </row>
    <row r="99" spans="1:7" ht="15" x14ac:dyDescent="0.25">
      <c r="B99" s="1409"/>
      <c r="C99" s="1409"/>
      <c r="D99" s="1409"/>
    </row>
    <row r="100" spans="1:7" ht="15" x14ac:dyDescent="0.25">
      <c r="A100" s="1401" t="s">
        <v>1957</v>
      </c>
      <c r="B100" s="1457">
        <f>SUM(D59,D68,D78,D97)</f>
        <v>507994541.51999998</v>
      </c>
      <c r="C100" s="1409"/>
      <c r="D100" s="1409"/>
    </row>
    <row r="101" spans="1:7" ht="15" x14ac:dyDescent="0.25">
      <c r="A101" s="1401" t="s">
        <v>448</v>
      </c>
      <c r="B101" s="1457">
        <f>SUM(E59,E68,E78,E97)</f>
        <v>370541599.39600003</v>
      </c>
      <c r="C101" s="1404"/>
      <c r="D101" s="1404"/>
    </row>
    <row r="102" spans="1:7" ht="15" x14ac:dyDescent="0.25">
      <c r="A102" s="1401" t="s">
        <v>1958</v>
      </c>
      <c r="B102" s="1457">
        <f>SUM(F59,F68,F78,F97)</f>
        <v>175733333.43000001</v>
      </c>
      <c r="C102" s="1404"/>
      <c r="D102" s="1404"/>
    </row>
    <row r="103" spans="1:7" ht="15" x14ac:dyDescent="0.25">
      <c r="A103" s="1401" t="s">
        <v>1959</v>
      </c>
      <c r="B103" s="1457">
        <f>SUM(G59,G68,G78,G97)</f>
        <v>238173226.96599999</v>
      </c>
      <c r="C103" s="1404"/>
      <c r="D103" s="1404"/>
    </row>
    <row r="104" spans="1:7" ht="15" x14ac:dyDescent="0.25">
      <c r="A104" s="1410" t="s">
        <v>451</v>
      </c>
      <c r="B104" s="1411">
        <f>G59</f>
        <v>117388489.71600001</v>
      </c>
      <c r="C104" s="1411"/>
      <c r="D104" s="1411"/>
    </row>
    <row r="105" spans="1:7" ht="15" x14ac:dyDescent="0.25">
      <c r="A105" s="1410" t="s">
        <v>452</v>
      </c>
      <c r="B105" s="1411">
        <f>G68</f>
        <v>1514114.9700000002</v>
      </c>
      <c r="C105" s="1411"/>
      <c r="D105" s="1411"/>
    </row>
    <row r="106" spans="1:7" ht="15" x14ac:dyDescent="0.25">
      <c r="A106" s="1410" t="s">
        <v>453</v>
      </c>
      <c r="B106" s="1411">
        <f>G78</f>
        <v>58814579</v>
      </c>
      <c r="C106" s="1411"/>
      <c r="D106" s="1411"/>
    </row>
    <row r="107" spans="1:7" ht="15" x14ac:dyDescent="0.25">
      <c r="A107" s="1410" t="s">
        <v>454</v>
      </c>
      <c r="B107" s="1411">
        <f>G97</f>
        <v>60456043.280000001</v>
      </c>
      <c r="C107" s="1411"/>
      <c r="D107" s="1411"/>
    </row>
    <row r="108" spans="1:7" ht="15" x14ac:dyDescent="0.25">
      <c r="A108" s="1410"/>
      <c r="B108" s="1411"/>
      <c r="C108" s="1411"/>
      <c r="D108" s="1411"/>
    </row>
    <row r="109" spans="1:7" x14ac:dyDescent="0.2">
      <c r="B109" s="1404"/>
      <c r="C109" s="1404"/>
      <c r="D109" s="1404"/>
    </row>
    <row r="110" spans="1:7" ht="15" x14ac:dyDescent="0.25">
      <c r="A110" s="1458" t="s">
        <v>1960</v>
      </c>
      <c r="B110" s="1459">
        <v>168000000</v>
      </c>
      <c r="C110" s="1460"/>
      <c r="D110" s="1404"/>
    </row>
    <row r="111" spans="1:7" ht="15" x14ac:dyDescent="0.25">
      <c r="A111" s="1461" t="s">
        <v>1884</v>
      </c>
      <c r="B111" s="1462">
        <v>48000000</v>
      </c>
      <c r="C111" s="1462" t="s">
        <v>1885</v>
      </c>
      <c r="D111" s="1404"/>
    </row>
    <row r="112" spans="1:7" ht="15" x14ac:dyDescent="0.25">
      <c r="A112" s="1461" t="s">
        <v>1886</v>
      </c>
      <c r="B112" s="1462">
        <v>90000000</v>
      </c>
      <c r="C112" s="1462" t="s">
        <v>1887</v>
      </c>
      <c r="D112" s="1404"/>
    </row>
    <row r="113" spans="1:4" ht="15" x14ac:dyDescent="0.25">
      <c r="A113" s="1461" t="s">
        <v>1888</v>
      </c>
      <c r="B113" s="1462">
        <v>30000000</v>
      </c>
      <c r="C113" s="1462" t="s">
        <v>1889</v>
      </c>
      <c r="D113" s="1404"/>
    </row>
    <row r="114" spans="1:4" ht="15" x14ac:dyDescent="0.25">
      <c r="A114" s="1458"/>
      <c r="B114" s="1460"/>
      <c r="C114" s="1460"/>
      <c r="D114" s="1404"/>
    </row>
    <row r="115" spans="1:4" x14ac:dyDescent="0.2">
      <c r="A115" s="1463" t="s">
        <v>1890</v>
      </c>
      <c r="B115" s="1460">
        <f>61000000</f>
        <v>61000000</v>
      </c>
      <c r="C115" s="1460"/>
      <c r="D115" s="1404"/>
    </row>
    <row r="116" spans="1:4" x14ac:dyDescent="0.2">
      <c r="B116" s="1404"/>
      <c r="C116" s="1404"/>
      <c r="D116" s="1404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" defaultRowHeight="13.5" x14ac:dyDescent="0.25"/>
  <cols>
    <col min="1" max="1" width="5.5703125" style="111" bestFit="1" customWidth="1"/>
    <col min="2" max="2" width="13.5703125" style="144" customWidth="1"/>
    <col min="3" max="3" width="12.28515625" style="111" bestFit="1" customWidth="1"/>
    <col min="4" max="4" width="11.28515625" style="577" bestFit="1" customWidth="1"/>
    <col min="5" max="5" width="9" style="181" bestFit="1" customWidth="1"/>
    <col min="6" max="7" width="9" style="111"/>
    <col min="8" max="9" width="12.28515625" style="144" bestFit="1" customWidth="1"/>
    <col min="10" max="10" width="9.28515625" style="577" customWidth="1"/>
    <col min="11" max="11" width="9" style="181" customWidth="1"/>
    <col min="12" max="16384" width="9" style="111"/>
  </cols>
  <sheetData>
    <row r="1" spans="1:13" s="189" customFormat="1" x14ac:dyDescent="0.25">
      <c r="A1" s="135" t="s">
        <v>779</v>
      </c>
      <c r="B1" s="574">
        <v>30000000</v>
      </c>
      <c r="C1" s="135"/>
      <c r="D1" s="575"/>
      <c r="E1" s="576"/>
      <c r="F1" s="135"/>
      <c r="G1" s="135"/>
      <c r="H1" s="574">
        <v>90000000</v>
      </c>
      <c r="I1" s="574"/>
      <c r="J1" s="575"/>
      <c r="K1" s="576"/>
      <c r="L1" s="135"/>
      <c r="M1" s="135"/>
    </row>
    <row r="2" spans="1:13" s="189" customFormat="1" x14ac:dyDescent="0.25">
      <c r="A2" s="135"/>
      <c r="B2" s="574"/>
      <c r="C2" s="135"/>
      <c r="D2" s="575"/>
      <c r="E2" s="576"/>
      <c r="F2" s="135"/>
      <c r="G2" s="135"/>
      <c r="H2" s="574"/>
      <c r="I2" s="574"/>
      <c r="J2" s="575"/>
      <c r="K2" s="576"/>
      <c r="L2" s="135"/>
      <c r="M2" s="135"/>
    </row>
    <row r="3" spans="1:13" s="189" customFormat="1" x14ac:dyDescent="0.25">
      <c r="B3" s="113" t="s">
        <v>780</v>
      </c>
      <c r="C3" s="114" t="s">
        <v>781</v>
      </c>
      <c r="D3" s="278" t="s">
        <v>7</v>
      </c>
      <c r="E3" s="301"/>
      <c r="F3" s="135"/>
      <c r="G3" s="135"/>
      <c r="H3" s="113" t="s">
        <v>780</v>
      </c>
      <c r="I3" s="114" t="s">
        <v>781</v>
      </c>
      <c r="J3" s="278" t="s">
        <v>7</v>
      </c>
      <c r="K3" s="301"/>
      <c r="L3" s="135"/>
      <c r="M3" s="135"/>
    </row>
    <row r="4" spans="1:13" s="109" customFormat="1" x14ac:dyDescent="0.25">
      <c r="B4" s="334"/>
      <c r="C4" s="265"/>
      <c r="D4" s="284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88">
        <f>+B5*0.0251</f>
        <v>753000</v>
      </c>
      <c r="E5" s="283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3"/>
      <c r="L5" s="111"/>
      <c r="M5" s="111"/>
    </row>
    <row r="6" spans="1:13" s="109" customFormat="1" x14ac:dyDescent="0.25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88">
        <f>+B9*0.0251</f>
        <v>753000</v>
      </c>
      <c r="E9" s="283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3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3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3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3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3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3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3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3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3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3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3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3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3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3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3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3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3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3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3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3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3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3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3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3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3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3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3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3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3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3"/>
      <c r="L65" s="111"/>
      <c r="M65" s="111"/>
    </row>
    <row r="66" spans="1:13" s="109" customFormat="1" x14ac:dyDescent="0.25">
      <c r="A66" s="109">
        <v>2034</v>
      </c>
      <c r="B66" s="190"/>
      <c r="D66" s="288">
        <f>SUM(D5:D65)</f>
        <v>6583402.5705000004</v>
      </c>
      <c r="E66" s="283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3"/>
      <c r="L66" s="111"/>
      <c r="M66" s="111"/>
    </row>
    <row r="67" spans="1:13" s="109" customFormat="1" x14ac:dyDescent="0.25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3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3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4</vt:i4>
      </vt:variant>
    </vt:vector>
  </HeadingPairs>
  <TitlesOfParts>
    <vt:vector size="47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poplatky</vt:lpstr>
      <vt:lpstr>Cash flow</vt:lpstr>
      <vt:lpstr>Nákup a prodej vody</vt:lpstr>
      <vt:lpstr>PO</vt:lpstr>
      <vt:lpstr>Investice celkem  2024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Zásobník projektů 2016-2020</vt:lpstr>
      <vt:lpstr>plán - úvěrů a úroků akt.</vt:lpstr>
      <vt:lpstr>plán - úvěrů a úroků akt._1</vt:lpstr>
      <vt:lpstr>čerpání-úvěr a úroky</vt:lpstr>
      <vt:lpstr>přepočet úroků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Žaneta Karlová</cp:lastModifiedBy>
  <cp:lastPrinted>2024-11-28T11:25:30Z</cp:lastPrinted>
  <dcterms:created xsi:type="dcterms:W3CDTF">2014-09-16T07:52:57Z</dcterms:created>
  <dcterms:modified xsi:type="dcterms:W3CDTF">2025-01-06T15:08:59Z</dcterms:modified>
</cp:coreProperties>
</file>